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charts/chart3.xml" ContentType="application/vnd.openxmlformats-officedocument.drawingml.chart+xml"/>
  <Override PartName="/xl/drawings/drawing8.xml" ContentType="application/vnd.openxmlformats-officedocument.drawingml.chartshapes+xml"/>
  <Override PartName="/xl/charts/chart4.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11.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12.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530" codeName="{DD97A8EA-9A9A-E61F-A557-7D5A7D7259CE}"/>
  <workbookPr showInkAnnotation="0" codeName="ThisWorkbook"/>
  <mc:AlternateContent xmlns:mc="http://schemas.openxmlformats.org/markup-compatibility/2006">
    <mc:Choice Requires="x15">
      <x15ac:absPath xmlns:x15ac="http://schemas.microsoft.com/office/spreadsheetml/2010/11/ac" url="D:\Work\UWRT\"/>
    </mc:Choice>
  </mc:AlternateContent>
  <xr:revisionPtr revIDLastSave="0" documentId="13_ncr:1_{7B649344-792C-4CE9-BC1C-2F9128042FD5}" xr6:coauthVersionLast="47" xr6:coauthVersionMax="47" xr10:uidLastSave="{00000000-0000-0000-0000-000000000000}"/>
  <workbookProtection workbookAlgorithmName="SHA-512" workbookHashValue="rgW94RiNbkS/CglMRKH0pPTCTWpXwHmsascdn1s2O/XjEbpk0t6DEWnI0iRXL4SaZLBjqB6Df2o6MFXJ5SJrRw==" workbookSaltValue="ZlGysuczbzkbdXe1t49uWA==" workbookSpinCount="100000" lockStructure="1"/>
  <bookViews>
    <workbookView xWindow="-110" yWindow="-110" windowWidth="25820" windowHeight="13900" tabRatio="393" xr2:uid="{00000000-000D-0000-FFFF-FFFF00000000}"/>
  </bookViews>
  <sheets>
    <sheet name="Design Regulator" sheetId="1" r:id="rId1"/>
    <sheet name="BOM &amp; Schematic" sheetId="16" r:id="rId2"/>
    <sheet name="EVM" sheetId="14" r:id="rId3"/>
    <sheet name="Variable Management" sheetId="2" state="hidden" r:id="rId4"/>
    <sheet name="Stability Calculations" sheetId="17" state="hidden" r:id="rId5"/>
    <sheet name="Ch2 Stability Calculations" sheetId="25" state="hidden" r:id="rId6"/>
    <sheet name="Bode Plot Management" sheetId="24" state="hidden" r:id="rId7"/>
    <sheet name="Efficiency Calculations" sheetId="21" state="hidden" r:id="rId8"/>
    <sheet name="Ch2 Efficiency Calculations" sheetId="23" state="hidden" r:id="rId9"/>
    <sheet name="Efficiency Plot Management" sheetId="19" state="hidden" r:id="rId10"/>
    <sheet name="Schematic Management" sheetId="22" state="hidden" r:id="rId11"/>
    <sheet name="Standard Value Calculator" sheetId="8" state="hidden" r:id="rId12"/>
    <sheet name="Snubber" sheetId="11" state="hidden" r:id="rId13"/>
    <sheet name="Parallel Output Caps" sheetId="6" state="hidden" r:id="rId14"/>
  </sheets>
  <definedNames>
    <definedName name="_Don1">'Variable Management'!$B$34</definedName>
    <definedName name="_Don2">'Variable Management'!$B$49</definedName>
    <definedName name="Acs">'Variable Management'!$B$207</definedName>
    <definedName name="Acs_Ch2">'Variable Management'!$D$207</definedName>
    <definedName name="Adc" localSheetId="5">'Ch2 Stability Calculations'!$Q$3</definedName>
    <definedName name="Adc">'Stability Calculations'!$Q$3</definedName>
    <definedName name="AEA">'Variable Management'!$B$205</definedName>
    <definedName name="Afb">'Variable Management'!$B$206</definedName>
    <definedName name="Afb_Ch2">'Variable Management'!$D$206</definedName>
    <definedName name="Am">'Variable Management'!$B$209</definedName>
    <definedName name="Am_buck">'Variable Management'!$B$208</definedName>
    <definedName name="Am_buck_Ch2">'Variable Management'!$D$208</definedName>
    <definedName name="Am_Ch2">'Variable Management'!$D$209</definedName>
    <definedName name="BODE_PLOT_Ch1">'Bode Plot Management'!$B$5</definedName>
    <definedName name="BODE_PLOT_Ch2">'Bode Plot Management'!$B$8</definedName>
    <definedName name="BODE_PLOT_TYPE">'Variable Management'!$AA$10</definedName>
    <definedName name="Buck_CS_threshold">'Variable Management'!$B$85</definedName>
    <definedName name="Buck_CS_threshold_max">'Variable Management'!$B$86</definedName>
    <definedName name="Buck_CS_threshold_min">'Variable Management'!$B$84</definedName>
    <definedName name="Cb">'Variable Management'!$B$178</definedName>
    <definedName name="Cbw">'Variable Management'!$B$203</definedName>
    <definedName name="Cby">'Variable Management'!$B$177</definedName>
    <definedName name="Cc1ea">'Variable Management'!$B$226</definedName>
    <definedName name="Cc1ea_u">'Variable Management'!$B$231</definedName>
    <definedName name="Cc2ea">'Variable Management'!$B$227</definedName>
    <definedName name="Cc2ea_u">'Variable Management'!$B$232</definedName>
    <definedName name="Cc3ea">'Variable Management'!$D$226</definedName>
    <definedName name="Cc3ea_u">'Variable Management'!$D$231</definedName>
    <definedName name="Cc4ea">'Variable Management'!$D$227</definedName>
    <definedName name="Cc4ea_u">'Variable Management'!$D$232</definedName>
    <definedName name="Cdither">'Variable Management'!$B$177</definedName>
    <definedName name="Cdither_init">'Variable Management'!$B$176</definedName>
    <definedName name="Ch1_VOUT">'Variable Management'!$L$16</definedName>
    <definedName name="Ch2_VOUT">'Variable Management'!$O$16</definedName>
    <definedName name="Cin">'Variable Management'!$B$146</definedName>
    <definedName name="CinEsrMax">'Variable Management'!$B$149</definedName>
    <definedName name="Cinmin">'Variable Management'!$B$144</definedName>
    <definedName name="Core_Loss_Ch1">'Design Regulator'!$O$75</definedName>
    <definedName name="Coss_Q1">'Variable Management'!$B$279</definedName>
    <definedName name="Coss_Q2">'Variable Management'!$D$279</definedName>
    <definedName name="Coss_Q3">'Variable Management'!$B$298</definedName>
    <definedName name="Coss_Q4">'Variable Management'!$D$298</definedName>
    <definedName name="Cout">'Variable Management'!$B$122</definedName>
    <definedName name="Cout_ESR">'Variable Management'!$B$126</definedName>
    <definedName name="Cout_min">'Variable Management'!$B$120</definedName>
    <definedName name="Cout2">'Variable Management'!$D$122</definedName>
    <definedName name="Cout2_ESR">'Variable Management'!$D$126</definedName>
    <definedName name="Cout2_min">'Variable Management'!$D$120</definedName>
    <definedName name="Cout2EsrMax">'Variable Management'!$D$123</definedName>
    <definedName name="CoutEsrMax">'Variable Management'!$B$123</definedName>
    <definedName name="Cres">'Variable Management'!$B$167</definedName>
    <definedName name="Cres_u">'Variable Management'!$B$168</definedName>
    <definedName name="CSAmp_gain">'Variable Management'!$B$182</definedName>
    <definedName name="Csb">'Variable Management'!$B$175</definedName>
    <definedName name="Css">'Variable Management'!$B$162</definedName>
    <definedName name="Css_u">'Variable Management'!$B$163</definedName>
    <definedName name="D1_Vinmax">'Variable Management'!$B$39</definedName>
    <definedName name="D1_Vinmax_2">'Variable Management'!$B$54</definedName>
    <definedName name="D1_Vinmin">'Variable Management'!$B$37</definedName>
    <definedName name="D1_Vinmin_2">'Variable Management'!$B$52</definedName>
    <definedName name="D1_Vinnom">'Variable Management'!$B$38</definedName>
    <definedName name="D1_Vinnom_2">'Variable Management'!$B$53</definedName>
    <definedName name="D2_Vinmax">'Variable Management'!$D$39</definedName>
    <definedName name="D2_Vinmax_2">'Variable Management'!$D$54</definedName>
    <definedName name="D2_Vinmin">'Variable Management'!$D$37</definedName>
    <definedName name="D2_Vinmin_2">'Variable Management'!$D$52</definedName>
    <definedName name="D2_Vinnom">'Variable Management'!$D$38</definedName>
    <definedName name="D2_Vinnom_2">'Variable Management'!$D$53</definedName>
    <definedName name="Deadtime">'Variable Management'!$B$268</definedName>
    <definedName name="DEMB">'Variable Management'!$X$10</definedName>
    <definedName name="DITHER">'Variable Management'!$O$10</definedName>
    <definedName name="Doff1">'Variable Management'!$B$35</definedName>
    <definedName name="Doff2">'Variable Management'!$B$50</definedName>
    <definedName name="Don_buckboost">'Variable Management'!$B$40</definedName>
    <definedName name="EFF_Ch1">'Efficiency Plot Management'!$B$5</definedName>
    <definedName name="EFF_Ch2">'Efficiency Plot Management'!$B$7</definedName>
    <definedName name="Efficiency">'Variable Management'!$B$20</definedName>
    <definedName name="Ext_VCC">'Variable Management'!$X$15</definedName>
    <definedName name="Fcross">'Variable Management'!$B$224</definedName>
    <definedName name="Fcross_Ch2">'Variable Management'!$D$224</definedName>
    <definedName name="Fdither">'Variable Management'!$B$175</definedName>
    <definedName name="Fesr">'Variable Management'!$B$221</definedName>
    <definedName name="Fesr_Ch2">'Variable Management'!$D$221</definedName>
    <definedName name="Fload_u">'Variable Management'!$B$216</definedName>
    <definedName name="Fload_u_Ch2">'Variable Management'!$D$216</definedName>
    <definedName name="Fp_dominant">'Variable Management'!$B$217</definedName>
    <definedName name="Fp_dominant_Ch2">'Variable Management'!$D$217</definedName>
    <definedName name="Fp1_u">'Variable Management'!$B$219</definedName>
    <definedName name="Fp1_u_Ch2">'Variable Management'!$D$219</definedName>
    <definedName name="Fp2_u">'Variable Management'!$B$220</definedName>
    <definedName name="Fp2_u_Ch2">'Variable Management'!$D$220</definedName>
    <definedName name="Frhp" localSheetId="6">'Variable Management'!#REF!</definedName>
    <definedName name="Frhp" localSheetId="8">'Variable Management'!#REF!</definedName>
    <definedName name="Frhp" localSheetId="5">'Variable Management'!#REF!</definedName>
    <definedName name="Frhp">'Variable Management'!#REF!</definedName>
    <definedName name="Fsw">'Variable Management'!$B$27</definedName>
    <definedName name="Fz1_u">'Variable Management'!$B$235</definedName>
    <definedName name="Fz1_u_Ch2">'Variable Management'!$D$235</definedName>
    <definedName name="GBW">'Variable Management'!$B$202</definedName>
    <definedName name="Gfs_Q1">'Variable Management'!$B$281</definedName>
    <definedName name="Gfs_Q2">'Variable Management'!$D$281</definedName>
    <definedName name="Gfs_Q3">'Variable Management'!$B$300</definedName>
    <definedName name="Gfs_Q4">'Variable Management'!$D$300</definedName>
    <definedName name="gm">'Variable Management'!$B$184</definedName>
    <definedName name="Icoutrms">'Variable Management'!$B$111</definedName>
    <definedName name="Iin_Vinmax">'Variable Management'!$B$25</definedName>
    <definedName name="Iin_Vinmin">'Variable Management'!$B$23</definedName>
    <definedName name="Iin_Vinnom">'Variable Management'!$B$24</definedName>
    <definedName name="IL_peak_OCP" localSheetId="8">'Variable Management'!#REF!</definedName>
    <definedName name="IL1_peak_buckboost" localSheetId="8">'Variable Management'!#REF!</definedName>
    <definedName name="Ilimit_DC">'Variable Management'!$B$77</definedName>
    <definedName name="Ilimit2_DC">'Variable Management'!$D$77</definedName>
    <definedName name="Iout">'Variable Management'!$B$12</definedName>
    <definedName name="Iout_OCP_Vinmax">'Variable Management'!$B$99</definedName>
    <definedName name="Iout_OCP_Vinmin">'Variable Management'!$B$97</definedName>
    <definedName name="Iout_OCP_Vinnom">'Variable Management'!$B$98</definedName>
    <definedName name="Iout_threshold" localSheetId="6">'Variable Management'!#REF!</definedName>
    <definedName name="Iout_threshold" localSheetId="8">'Variable Management'!#REF!</definedName>
    <definedName name="Iout_threshold" localSheetId="5">'Variable Management'!#REF!</definedName>
    <definedName name="Iout_threshold">'Variable Management'!#REF!</definedName>
    <definedName name="Iout2">'Variable Management'!$B$14</definedName>
    <definedName name="Iout2_OCP_Vinmax">'Variable Management'!$D$99</definedName>
    <definedName name="Iout2_OCP_Vinmin">'Variable Management'!$D$97</definedName>
    <definedName name="Iout2_OCP_Vinnom">'Variable Management'!$D$98</definedName>
    <definedName name="Iq">'Variable Management'!$B$270</definedName>
    <definedName name="Ireverse">'Variable Management'!$B$312</definedName>
    <definedName name="Iripple_Vinmax">'Variable Management'!$B$58</definedName>
    <definedName name="Iripple_Vinmin">'Variable Management'!$B$56</definedName>
    <definedName name="Iripple_Vinnom">'Variable Management'!$B$57</definedName>
    <definedName name="Iripple2_Vinmax">'Variable Management'!$D$58</definedName>
    <definedName name="Iripple2_Vinmin">'Variable Management'!$D$56</definedName>
    <definedName name="Iripple2_Vinnom">'Variable Management'!$D$57</definedName>
    <definedName name="Iss">'Variable Management'!$B$161</definedName>
    <definedName name="k">'Variable Management'!$B$198</definedName>
    <definedName name="k_buck">'Variable Management'!$B$195</definedName>
    <definedName name="k_Ch2">'Variable Management'!$D$198</definedName>
    <definedName name="Lf">'Variable Management'!$B$46</definedName>
    <definedName name="Lo_2">'Variable Management'!$D$46</definedName>
    <definedName name="Lopt">'Variable Management'!$B$44</definedName>
    <definedName name="Lopt2">'Variable Management'!$D$44</definedName>
    <definedName name="Ltc">'Variable Management'!$B$255</definedName>
    <definedName name="mc">'Variable Management'!$B$197</definedName>
    <definedName name="mc_buck">'Variable Management'!$B$194</definedName>
    <definedName name="mc_buck_Ch2">'Variable Management'!$D$194</definedName>
    <definedName name="mc_Ch2">'Variable Management'!$D$197</definedName>
    <definedName name="MODE">'Variable Management'!$U$13</definedName>
    <definedName name="Number_of_Phases">'Variable Management'!$U$15</definedName>
    <definedName name="Pi">'Variable Management'!$B$181</definedName>
    <definedName name="PICTURE">INDIRECT('Efficiency Plot Management'!$A$2)</definedName>
    <definedName name="PICTURE2" localSheetId="1">INDIRECT('Schematic Management'!$A$2)</definedName>
    <definedName name="PICTURE2" localSheetId="0">INDIRECT('Schematic Management'!$A$2)</definedName>
    <definedName name="PICTURE3">INDIRECT('Bode Plot Management'!$A$2)</definedName>
    <definedName name="Pin">'Variable Management'!$B$21</definedName>
    <definedName name="PLOT_TYPE">'Variable Management'!$L$10</definedName>
    <definedName name="pole1" localSheetId="5">'Ch2 Stability Calculations'!$K$4</definedName>
    <definedName name="pole1">'Stability Calculations'!$K$4</definedName>
    <definedName name="Pole2" localSheetId="5">'Ch2 Stability Calculations'!$C$5</definedName>
    <definedName name="Pole2">'Stability Calculations'!$C$5</definedName>
    <definedName name="pole3" localSheetId="5">'Ch2 Stability Calculations'!$N$3</definedName>
    <definedName name="pole3">'Stability Calculations'!$N$3</definedName>
    <definedName name="pole4" localSheetId="5">'Ch2 Stability Calculations'!$C$7</definedName>
    <definedName name="pole4">'Stability Calculations'!$C$7</definedName>
    <definedName name="Pout">'Variable Management'!$B$18</definedName>
    <definedName name="_xlnm.Print_Area" localSheetId="1">'BOM &amp; Schematic'!$A$1:$J$81</definedName>
    <definedName name="_xlnm.Print_Area" localSheetId="0">'Design Regulator'!$A$1:$Q$109</definedName>
    <definedName name="pterm1" localSheetId="5">'Ch2 Stability Calculations'!$N$4</definedName>
    <definedName name="pterm1">'Stability Calculations'!$N$4</definedName>
    <definedName name="pterm2" localSheetId="5">'Ch2 Stability Calculations'!$N$5</definedName>
    <definedName name="pterm2">'Stability Calculations'!$N$5</definedName>
    <definedName name="Q">'Variable Management'!$B$199</definedName>
    <definedName name="Q_Ch2">'Variable Management'!$D$199</definedName>
    <definedName name="Qg_Q1">'Variable Management'!$B$275</definedName>
    <definedName name="Qg_Q2">'Variable Management'!$D$275</definedName>
    <definedName name="Qg_Q3">'Variable Management'!$B$294</definedName>
    <definedName name="Qg_Q4">'Variable Management'!$D$294</definedName>
    <definedName name="Qgd_Q1">'Variable Management'!$B$276</definedName>
    <definedName name="Qgd_Q2">'Variable Management'!$D$276</definedName>
    <definedName name="Qgd_Q3">'Variable Management'!$B$295</definedName>
    <definedName name="Qgd_Q4">'Variable Management'!$D$295</definedName>
    <definedName name="Qgs_Q1">'Variable Management'!$B$277</definedName>
    <definedName name="Qgs_Q2">'Variable Management'!$D$277</definedName>
    <definedName name="Qgs_Q3">'Variable Management'!$B$296</definedName>
    <definedName name="Qgs_Q4">'Variable Management'!$D$296</definedName>
    <definedName name="Qoss_Q1">'Variable Management'!$B$278</definedName>
    <definedName name="Qoss_Q2">'Variable Management'!$D$278</definedName>
    <definedName name="Qoss_Q3">'Variable Management'!$B$297</definedName>
    <definedName name="Qoss_Q4">'Variable Management'!$D$297</definedName>
    <definedName name="Qrr_Q2">'Variable Management'!$D$286</definedName>
    <definedName name="Qrr_Q4">'Variable Management'!$D$305</definedName>
    <definedName name="QrrSky_Q2">'Variable Management'!$B$311</definedName>
    <definedName name="QrrSky_Q4">'Variable Management'!$D$311</definedName>
    <definedName name="radconv" localSheetId="5">'Ch2 Stability Calculations'!$Q$6</definedName>
    <definedName name="radconv">'Stability Calculations'!$Q$6</definedName>
    <definedName name="Rcea1">'Variable Management'!$B$225</definedName>
    <definedName name="Rcea1_u">'Variable Management'!$B$230</definedName>
    <definedName name="Rcea2">'Variable Management'!$D$225</definedName>
    <definedName name="Rcea2_u">'Variable Management'!$D$230</definedName>
    <definedName name="RCinEsr">'Variable Management'!$B$151</definedName>
    <definedName name="RCoutEsr">'Variable Management'!$B$126</definedName>
    <definedName name="Rdcr">'Variable Management'!$B$47</definedName>
    <definedName name="Rdcr2">'Variable Management'!$D$47</definedName>
    <definedName name="Rdson1">'Variable Management'!$B$273</definedName>
    <definedName name="Rdson2">'Variable Management'!$D$273</definedName>
    <definedName name="Rdson3">'Variable Management'!$B$292</definedName>
    <definedName name="Rdson4">'Variable Management'!$D$292</definedName>
    <definedName name="RdsonBotTc">'Variable Management'!$B$293</definedName>
    <definedName name="RdsonDRB">'Variable Management'!$B$265</definedName>
    <definedName name="RdsonDRB2">'Variable Management'!$B$266</definedName>
    <definedName name="RdsonDRT">'Variable Management'!$B$262</definedName>
    <definedName name="RdsonDRT2">'Variable Management'!$B$263</definedName>
    <definedName name="RdsonTopTc">'Variable Management'!$B$274</definedName>
    <definedName name="Rfadj">'Variable Management'!$B$30</definedName>
    <definedName name="Rfb1_">'Variable Management'!$B$238</definedName>
    <definedName name="Rfb2_">'Variable Management'!$B$239</definedName>
    <definedName name="Rfb2_u">'Variable Management'!$B$240</definedName>
    <definedName name="Rfb3_">'Variable Management'!$D$238</definedName>
    <definedName name="Rfb4_">'Variable Management'!$D$239</definedName>
    <definedName name="Rfb4_u">'Variable Management'!$D$240</definedName>
    <definedName name="Rfets">'Variable Management'!$B$244</definedName>
    <definedName name="Rgate1">'Variable Management'!$B$280</definedName>
    <definedName name="Rgate2">'Variable Management'!$D$280</definedName>
    <definedName name="Rgate3">'Variable Management'!$B$299</definedName>
    <definedName name="Rgate4">'Variable Management'!$D$299</definedName>
    <definedName name="Ri">'Variable Management'!$B$183</definedName>
    <definedName name="Ri_Ch2">'Variable Management'!$D$183</definedName>
    <definedName name="Ro">'Variable Management'!$B$214</definedName>
    <definedName name="Ro_Ch2">'Variable Management'!$D$214</definedName>
    <definedName name="RoEA">'Variable Management'!$B$204</definedName>
    <definedName name="Rout">'Variable Management'!$B$16</definedName>
    <definedName name="Rout2">'Variable Management'!$B$17</definedName>
    <definedName name="Rpg">'Variable Management'!$B$170</definedName>
    <definedName name="Rs">'Variable Management'!$B$93</definedName>
    <definedName name="Rs_Ch2">'Variable Management'!$D$93</definedName>
    <definedName name="Rs_ideal">'Variable Management'!$B$92</definedName>
    <definedName name="Rs2_ideal">'Variable Management'!$D$92</definedName>
    <definedName name="SCH_DUAL">'Schematic Management'!$B$5</definedName>
    <definedName name="SCH_MODE">'Variable Management'!$U$12</definedName>
    <definedName name="SCH_MULTIPHASE">'Schematic Management'!$B$10</definedName>
    <definedName name="SCH_SINGLE">'Schematic Management'!$B$8</definedName>
    <definedName name="Se_ext">'Variable Management'!$B$186</definedName>
    <definedName name="Se_ext_Ch2">'Variable Management'!$D$186</definedName>
    <definedName name="SENSING_TYPE">'Variable Management'!$AA$17</definedName>
    <definedName name="Sf">'Variable Management'!$B$188</definedName>
    <definedName name="Sf_Ch2">'Variable Management'!$D$188</definedName>
    <definedName name="SINGLE_OUTPUT">'Variable Management'!$U$14</definedName>
    <definedName name="Sn">'Variable Management'!$B$187</definedName>
    <definedName name="Sn_Ch2">'Variable Management'!$D$187</definedName>
    <definedName name="Ta">'Variable Management'!$B$253</definedName>
    <definedName name="Tf_buck">'Variable Management'!$B$319</definedName>
    <definedName name="Tf_Ch2">'Variable Management'!$D$319</definedName>
    <definedName name="ThetaCa">'Variable Management'!$B$256</definedName>
    <definedName name="ThetaJA_Q1">'Variable Management'!$B$288</definedName>
    <definedName name="ThetaJA_Q2">'Variable Management'!$D$288</definedName>
    <definedName name="ThetaJA_Q3">'Variable Management'!$B$307</definedName>
    <definedName name="ThetaJA_Q4">'Variable Management'!$D$307</definedName>
    <definedName name="ThetaJaCtrl">'Variable Management'!$B$315</definedName>
    <definedName name="TL">'Variable Management'!$B$73</definedName>
    <definedName name="Tr_buck">'Variable Management'!$B$318</definedName>
    <definedName name="Tr_Ch2">'Variable Management'!$D$318</definedName>
    <definedName name="Tres">'Variable Management'!$B$166</definedName>
    <definedName name="Trr_Q1">'Variable Management'!$B$287</definedName>
    <definedName name="Trr_Q2">'Variable Management'!$D$287</definedName>
    <definedName name="Trr_Q3">'Variable Management'!$B$306</definedName>
    <definedName name="Trr_Q4">'Variable Management'!$D$306</definedName>
    <definedName name="Ts">'Variable Management'!$B$28</definedName>
    <definedName name="Tss">'Variable Management'!$B$160</definedName>
    <definedName name="VARIANT">'Variable Management'!$Y$25</definedName>
    <definedName name="VCC">'Variable Management'!$B$260</definedName>
    <definedName name="VfdSky_Q2">'Variable Management'!$B$310</definedName>
    <definedName name="VfdSky_Q4">'Variable Management'!$D$310</definedName>
    <definedName name="Vin">'Variable Management'!$B$8</definedName>
    <definedName name="VIN_max">'Variable Management'!$B$9</definedName>
    <definedName name="VIN_MAX_RATING">'Variable Management'!$X$26</definedName>
    <definedName name="VIN_min">'Variable Management'!$B$7</definedName>
    <definedName name="VIN_nom">'Variable Management'!$B$8</definedName>
    <definedName name="Vinripple1">'Variable Management'!$B$140</definedName>
    <definedName name="Vinripple2">'Variable Management'!$B$140+'Variable Management'!$D$140</definedName>
    <definedName name="Vo1_ripple">'Variable Management'!$B$116</definedName>
    <definedName name="Vo2_ripple">'Variable Management'!$D$116</definedName>
    <definedName name="Vout">'Variable Management'!$B$11</definedName>
    <definedName name="VOUT_MAX_RATING">'Variable Management'!$X$27</definedName>
    <definedName name="Vout2">'Variable Management'!$B$13</definedName>
    <definedName name="Vref">'Variable Management'!$B$29</definedName>
    <definedName name="Vsd_Q1">'Variable Management'!$B$285</definedName>
    <definedName name="Vsd_Q2">'Variable Management'!$D$285</definedName>
    <definedName name="Vsd_Q3">'Variable Management'!$B$304</definedName>
    <definedName name="Vsd_Q4">'Variable Management'!$D$304</definedName>
    <definedName name="Vsp_Q1">'Variable Management'!$B$283</definedName>
    <definedName name="Vsp_Q2">'Variable Management'!$D$283</definedName>
    <definedName name="Vsp_Q3">'Variable Management'!$B$302</definedName>
    <definedName name="Vsp_Q4">'Variable Management'!$D$302</definedName>
    <definedName name="Vth_Q1">'Variable Management'!$B$282</definedName>
    <definedName name="Vth_Q2">'Variable Management'!$D$282</definedName>
    <definedName name="Vth_Q3">'Variable Management'!$B$301</definedName>
    <definedName name="Vth_Q4">'Variable Management'!$D$301</definedName>
    <definedName name="z_RHP" localSheetId="5">'Ch2 Stability Calculations'!$K$5</definedName>
    <definedName name="z_RHP">'Stability Calculations'!$K$5</definedName>
    <definedName name="Zero1" localSheetId="5">'Ch2 Stability Calculations'!$K$3</definedName>
    <definedName name="Zero1">'Stability Calculations'!$K$3</definedName>
    <definedName name="Zero2" localSheetId="5">'Ch2 Stability Calculations'!$C$4</definedName>
    <definedName name="Zero2">'Stability Calculations'!$C$4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1" i="1" l="1"/>
  <c r="D72" i="1"/>
  <c r="D75" i="1"/>
  <c r="D74" i="1"/>
  <c r="D73" i="1"/>
  <c r="X25" i="2"/>
  <c r="D75" i="16" l="1"/>
  <c r="C75" i="16"/>
  <c r="I75" i="16"/>
  <c r="X27" i="2"/>
  <c r="X26" i="2"/>
  <c r="D93" i="2" l="1"/>
  <c r="AN111" i="23" s="1"/>
  <c r="F87" i="2" l="1"/>
  <c r="AA19" i="2"/>
  <c r="B298" i="2" l="1"/>
  <c r="D298" i="2"/>
  <c r="D297" i="2"/>
  <c r="B297" i="2"/>
  <c r="D279" i="2"/>
  <c r="D278" i="2"/>
  <c r="B279" i="2"/>
  <c r="B278" i="2"/>
  <c r="L37" i="1" l="1"/>
  <c r="Q37" i="1"/>
  <c r="L35" i="1"/>
  <c r="L38" i="1"/>
  <c r="D69" i="1" l="1"/>
  <c r="AE687" i="25"/>
  <c r="V613" i="25"/>
  <c r="B613" i="25"/>
  <c r="V612" i="25"/>
  <c r="B612" i="25"/>
  <c r="V611" i="25"/>
  <c r="B611" i="25"/>
  <c r="V610" i="25"/>
  <c r="B610" i="25"/>
  <c r="V609" i="25"/>
  <c r="B609" i="25"/>
  <c r="V608" i="25"/>
  <c r="B608" i="25"/>
  <c r="V607" i="25"/>
  <c r="B607" i="25"/>
  <c r="V606" i="25"/>
  <c r="B606" i="25"/>
  <c r="V605" i="25"/>
  <c r="B605" i="25"/>
  <c r="V604" i="25"/>
  <c r="B604" i="25"/>
  <c r="V603" i="25"/>
  <c r="B603" i="25"/>
  <c r="V602" i="25"/>
  <c r="B602" i="25"/>
  <c r="V601" i="25"/>
  <c r="B601" i="25"/>
  <c r="V600" i="25"/>
  <c r="B600" i="25"/>
  <c r="V599" i="25"/>
  <c r="B599" i="25"/>
  <c r="V598" i="25"/>
  <c r="B598" i="25"/>
  <c r="V597" i="25"/>
  <c r="B597" i="25"/>
  <c r="V596" i="25"/>
  <c r="B596" i="25"/>
  <c r="V595" i="25"/>
  <c r="B595" i="25"/>
  <c r="V594" i="25"/>
  <c r="B594" i="25"/>
  <c r="V593" i="25"/>
  <c r="B593" i="25"/>
  <c r="V592" i="25"/>
  <c r="B592" i="25"/>
  <c r="V591" i="25"/>
  <c r="B591" i="25"/>
  <c r="V590" i="25"/>
  <c r="B590" i="25"/>
  <c r="V589" i="25"/>
  <c r="B589" i="25"/>
  <c r="V588" i="25"/>
  <c r="B588" i="25"/>
  <c r="V587" i="25"/>
  <c r="B587" i="25"/>
  <c r="V586" i="25"/>
  <c r="B586" i="25"/>
  <c r="V585" i="25"/>
  <c r="B585" i="25"/>
  <c r="V584" i="25"/>
  <c r="B584" i="25"/>
  <c r="V583" i="25"/>
  <c r="B583" i="25"/>
  <c r="V582" i="25"/>
  <c r="B582" i="25"/>
  <c r="V581" i="25"/>
  <c r="B581" i="25"/>
  <c r="V580" i="25"/>
  <c r="B580" i="25"/>
  <c r="V579" i="25"/>
  <c r="B579" i="25"/>
  <c r="V578" i="25"/>
  <c r="B578" i="25"/>
  <c r="V577" i="25"/>
  <c r="B577" i="25"/>
  <c r="V576" i="25"/>
  <c r="B576" i="25"/>
  <c r="V575" i="25"/>
  <c r="B575" i="25"/>
  <c r="V574" i="25"/>
  <c r="B574" i="25"/>
  <c r="V573" i="25"/>
  <c r="B573" i="25"/>
  <c r="V572" i="25"/>
  <c r="B572" i="25"/>
  <c r="V571" i="25"/>
  <c r="B571" i="25"/>
  <c r="V570" i="25"/>
  <c r="B570" i="25"/>
  <c r="V569" i="25"/>
  <c r="B569" i="25"/>
  <c r="V568" i="25"/>
  <c r="B568" i="25"/>
  <c r="V567" i="25"/>
  <c r="B567" i="25"/>
  <c r="V566" i="25"/>
  <c r="B566" i="25"/>
  <c r="V565" i="25"/>
  <c r="B565" i="25"/>
  <c r="V564" i="25"/>
  <c r="B564" i="25"/>
  <c r="V563" i="25"/>
  <c r="B563" i="25"/>
  <c r="V562" i="25"/>
  <c r="B562" i="25"/>
  <c r="V561" i="25"/>
  <c r="B561" i="25"/>
  <c r="V560" i="25"/>
  <c r="B560" i="25"/>
  <c r="V559" i="25"/>
  <c r="B559" i="25"/>
  <c r="V558" i="25"/>
  <c r="B558" i="25"/>
  <c r="V557" i="25"/>
  <c r="B557" i="25"/>
  <c r="V556" i="25"/>
  <c r="B556" i="25"/>
  <c r="V555" i="25"/>
  <c r="B555" i="25"/>
  <c r="V554" i="25"/>
  <c r="B554" i="25"/>
  <c r="V553" i="25"/>
  <c r="B553" i="25"/>
  <c r="V552" i="25"/>
  <c r="B552" i="25"/>
  <c r="V551" i="25"/>
  <c r="B551" i="25"/>
  <c r="V550" i="25"/>
  <c r="B550" i="25"/>
  <c r="V549" i="25"/>
  <c r="B549" i="25"/>
  <c r="V548" i="25"/>
  <c r="B548" i="25"/>
  <c r="V547" i="25"/>
  <c r="B547" i="25"/>
  <c r="V546" i="25"/>
  <c r="B546" i="25"/>
  <c r="V545" i="25"/>
  <c r="B545" i="25"/>
  <c r="V544" i="25"/>
  <c r="B544" i="25"/>
  <c r="V543" i="25"/>
  <c r="B543" i="25"/>
  <c r="V542" i="25"/>
  <c r="B542" i="25"/>
  <c r="V541" i="25"/>
  <c r="B541" i="25"/>
  <c r="V540" i="25"/>
  <c r="B540" i="25"/>
  <c r="V539" i="25"/>
  <c r="B539" i="25"/>
  <c r="V538" i="25"/>
  <c r="B538" i="25"/>
  <c r="V537" i="25"/>
  <c r="B537" i="25"/>
  <c r="V536" i="25"/>
  <c r="B536" i="25"/>
  <c r="V535" i="25"/>
  <c r="B535" i="25"/>
  <c r="V534" i="25"/>
  <c r="B534" i="25"/>
  <c r="V533" i="25"/>
  <c r="B533" i="25"/>
  <c r="V532" i="25"/>
  <c r="B532" i="25"/>
  <c r="V531" i="25"/>
  <c r="B531" i="25"/>
  <c r="V530" i="25"/>
  <c r="B530" i="25"/>
  <c r="V529" i="25"/>
  <c r="B529" i="25"/>
  <c r="V528" i="25"/>
  <c r="B528" i="25"/>
  <c r="V527" i="25"/>
  <c r="B527" i="25"/>
  <c r="V526" i="25"/>
  <c r="B526" i="25"/>
  <c r="V525" i="25"/>
  <c r="B525" i="25"/>
  <c r="V524" i="25"/>
  <c r="B524" i="25"/>
  <c r="V523" i="25"/>
  <c r="B523" i="25"/>
  <c r="V522" i="25"/>
  <c r="B522" i="25"/>
  <c r="V521" i="25"/>
  <c r="B521" i="25"/>
  <c r="V520" i="25"/>
  <c r="B520" i="25"/>
  <c r="V519" i="25"/>
  <c r="B519" i="25"/>
  <c r="V518" i="25"/>
  <c r="B518" i="25"/>
  <c r="V517" i="25"/>
  <c r="B517" i="25"/>
  <c r="V516" i="25"/>
  <c r="B516" i="25"/>
  <c r="V515" i="25"/>
  <c r="B515" i="25"/>
  <c r="V514" i="25"/>
  <c r="B514" i="25"/>
  <c r="V513" i="25"/>
  <c r="B513" i="25"/>
  <c r="V512" i="25"/>
  <c r="B512" i="25"/>
  <c r="V511" i="25"/>
  <c r="B511" i="25"/>
  <c r="V510" i="25"/>
  <c r="B510" i="25"/>
  <c r="V509" i="25"/>
  <c r="B509" i="25"/>
  <c r="V508" i="25"/>
  <c r="B508" i="25"/>
  <c r="V507" i="25"/>
  <c r="B507" i="25"/>
  <c r="V506" i="25"/>
  <c r="B506" i="25"/>
  <c r="V505" i="25"/>
  <c r="B505" i="25"/>
  <c r="V504" i="25"/>
  <c r="B504" i="25"/>
  <c r="V503" i="25"/>
  <c r="B503" i="25"/>
  <c r="V502" i="25"/>
  <c r="B502" i="25"/>
  <c r="V501" i="25"/>
  <c r="B501" i="25"/>
  <c r="V500" i="25"/>
  <c r="B500" i="25"/>
  <c r="V499" i="25"/>
  <c r="B499" i="25"/>
  <c r="V498" i="25"/>
  <c r="B498" i="25"/>
  <c r="V497" i="25"/>
  <c r="B497" i="25"/>
  <c r="V496" i="25"/>
  <c r="B496" i="25"/>
  <c r="V495" i="25"/>
  <c r="B495" i="25"/>
  <c r="V494" i="25"/>
  <c r="B494" i="25"/>
  <c r="V493" i="25"/>
  <c r="B493" i="25"/>
  <c r="V492" i="25"/>
  <c r="B492" i="25"/>
  <c r="V491" i="25"/>
  <c r="B491" i="25"/>
  <c r="V490" i="25"/>
  <c r="B490" i="25"/>
  <c r="V489" i="25"/>
  <c r="B489" i="25"/>
  <c r="V488" i="25"/>
  <c r="B488" i="25"/>
  <c r="V487" i="25"/>
  <c r="B487" i="25"/>
  <c r="V486" i="25"/>
  <c r="B486" i="25"/>
  <c r="V485" i="25"/>
  <c r="B485" i="25"/>
  <c r="V484" i="25"/>
  <c r="B484" i="25"/>
  <c r="V483" i="25"/>
  <c r="B483" i="25"/>
  <c r="V482" i="25"/>
  <c r="B482" i="25"/>
  <c r="V481" i="25"/>
  <c r="B481" i="25"/>
  <c r="V480" i="25"/>
  <c r="B480" i="25"/>
  <c r="V479" i="25"/>
  <c r="B479" i="25"/>
  <c r="V478" i="25"/>
  <c r="B478" i="25"/>
  <c r="V477" i="25"/>
  <c r="B477" i="25"/>
  <c r="V476" i="25"/>
  <c r="B476" i="25"/>
  <c r="V475" i="25"/>
  <c r="B475" i="25"/>
  <c r="V474" i="25"/>
  <c r="B474" i="25"/>
  <c r="V473" i="25"/>
  <c r="B473" i="25"/>
  <c r="V472" i="25"/>
  <c r="B472" i="25"/>
  <c r="V471" i="25"/>
  <c r="B471" i="25"/>
  <c r="V470" i="25"/>
  <c r="B470" i="25"/>
  <c r="V469" i="25"/>
  <c r="B469" i="25"/>
  <c r="V468" i="25"/>
  <c r="B468" i="25"/>
  <c r="V467" i="25"/>
  <c r="B467" i="25"/>
  <c r="V466" i="25"/>
  <c r="B466" i="25"/>
  <c r="V465" i="25"/>
  <c r="B465" i="25"/>
  <c r="V464" i="25"/>
  <c r="B464" i="25"/>
  <c r="V463" i="25"/>
  <c r="B463" i="25"/>
  <c r="V462" i="25"/>
  <c r="B462" i="25"/>
  <c r="V461" i="25"/>
  <c r="B461" i="25"/>
  <c r="V460" i="25"/>
  <c r="B460" i="25"/>
  <c r="V459" i="25"/>
  <c r="B459" i="25"/>
  <c r="V458" i="25"/>
  <c r="B458" i="25"/>
  <c r="V457" i="25"/>
  <c r="B457" i="25"/>
  <c r="V456" i="25"/>
  <c r="B456" i="25"/>
  <c r="V455" i="25"/>
  <c r="B455" i="25"/>
  <c r="V454" i="25"/>
  <c r="B454" i="25"/>
  <c r="V453" i="25"/>
  <c r="B453" i="25"/>
  <c r="V452" i="25"/>
  <c r="B452" i="25"/>
  <c r="V451" i="25"/>
  <c r="B451" i="25"/>
  <c r="V450" i="25"/>
  <c r="B450" i="25"/>
  <c r="V449" i="25"/>
  <c r="B449" i="25"/>
  <c r="V448" i="25"/>
  <c r="B448" i="25"/>
  <c r="V447" i="25"/>
  <c r="B447" i="25"/>
  <c r="V446" i="25"/>
  <c r="B446" i="25"/>
  <c r="V445" i="25"/>
  <c r="B445" i="25"/>
  <c r="V444" i="25"/>
  <c r="B444" i="25"/>
  <c r="V443" i="25"/>
  <c r="B443" i="25"/>
  <c r="V442" i="25"/>
  <c r="B442" i="25"/>
  <c r="V441" i="25"/>
  <c r="B441" i="25"/>
  <c r="V440" i="25"/>
  <c r="B440" i="25"/>
  <c r="V439" i="25"/>
  <c r="B439" i="25"/>
  <c r="V438" i="25"/>
  <c r="B438" i="25"/>
  <c r="V437" i="25"/>
  <c r="B437" i="25"/>
  <c r="V436" i="25"/>
  <c r="B436" i="25"/>
  <c r="V435" i="25"/>
  <c r="B435" i="25"/>
  <c r="V434" i="25"/>
  <c r="B434" i="25"/>
  <c r="V433" i="25"/>
  <c r="B433" i="25"/>
  <c r="V432" i="25"/>
  <c r="B432" i="25"/>
  <c r="V431" i="25"/>
  <c r="B431" i="25"/>
  <c r="V430" i="25"/>
  <c r="B430" i="25"/>
  <c r="V429" i="25"/>
  <c r="B429" i="25"/>
  <c r="V428" i="25"/>
  <c r="B428" i="25"/>
  <c r="V427" i="25"/>
  <c r="B427" i="25"/>
  <c r="V426" i="25"/>
  <c r="B426" i="25"/>
  <c r="V425" i="25"/>
  <c r="B425" i="25"/>
  <c r="V424" i="25"/>
  <c r="B424" i="25"/>
  <c r="V423" i="25"/>
  <c r="B423" i="25"/>
  <c r="V422" i="25"/>
  <c r="B422" i="25"/>
  <c r="V421" i="25"/>
  <c r="B421" i="25"/>
  <c r="V420" i="25"/>
  <c r="B420" i="25"/>
  <c r="V419" i="25"/>
  <c r="B419" i="25"/>
  <c r="V418" i="25"/>
  <c r="B418" i="25"/>
  <c r="V417" i="25"/>
  <c r="B417" i="25"/>
  <c r="V416" i="25"/>
  <c r="B416" i="25"/>
  <c r="V415" i="25"/>
  <c r="B415" i="25"/>
  <c r="V414" i="25"/>
  <c r="B414" i="25"/>
  <c r="V413" i="25"/>
  <c r="B413" i="25"/>
  <c r="V412" i="25"/>
  <c r="B412" i="25"/>
  <c r="V411" i="25"/>
  <c r="B411" i="25"/>
  <c r="V410" i="25"/>
  <c r="B410" i="25"/>
  <c r="V409" i="25"/>
  <c r="B409" i="25"/>
  <c r="V408" i="25"/>
  <c r="B408" i="25"/>
  <c r="V407" i="25"/>
  <c r="B407" i="25"/>
  <c r="V406" i="25"/>
  <c r="B406" i="25"/>
  <c r="V405" i="25"/>
  <c r="B405" i="25"/>
  <c r="V404" i="25"/>
  <c r="B404" i="25"/>
  <c r="V403" i="25"/>
  <c r="B403" i="25"/>
  <c r="V402" i="25"/>
  <c r="B402" i="25"/>
  <c r="V401" i="25"/>
  <c r="B401" i="25"/>
  <c r="V400" i="25"/>
  <c r="B400" i="25"/>
  <c r="V399" i="25"/>
  <c r="B399" i="25"/>
  <c r="V398" i="25"/>
  <c r="B398" i="25"/>
  <c r="V397" i="25"/>
  <c r="B397" i="25"/>
  <c r="V396" i="25"/>
  <c r="B396" i="25"/>
  <c r="V395" i="25"/>
  <c r="B395" i="25"/>
  <c r="V394" i="25"/>
  <c r="B394" i="25"/>
  <c r="V393" i="25"/>
  <c r="B393" i="25"/>
  <c r="V392" i="25"/>
  <c r="B392" i="25"/>
  <c r="V391" i="25"/>
  <c r="B391" i="25"/>
  <c r="V390" i="25"/>
  <c r="B390" i="25"/>
  <c r="V389" i="25"/>
  <c r="B389" i="25"/>
  <c r="V388" i="25"/>
  <c r="B388" i="25"/>
  <c r="V387" i="25"/>
  <c r="B387" i="25"/>
  <c r="V386" i="25"/>
  <c r="B386" i="25"/>
  <c r="V385" i="25"/>
  <c r="B385" i="25"/>
  <c r="V384" i="25"/>
  <c r="B384" i="25"/>
  <c r="V383" i="25"/>
  <c r="B383" i="25"/>
  <c r="V382" i="25"/>
  <c r="B382" i="25"/>
  <c r="V381" i="25"/>
  <c r="B381" i="25"/>
  <c r="V380" i="25"/>
  <c r="B380" i="25"/>
  <c r="V379" i="25"/>
  <c r="B379" i="25"/>
  <c r="V378" i="25"/>
  <c r="B378" i="25"/>
  <c r="V377" i="25"/>
  <c r="B377" i="25"/>
  <c r="V376" i="25"/>
  <c r="B376" i="25"/>
  <c r="V375" i="25"/>
  <c r="B375" i="25"/>
  <c r="V374" i="25"/>
  <c r="B374" i="25"/>
  <c r="V373" i="25"/>
  <c r="B373" i="25"/>
  <c r="V372" i="25"/>
  <c r="B372" i="25"/>
  <c r="V371" i="25"/>
  <c r="B371" i="25"/>
  <c r="V370" i="25"/>
  <c r="B370" i="25"/>
  <c r="V369" i="25"/>
  <c r="B369" i="25"/>
  <c r="V368" i="25"/>
  <c r="B368" i="25"/>
  <c r="V367" i="25"/>
  <c r="B367" i="25"/>
  <c r="V366" i="25"/>
  <c r="B366" i="25"/>
  <c r="V365" i="25"/>
  <c r="B365" i="25"/>
  <c r="V364" i="25"/>
  <c r="B364" i="25"/>
  <c r="V363" i="25"/>
  <c r="B363" i="25"/>
  <c r="V362" i="25"/>
  <c r="B362" i="25"/>
  <c r="V361" i="25"/>
  <c r="B361" i="25"/>
  <c r="V360" i="25"/>
  <c r="B360" i="25"/>
  <c r="V359" i="25"/>
  <c r="B359" i="25"/>
  <c r="V358" i="25"/>
  <c r="B358" i="25"/>
  <c r="V357" i="25"/>
  <c r="B357" i="25"/>
  <c r="V356" i="25"/>
  <c r="B356" i="25"/>
  <c r="V355" i="25"/>
  <c r="B355" i="25"/>
  <c r="V354" i="25"/>
  <c r="B354" i="25"/>
  <c r="V353" i="25"/>
  <c r="B353" i="25"/>
  <c r="V352" i="25"/>
  <c r="B352" i="25"/>
  <c r="V351" i="25"/>
  <c r="B351" i="25"/>
  <c r="V350" i="25"/>
  <c r="B350" i="25"/>
  <c r="V349" i="25"/>
  <c r="B349" i="25"/>
  <c r="V348" i="25"/>
  <c r="B348" i="25"/>
  <c r="V347" i="25"/>
  <c r="B347" i="25"/>
  <c r="V346" i="25"/>
  <c r="B346" i="25"/>
  <c r="V345" i="25"/>
  <c r="B345" i="25"/>
  <c r="V344" i="25"/>
  <c r="B344" i="25"/>
  <c r="V343" i="25"/>
  <c r="B343" i="25"/>
  <c r="V342" i="25"/>
  <c r="B342" i="25"/>
  <c r="V341" i="25"/>
  <c r="B341" i="25"/>
  <c r="V340" i="25"/>
  <c r="B340" i="25"/>
  <c r="V339" i="25"/>
  <c r="B339" i="25"/>
  <c r="V338" i="25"/>
  <c r="B338" i="25"/>
  <c r="V337" i="25"/>
  <c r="B337" i="25"/>
  <c r="V336" i="25"/>
  <c r="B336" i="25"/>
  <c r="V335" i="25"/>
  <c r="B335" i="25"/>
  <c r="V334" i="25"/>
  <c r="B334" i="25"/>
  <c r="V333" i="25"/>
  <c r="B333" i="25"/>
  <c r="V332" i="25"/>
  <c r="B332" i="25"/>
  <c r="V331" i="25"/>
  <c r="B331" i="25"/>
  <c r="V330" i="25"/>
  <c r="B330" i="25"/>
  <c r="V329" i="25"/>
  <c r="B329" i="25"/>
  <c r="V328" i="25"/>
  <c r="B328" i="25"/>
  <c r="V327" i="25"/>
  <c r="B327" i="25"/>
  <c r="V326" i="25"/>
  <c r="B326" i="25"/>
  <c r="V325" i="25"/>
  <c r="B325" i="25"/>
  <c r="V324" i="25"/>
  <c r="B324" i="25"/>
  <c r="V323" i="25"/>
  <c r="B323" i="25"/>
  <c r="V322" i="25"/>
  <c r="B322" i="25"/>
  <c r="V321" i="25"/>
  <c r="B321" i="25"/>
  <c r="V320" i="25"/>
  <c r="B320" i="25"/>
  <c r="V319" i="25"/>
  <c r="B319" i="25"/>
  <c r="V318" i="25"/>
  <c r="B318" i="25"/>
  <c r="V317" i="25"/>
  <c r="B317" i="25"/>
  <c r="V316" i="25"/>
  <c r="B316" i="25"/>
  <c r="V315" i="25"/>
  <c r="B315" i="25"/>
  <c r="V314" i="25"/>
  <c r="B314" i="25"/>
  <c r="V313" i="25"/>
  <c r="B313" i="25"/>
  <c r="V312" i="25"/>
  <c r="B312" i="25"/>
  <c r="V311" i="25"/>
  <c r="B311" i="25"/>
  <c r="V310" i="25"/>
  <c r="B310" i="25"/>
  <c r="V309" i="25"/>
  <c r="B309" i="25"/>
  <c r="V308" i="25"/>
  <c r="B308" i="25"/>
  <c r="V307" i="25"/>
  <c r="B307" i="25"/>
  <c r="V306" i="25"/>
  <c r="B306" i="25"/>
  <c r="V305" i="25"/>
  <c r="B305" i="25"/>
  <c r="V304" i="25"/>
  <c r="B304" i="25"/>
  <c r="V303" i="25"/>
  <c r="B303" i="25"/>
  <c r="V302" i="25"/>
  <c r="B302" i="25"/>
  <c r="V301" i="25"/>
  <c r="B301" i="25"/>
  <c r="V300" i="25"/>
  <c r="B300" i="25"/>
  <c r="V299" i="25"/>
  <c r="B299" i="25"/>
  <c r="V298" i="25"/>
  <c r="B298" i="25"/>
  <c r="V297" i="25"/>
  <c r="B297" i="25"/>
  <c r="V296" i="25"/>
  <c r="B296" i="25"/>
  <c r="V295" i="25"/>
  <c r="B295" i="25"/>
  <c r="V294" i="25"/>
  <c r="B294" i="25"/>
  <c r="V293" i="25"/>
  <c r="B293" i="25"/>
  <c r="V292" i="25"/>
  <c r="B292" i="25"/>
  <c r="V291" i="25"/>
  <c r="B291" i="25"/>
  <c r="V290" i="25"/>
  <c r="B290" i="25"/>
  <c r="V289" i="25"/>
  <c r="B289" i="25"/>
  <c r="V288" i="25"/>
  <c r="B288" i="25"/>
  <c r="V287" i="25"/>
  <c r="B287" i="25"/>
  <c r="V286" i="25"/>
  <c r="B286" i="25"/>
  <c r="V285" i="25"/>
  <c r="B285" i="25"/>
  <c r="V284" i="25"/>
  <c r="B284" i="25"/>
  <c r="V283" i="25"/>
  <c r="B283" i="25"/>
  <c r="V282" i="25"/>
  <c r="B282" i="25"/>
  <c r="V281" i="25"/>
  <c r="B281" i="25"/>
  <c r="V280" i="25"/>
  <c r="B280" i="25"/>
  <c r="V279" i="25"/>
  <c r="B279" i="25"/>
  <c r="V278" i="25"/>
  <c r="B278" i="25"/>
  <c r="V277" i="25"/>
  <c r="B277" i="25"/>
  <c r="V276" i="25"/>
  <c r="B276" i="25"/>
  <c r="V275" i="25"/>
  <c r="B275" i="25"/>
  <c r="V274" i="25"/>
  <c r="B274" i="25"/>
  <c r="V273" i="25"/>
  <c r="B273" i="25"/>
  <c r="V272" i="25"/>
  <c r="B272" i="25"/>
  <c r="V271" i="25"/>
  <c r="B271" i="25"/>
  <c r="V270" i="25"/>
  <c r="B270" i="25"/>
  <c r="V269" i="25"/>
  <c r="B269" i="25"/>
  <c r="V268" i="25"/>
  <c r="B268" i="25"/>
  <c r="V267" i="25"/>
  <c r="B267" i="25"/>
  <c r="V266" i="25"/>
  <c r="B266" i="25"/>
  <c r="V265" i="25"/>
  <c r="B265" i="25"/>
  <c r="V264" i="25"/>
  <c r="B264" i="25"/>
  <c r="V263" i="25"/>
  <c r="B263" i="25"/>
  <c r="V262" i="25"/>
  <c r="B262" i="25"/>
  <c r="V261" i="25"/>
  <c r="B261" i="25"/>
  <c r="V260" i="25"/>
  <c r="B260" i="25"/>
  <c r="V259" i="25"/>
  <c r="B259" i="25"/>
  <c r="V258" i="25"/>
  <c r="B258" i="25"/>
  <c r="V257" i="25"/>
  <c r="B257" i="25"/>
  <c r="V256" i="25"/>
  <c r="B256" i="25"/>
  <c r="V255" i="25"/>
  <c r="B255" i="25"/>
  <c r="V254" i="25"/>
  <c r="B254" i="25"/>
  <c r="V253" i="25"/>
  <c r="B253" i="25"/>
  <c r="V252" i="25"/>
  <c r="B252" i="25"/>
  <c r="V251" i="25"/>
  <c r="B251" i="25"/>
  <c r="V250" i="25"/>
  <c r="B250" i="25"/>
  <c r="V249" i="25"/>
  <c r="B249" i="25"/>
  <c r="V248" i="25"/>
  <c r="B248" i="25"/>
  <c r="V247" i="25"/>
  <c r="B247" i="25"/>
  <c r="V246" i="25"/>
  <c r="B246" i="25"/>
  <c r="V245" i="25"/>
  <c r="B245" i="25"/>
  <c r="V244" i="25"/>
  <c r="B244" i="25"/>
  <c r="V243" i="25"/>
  <c r="B243" i="25"/>
  <c r="V242" i="25"/>
  <c r="B242" i="25"/>
  <c r="V241" i="25"/>
  <c r="B241" i="25"/>
  <c r="V240" i="25"/>
  <c r="B240" i="25"/>
  <c r="V239" i="25"/>
  <c r="B239" i="25"/>
  <c r="V238" i="25"/>
  <c r="B238" i="25"/>
  <c r="V237" i="25"/>
  <c r="B237" i="25"/>
  <c r="V236" i="25"/>
  <c r="B236" i="25"/>
  <c r="V235" i="25"/>
  <c r="B235" i="25"/>
  <c r="V234" i="25"/>
  <c r="B234" i="25"/>
  <c r="V233" i="25"/>
  <c r="B233" i="25"/>
  <c r="V232" i="25"/>
  <c r="B232" i="25"/>
  <c r="V231" i="25"/>
  <c r="B231" i="25"/>
  <c r="V230" i="25"/>
  <c r="B230" i="25"/>
  <c r="V229" i="25"/>
  <c r="B229" i="25"/>
  <c r="V228" i="25"/>
  <c r="B228" i="25"/>
  <c r="V227" i="25"/>
  <c r="B227" i="25"/>
  <c r="V226" i="25"/>
  <c r="B226" i="25"/>
  <c r="V225" i="25"/>
  <c r="B225" i="25"/>
  <c r="V224" i="25"/>
  <c r="B224" i="25"/>
  <c r="V223" i="25"/>
  <c r="B223" i="25"/>
  <c r="V222" i="25"/>
  <c r="B222" i="25"/>
  <c r="V221" i="25"/>
  <c r="B221" i="25"/>
  <c r="V220" i="25"/>
  <c r="B220" i="25"/>
  <c r="V219" i="25"/>
  <c r="B219" i="25"/>
  <c r="V218" i="25"/>
  <c r="B218" i="25"/>
  <c r="V217" i="25"/>
  <c r="B217" i="25"/>
  <c r="V216" i="25"/>
  <c r="B216" i="25"/>
  <c r="V215" i="25"/>
  <c r="B215" i="25"/>
  <c r="V214" i="25"/>
  <c r="B214" i="25"/>
  <c r="V213" i="25"/>
  <c r="B213" i="25"/>
  <c r="V212" i="25"/>
  <c r="B212" i="25"/>
  <c r="V211" i="25"/>
  <c r="B211" i="25"/>
  <c r="V210" i="25"/>
  <c r="B210" i="25"/>
  <c r="V209" i="25"/>
  <c r="B209" i="25"/>
  <c r="V208" i="25"/>
  <c r="B208" i="25"/>
  <c r="V207" i="25"/>
  <c r="B207" i="25"/>
  <c r="V206" i="25"/>
  <c r="B206" i="25"/>
  <c r="V205" i="25"/>
  <c r="B205" i="25"/>
  <c r="V204" i="25"/>
  <c r="B204" i="25"/>
  <c r="V203" i="25"/>
  <c r="B203" i="25"/>
  <c r="V202" i="25"/>
  <c r="B202" i="25"/>
  <c r="V201" i="25"/>
  <c r="B201" i="25"/>
  <c r="V200" i="25"/>
  <c r="B200" i="25"/>
  <c r="V199" i="25"/>
  <c r="B199" i="25"/>
  <c r="V198" i="25"/>
  <c r="B198" i="25"/>
  <c r="V197" i="25"/>
  <c r="B197" i="25"/>
  <c r="V196" i="25"/>
  <c r="B196" i="25"/>
  <c r="V195" i="25"/>
  <c r="B195" i="25"/>
  <c r="V194" i="25"/>
  <c r="B194" i="25"/>
  <c r="V193" i="25"/>
  <c r="B193" i="25"/>
  <c r="V192" i="25"/>
  <c r="B192" i="25"/>
  <c r="V191" i="25"/>
  <c r="B191" i="25"/>
  <c r="V190" i="25"/>
  <c r="B190" i="25"/>
  <c r="V189" i="25"/>
  <c r="B189" i="25"/>
  <c r="V188" i="25"/>
  <c r="B188" i="25"/>
  <c r="V187" i="25"/>
  <c r="B187" i="25"/>
  <c r="V186" i="25"/>
  <c r="B186" i="25"/>
  <c r="V185" i="25"/>
  <c r="B185" i="25"/>
  <c r="V184" i="25"/>
  <c r="B184" i="25"/>
  <c r="V183" i="25"/>
  <c r="B183" i="25"/>
  <c r="V182" i="25"/>
  <c r="B182" i="25"/>
  <c r="V181" i="25"/>
  <c r="B181" i="25"/>
  <c r="V180" i="25"/>
  <c r="B180" i="25"/>
  <c r="V179" i="25"/>
  <c r="B179" i="25"/>
  <c r="V178" i="25"/>
  <c r="B178" i="25"/>
  <c r="V177" i="25"/>
  <c r="B177" i="25"/>
  <c r="V176" i="25"/>
  <c r="B176" i="25"/>
  <c r="V175" i="25"/>
  <c r="B175" i="25"/>
  <c r="V174" i="25"/>
  <c r="B174" i="25"/>
  <c r="V173" i="25"/>
  <c r="B173" i="25"/>
  <c r="V172" i="25"/>
  <c r="B172" i="25"/>
  <c r="V171" i="25"/>
  <c r="B171" i="25"/>
  <c r="V170" i="25"/>
  <c r="B170" i="25"/>
  <c r="V169" i="25"/>
  <c r="B169" i="25"/>
  <c r="V168" i="25"/>
  <c r="B168" i="25"/>
  <c r="V167" i="25"/>
  <c r="B167" i="25"/>
  <c r="V166" i="25"/>
  <c r="B166" i="25"/>
  <c r="V165" i="25"/>
  <c r="B165" i="25"/>
  <c r="V164" i="25"/>
  <c r="B164" i="25"/>
  <c r="V163" i="25"/>
  <c r="B163" i="25"/>
  <c r="V162" i="25"/>
  <c r="B162" i="25"/>
  <c r="V161" i="25"/>
  <c r="B161" i="25"/>
  <c r="V160" i="25"/>
  <c r="B160" i="25"/>
  <c r="V159" i="25"/>
  <c r="B159" i="25"/>
  <c r="V158" i="25"/>
  <c r="B158" i="25"/>
  <c r="V157" i="25"/>
  <c r="B157" i="25"/>
  <c r="V156" i="25"/>
  <c r="B156" i="25"/>
  <c r="V155" i="25"/>
  <c r="B155" i="25"/>
  <c r="V154" i="25"/>
  <c r="B154" i="25"/>
  <c r="V153" i="25"/>
  <c r="B153" i="25"/>
  <c r="V152" i="25"/>
  <c r="B152" i="25"/>
  <c r="V151" i="25"/>
  <c r="B151" i="25"/>
  <c r="V150" i="25"/>
  <c r="B150" i="25"/>
  <c r="V149" i="25"/>
  <c r="B149" i="25"/>
  <c r="V148" i="25"/>
  <c r="B148" i="25"/>
  <c r="V147" i="25"/>
  <c r="B147" i="25"/>
  <c r="V146" i="25"/>
  <c r="B146" i="25"/>
  <c r="V145" i="25"/>
  <c r="B145" i="25"/>
  <c r="V144" i="25"/>
  <c r="B144" i="25"/>
  <c r="V143" i="25"/>
  <c r="B143" i="25"/>
  <c r="V142" i="25"/>
  <c r="B142" i="25"/>
  <c r="V141" i="25"/>
  <c r="B141" i="25"/>
  <c r="V140" i="25"/>
  <c r="B140" i="25"/>
  <c r="V139" i="25"/>
  <c r="B139" i="25"/>
  <c r="V138" i="25"/>
  <c r="B138" i="25"/>
  <c r="V137" i="25"/>
  <c r="B137" i="25"/>
  <c r="V136" i="25"/>
  <c r="B136" i="25"/>
  <c r="V135" i="25"/>
  <c r="B135" i="25"/>
  <c r="V134" i="25"/>
  <c r="B134" i="25"/>
  <c r="V133" i="25"/>
  <c r="B133" i="25"/>
  <c r="V132" i="25"/>
  <c r="B132" i="25"/>
  <c r="V131" i="25"/>
  <c r="B131" i="25"/>
  <c r="V130" i="25"/>
  <c r="B130" i="25"/>
  <c r="V129" i="25"/>
  <c r="B129" i="25"/>
  <c r="V128" i="25"/>
  <c r="B128" i="25"/>
  <c r="V127" i="25"/>
  <c r="B127" i="25"/>
  <c r="V126" i="25"/>
  <c r="B126" i="25"/>
  <c r="V125" i="25"/>
  <c r="B125" i="25"/>
  <c r="V124" i="25"/>
  <c r="B124" i="25"/>
  <c r="V123" i="25"/>
  <c r="B123" i="25"/>
  <c r="V122" i="25"/>
  <c r="B122" i="25"/>
  <c r="V121" i="25"/>
  <c r="B121" i="25"/>
  <c r="V120" i="25"/>
  <c r="B120" i="25"/>
  <c r="V119" i="25"/>
  <c r="B119" i="25"/>
  <c r="V118" i="25"/>
  <c r="B118" i="25"/>
  <c r="V117" i="25"/>
  <c r="B117" i="25"/>
  <c r="V116" i="25"/>
  <c r="B116" i="25"/>
  <c r="V115" i="25"/>
  <c r="B115" i="25"/>
  <c r="V114" i="25"/>
  <c r="B114" i="25"/>
  <c r="V113" i="25"/>
  <c r="B113" i="25"/>
  <c r="V112" i="25"/>
  <c r="B112" i="25"/>
  <c r="V111" i="25"/>
  <c r="B111" i="25"/>
  <c r="V110" i="25"/>
  <c r="B110" i="25"/>
  <c r="V109" i="25"/>
  <c r="B109" i="25"/>
  <c r="V108" i="25"/>
  <c r="B108" i="25"/>
  <c r="V107" i="25"/>
  <c r="B107" i="25"/>
  <c r="V106" i="25"/>
  <c r="B106" i="25"/>
  <c r="V105" i="25"/>
  <c r="B105" i="25"/>
  <c r="V104" i="25"/>
  <c r="B104" i="25"/>
  <c r="V103" i="25"/>
  <c r="B103" i="25"/>
  <c r="V102" i="25"/>
  <c r="B102" i="25"/>
  <c r="V101" i="25"/>
  <c r="B101" i="25"/>
  <c r="V100" i="25"/>
  <c r="B100" i="25"/>
  <c r="V99" i="25"/>
  <c r="B99" i="25"/>
  <c r="V98" i="25"/>
  <c r="B98" i="25"/>
  <c r="V97" i="25"/>
  <c r="B97" i="25"/>
  <c r="V96" i="25"/>
  <c r="B96" i="25"/>
  <c r="V95" i="25"/>
  <c r="B95" i="25"/>
  <c r="V94" i="25"/>
  <c r="B94" i="25"/>
  <c r="V93" i="25"/>
  <c r="B93" i="25"/>
  <c r="V92" i="25"/>
  <c r="B92" i="25"/>
  <c r="V91" i="25"/>
  <c r="B91" i="25"/>
  <c r="V90" i="25"/>
  <c r="B90" i="25"/>
  <c r="V89" i="25"/>
  <c r="B89" i="25"/>
  <c r="V88" i="25"/>
  <c r="B88" i="25"/>
  <c r="V87" i="25"/>
  <c r="B87" i="25"/>
  <c r="V86" i="25"/>
  <c r="B86" i="25"/>
  <c r="V85" i="25"/>
  <c r="B85" i="25"/>
  <c r="V84" i="25"/>
  <c r="B84" i="25"/>
  <c r="V83" i="25"/>
  <c r="B83" i="25"/>
  <c r="V82" i="25"/>
  <c r="B82" i="25"/>
  <c r="V81" i="25"/>
  <c r="B81" i="25"/>
  <c r="V80" i="25"/>
  <c r="B80" i="25"/>
  <c r="V79" i="25"/>
  <c r="B79" i="25"/>
  <c r="V78" i="25"/>
  <c r="B78" i="25"/>
  <c r="V77" i="25"/>
  <c r="B77" i="25"/>
  <c r="V76" i="25"/>
  <c r="B76" i="25"/>
  <c r="V75" i="25"/>
  <c r="B75" i="25"/>
  <c r="V74" i="25"/>
  <c r="B74" i="25"/>
  <c r="V73" i="25"/>
  <c r="B73" i="25"/>
  <c r="V72" i="25"/>
  <c r="B72" i="25"/>
  <c r="V71" i="25"/>
  <c r="B71" i="25"/>
  <c r="V70" i="25"/>
  <c r="B70" i="25"/>
  <c r="V69" i="25"/>
  <c r="B69" i="25"/>
  <c r="V68" i="25"/>
  <c r="B68" i="25"/>
  <c r="V67" i="25"/>
  <c r="B67" i="25"/>
  <c r="V66" i="25"/>
  <c r="B66" i="25"/>
  <c r="V65" i="25"/>
  <c r="B65" i="25"/>
  <c r="V64" i="25"/>
  <c r="B64" i="25"/>
  <c r="V63" i="25"/>
  <c r="B63" i="25"/>
  <c r="V62" i="25"/>
  <c r="B62" i="25"/>
  <c r="V61" i="25"/>
  <c r="B61" i="25"/>
  <c r="V60" i="25"/>
  <c r="B60" i="25"/>
  <c r="V59" i="25"/>
  <c r="B59" i="25"/>
  <c r="V58" i="25"/>
  <c r="B58" i="25"/>
  <c r="V57" i="25"/>
  <c r="B57" i="25"/>
  <c r="V56" i="25"/>
  <c r="B56" i="25"/>
  <c r="V55" i="25"/>
  <c r="B55" i="25"/>
  <c r="V54" i="25"/>
  <c r="B54" i="25"/>
  <c r="V53" i="25"/>
  <c r="B53" i="25"/>
  <c r="V52" i="25"/>
  <c r="B52" i="25"/>
  <c r="V51" i="25"/>
  <c r="B51" i="25"/>
  <c r="V50" i="25"/>
  <c r="B50" i="25"/>
  <c r="V49" i="25"/>
  <c r="B49" i="25"/>
  <c r="V48" i="25"/>
  <c r="B48" i="25"/>
  <c r="V47" i="25"/>
  <c r="B47" i="25"/>
  <c r="V46" i="25"/>
  <c r="B46" i="25"/>
  <c r="V45" i="25"/>
  <c r="B45" i="25"/>
  <c r="V44" i="25"/>
  <c r="B44" i="25"/>
  <c r="V43" i="25"/>
  <c r="B43" i="25"/>
  <c r="V42" i="25"/>
  <c r="B42" i="25"/>
  <c r="V41" i="25"/>
  <c r="B41" i="25"/>
  <c r="V40" i="25"/>
  <c r="B40" i="25"/>
  <c r="V39" i="25"/>
  <c r="B39" i="25"/>
  <c r="V38" i="25"/>
  <c r="B38" i="25"/>
  <c r="V37" i="25"/>
  <c r="B37" i="25"/>
  <c r="V36" i="25"/>
  <c r="B36" i="25"/>
  <c r="V35" i="25"/>
  <c r="B35" i="25"/>
  <c r="V34" i="25"/>
  <c r="B34" i="25"/>
  <c r="V33" i="25"/>
  <c r="B33" i="25"/>
  <c r="V32" i="25"/>
  <c r="B32" i="25"/>
  <c r="V31" i="25"/>
  <c r="B31" i="25"/>
  <c r="V30" i="25"/>
  <c r="B30" i="25"/>
  <c r="V29" i="25"/>
  <c r="B29" i="25"/>
  <c r="V28" i="25"/>
  <c r="B28" i="25"/>
  <c r="V27" i="25"/>
  <c r="B27" i="25"/>
  <c r="V26" i="25"/>
  <c r="B26" i="25"/>
  <c r="V25" i="25"/>
  <c r="B25" i="25"/>
  <c r="V24" i="25"/>
  <c r="B24" i="25"/>
  <c r="V23" i="25"/>
  <c r="B23" i="25"/>
  <c r="V22" i="25"/>
  <c r="B22" i="25"/>
  <c r="V21" i="25"/>
  <c r="B21" i="25"/>
  <c r="V20" i="25"/>
  <c r="B20" i="25"/>
  <c r="V19" i="25"/>
  <c r="B19" i="25"/>
  <c r="V18" i="25"/>
  <c r="B18" i="25"/>
  <c r="V17" i="25"/>
  <c r="B17" i="25"/>
  <c r="V16" i="25"/>
  <c r="B16" i="25"/>
  <c r="V15" i="25"/>
  <c r="B15" i="25"/>
  <c r="V14" i="25"/>
  <c r="B14" i="25"/>
  <c r="V13" i="25"/>
  <c r="B13" i="25"/>
  <c r="Q6" i="25"/>
  <c r="I3" i="25"/>
  <c r="D56" i="1"/>
  <c r="U15" i="2"/>
  <c r="B345" i="2" l="1"/>
  <c r="A628" i="25"/>
  <c r="B253" i="2"/>
  <c r="A2" i="19"/>
  <c r="A2" i="24"/>
  <c r="F6" i="24"/>
  <c r="I38" i="16" l="1"/>
  <c r="I37" i="16"/>
  <c r="Z8" i="2"/>
  <c r="K8" i="2"/>
  <c r="A2" i="22"/>
  <c r="D57" i="1"/>
  <c r="B12" i="2" l="1"/>
  <c r="B137" i="2" s="1"/>
  <c r="A53" i="16"/>
  <c r="J11" i="21" l="1"/>
  <c r="K24" i="21"/>
  <c r="K40" i="21"/>
  <c r="K56" i="21"/>
  <c r="K72" i="21"/>
  <c r="K88" i="21"/>
  <c r="K104" i="21"/>
  <c r="K21" i="21"/>
  <c r="K37" i="21"/>
  <c r="K101" i="21"/>
  <c r="K58" i="21"/>
  <c r="K10" i="21"/>
  <c r="K67" i="21"/>
  <c r="K43" i="21"/>
  <c r="K93" i="21"/>
  <c r="K71" i="21"/>
  <c r="K18" i="21"/>
  <c r="K30" i="21"/>
  <c r="K97" i="21"/>
  <c r="K54" i="21"/>
  <c r="K96" i="21"/>
  <c r="K45" i="21"/>
  <c r="K38" i="21"/>
  <c r="K78" i="21"/>
  <c r="K27" i="21"/>
  <c r="K34" i="21"/>
  <c r="K107" i="21"/>
  <c r="K86" i="21"/>
  <c r="K12" i="21"/>
  <c r="K28" i="21"/>
  <c r="K44" i="21"/>
  <c r="K60" i="21"/>
  <c r="K76" i="21"/>
  <c r="K92" i="21"/>
  <c r="K108" i="21"/>
  <c r="K25" i="21"/>
  <c r="K41" i="21"/>
  <c r="K90" i="21"/>
  <c r="K46" i="21"/>
  <c r="K105" i="21"/>
  <c r="K83" i="21"/>
  <c r="K62" i="21"/>
  <c r="K35" i="21"/>
  <c r="K109" i="21"/>
  <c r="K87" i="21"/>
  <c r="K66" i="21"/>
  <c r="K42" i="21"/>
  <c r="K9" i="21"/>
  <c r="K74" i="21"/>
  <c r="K22" i="21"/>
  <c r="K91" i="21"/>
  <c r="K70" i="21"/>
  <c r="K47" i="21"/>
  <c r="K15" i="21"/>
  <c r="K16" i="21"/>
  <c r="K32" i="21"/>
  <c r="K48" i="21"/>
  <c r="K64" i="21"/>
  <c r="K80" i="21"/>
  <c r="K13" i="21"/>
  <c r="K79" i="21"/>
  <c r="K57" i="21"/>
  <c r="K82" i="21"/>
  <c r="K63" i="21"/>
  <c r="K39" i="21"/>
  <c r="K20" i="21"/>
  <c r="K36" i="21"/>
  <c r="K52" i="21"/>
  <c r="K68" i="21"/>
  <c r="K84" i="21"/>
  <c r="K100" i="21"/>
  <c r="K17" i="21"/>
  <c r="K33" i="21"/>
  <c r="K49" i="21"/>
  <c r="K69" i="21"/>
  <c r="K14" i="21"/>
  <c r="K94" i="21"/>
  <c r="K73" i="21"/>
  <c r="K51" i="21"/>
  <c r="K19" i="21"/>
  <c r="K98" i="21"/>
  <c r="K77" i="21"/>
  <c r="K55" i="21"/>
  <c r="K26" i="21"/>
  <c r="K95" i="21"/>
  <c r="K53" i="21"/>
  <c r="K102" i="21"/>
  <c r="K81" i="21"/>
  <c r="K59" i="21"/>
  <c r="K31" i="21"/>
  <c r="K89" i="21"/>
  <c r="K11" i="21"/>
  <c r="K50" i="21"/>
  <c r="K85" i="21"/>
  <c r="K75" i="21"/>
  <c r="K23" i="21"/>
  <c r="K29" i="21"/>
  <c r="K99" i="21"/>
  <c r="K103" i="21"/>
  <c r="K61" i="21"/>
  <c r="K106" i="21"/>
  <c r="K65" i="21"/>
  <c r="J69" i="21"/>
  <c r="J105" i="21"/>
  <c r="J101" i="21"/>
  <c r="J37" i="21"/>
  <c r="J41" i="21"/>
  <c r="J73" i="21"/>
  <c r="J89" i="21"/>
  <c r="J57" i="21"/>
  <c r="J25" i="21"/>
  <c r="J85" i="21"/>
  <c r="J53" i="21"/>
  <c r="J21" i="21"/>
  <c r="J97" i="21"/>
  <c r="J81" i="21"/>
  <c r="J65" i="21"/>
  <c r="J49" i="21"/>
  <c r="J33" i="21"/>
  <c r="J109" i="21"/>
  <c r="J93" i="21"/>
  <c r="J77" i="21"/>
  <c r="J61" i="21"/>
  <c r="J45" i="21"/>
  <c r="J29" i="21"/>
  <c r="J13" i="21"/>
  <c r="J10" i="21"/>
  <c r="J106" i="21"/>
  <c r="J102" i="21"/>
  <c r="J98" i="21"/>
  <c r="J94" i="21"/>
  <c r="J90" i="21"/>
  <c r="J86" i="21"/>
  <c r="J82" i="21"/>
  <c r="J78" i="21"/>
  <c r="J74" i="21"/>
  <c r="J70" i="21"/>
  <c r="J66" i="21"/>
  <c r="J62" i="21"/>
  <c r="J58" i="21"/>
  <c r="J54" i="21"/>
  <c r="J50" i="21"/>
  <c r="J46" i="21"/>
  <c r="J42" i="21"/>
  <c r="J38" i="21"/>
  <c r="J34" i="21"/>
  <c r="J30" i="21"/>
  <c r="J26" i="21"/>
  <c r="J22" i="21"/>
  <c r="J18" i="21"/>
  <c r="J14" i="21"/>
  <c r="J17" i="21"/>
  <c r="J108" i="21"/>
  <c r="J104" i="21"/>
  <c r="J100" i="21"/>
  <c r="J96" i="21"/>
  <c r="J92" i="21"/>
  <c r="J88" i="21"/>
  <c r="J84" i="21"/>
  <c r="J80" i="21"/>
  <c r="J76" i="21"/>
  <c r="J72" i="21"/>
  <c r="J68" i="21"/>
  <c r="J64" i="21"/>
  <c r="J60" i="21"/>
  <c r="J56" i="21"/>
  <c r="J52" i="21"/>
  <c r="J48" i="21"/>
  <c r="J44" i="21"/>
  <c r="J40" i="21"/>
  <c r="J36" i="21"/>
  <c r="J32" i="21"/>
  <c r="J28" i="21"/>
  <c r="J24" i="21"/>
  <c r="J20" i="21"/>
  <c r="J16" i="21"/>
  <c r="J12" i="21"/>
  <c r="J107" i="21"/>
  <c r="J103" i="21"/>
  <c r="J99" i="21"/>
  <c r="J95" i="21"/>
  <c r="J91" i="21"/>
  <c r="J87" i="21"/>
  <c r="J83" i="21"/>
  <c r="J79" i="21"/>
  <c r="J75" i="21"/>
  <c r="J71" i="21"/>
  <c r="J67" i="21"/>
  <c r="J63" i="21"/>
  <c r="J59" i="21"/>
  <c r="J55" i="21"/>
  <c r="J51" i="21"/>
  <c r="J47" i="21"/>
  <c r="J43" i="21"/>
  <c r="J39" i="21"/>
  <c r="J35" i="21"/>
  <c r="J31" i="21"/>
  <c r="J27" i="21"/>
  <c r="J23" i="21"/>
  <c r="J19" i="21"/>
  <c r="J15" i="21"/>
  <c r="D363" i="2" l="1"/>
  <c r="D299" i="2"/>
  <c r="B52" i="23" s="1"/>
  <c r="B299" i="2"/>
  <c r="B42" i="23" s="1"/>
  <c r="B55" i="23"/>
  <c r="D305" i="2"/>
  <c r="B54" i="23" s="1"/>
  <c r="T109" i="23"/>
  <c r="T108" i="23"/>
  <c r="T107" i="23"/>
  <c r="T106" i="23"/>
  <c r="T105" i="23"/>
  <c r="T104" i="23"/>
  <c r="T103" i="23"/>
  <c r="T102" i="23"/>
  <c r="T101" i="23"/>
  <c r="T100" i="23"/>
  <c r="T99" i="23"/>
  <c r="T98" i="23"/>
  <c r="T97" i="23"/>
  <c r="T96" i="23"/>
  <c r="T95" i="23"/>
  <c r="T94" i="23"/>
  <c r="T93" i="23"/>
  <c r="T92" i="23"/>
  <c r="T91" i="23"/>
  <c r="T90" i="23"/>
  <c r="T89" i="23"/>
  <c r="T88" i="23"/>
  <c r="T87" i="23"/>
  <c r="T86" i="23"/>
  <c r="T85" i="23"/>
  <c r="T84" i="23"/>
  <c r="T83" i="23"/>
  <c r="T82" i="23"/>
  <c r="T81" i="23"/>
  <c r="T80" i="23"/>
  <c r="T79" i="23"/>
  <c r="T78" i="23"/>
  <c r="T77" i="23"/>
  <c r="T76" i="23"/>
  <c r="T75" i="23"/>
  <c r="T74" i="23"/>
  <c r="T73" i="23"/>
  <c r="T72" i="23"/>
  <c r="T71" i="23"/>
  <c r="T70" i="23"/>
  <c r="T69" i="23"/>
  <c r="T68" i="23"/>
  <c r="T67" i="23"/>
  <c r="T66" i="23"/>
  <c r="T65" i="23"/>
  <c r="T64" i="23"/>
  <c r="T63" i="23"/>
  <c r="T62" i="23"/>
  <c r="T61" i="23"/>
  <c r="T60" i="23"/>
  <c r="B60" i="23"/>
  <c r="T59" i="23"/>
  <c r="T58" i="23"/>
  <c r="T57" i="23"/>
  <c r="T56" i="23"/>
  <c r="T55" i="23"/>
  <c r="T54" i="23"/>
  <c r="T53" i="23"/>
  <c r="T52" i="23"/>
  <c r="T51" i="23"/>
  <c r="T50" i="23"/>
  <c r="T49" i="23"/>
  <c r="T48" i="23"/>
  <c r="T47" i="23"/>
  <c r="T46" i="23"/>
  <c r="T45" i="23"/>
  <c r="T44" i="23"/>
  <c r="T43" i="23"/>
  <c r="T42" i="23"/>
  <c r="T41" i="23"/>
  <c r="T40" i="23"/>
  <c r="T39" i="23"/>
  <c r="T38" i="23"/>
  <c r="T37" i="23"/>
  <c r="T36" i="23"/>
  <c r="T35" i="23"/>
  <c r="B35" i="23"/>
  <c r="T34" i="23"/>
  <c r="T33" i="23"/>
  <c r="B33" i="23"/>
  <c r="T32" i="23"/>
  <c r="T31" i="23"/>
  <c r="T30" i="23"/>
  <c r="B30" i="23"/>
  <c r="T29" i="23"/>
  <c r="T28" i="23"/>
  <c r="B28" i="23"/>
  <c r="T27" i="23"/>
  <c r="B27" i="23"/>
  <c r="T26" i="23"/>
  <c r="T25" i="23"/>
  <c r="T24" i="23"/>
  <c r="T23" i="23"/>
  <c r="T22" i="23"/>
  <c r="T21" i="23"/>
  <c r="B21" i="23"/>
  <c r="T20" i="23"/>
  <c r="T19" i="23"/>
  <c r="T18" i="23"/>
  <c r="T17" i="23"/>
  <c r="T16" i="23"/>
  <c r="B16" i="23"/>
  <c r="T15" i="23"/>
  <c r="B15" i="23"/>
  <c r="T14" i="23"/>
  <c r="T13" i="23"/>
  <c r="T12" i="23"/>
  <c r="T11" i="23"/>
  <c r="T10" i="23"/>
  <c r="T9" i="23"/>
  <c r="T10" i="21" l="1"/>
  <c r="T11" i="21"/>
  <c r="T12" i="21"/>
  <c r="T13" i="21"/>
  <c r="T14" i="21"/>
  <c r="T15" i="21"/>
  <c r="T16" i="21"/>
  <c r="T17" i="21"/>
  <c r="T18" i="21"/>
  <c r="T19" i="21"/>
  <c r="T20" i="21"/>
  <c r="T21" i="21"/>
  <c r="T22" i="21"/>
  <c r="T23" i="21"/>
  <c r="T24" i="21"/>
  <c r="T25" i="21"/>
  <c r="T26" i="21"/>
  <c r="T27" i="21"/>
  <c r="T28" i="21"/>
  <c r="T29" i="21"/>
  <c r="T30" i="21"/>
  <c r="T31" i="21"/>
  <c r="T32" i="21"/>
  <c r="T33" i="21"/>
  <c r="T34" i="21"/>
  <c r="T35" i="21"/>
  <c r="T36" i="21"/>
  <c r="T37" i="21"/>
  <c r="T38" i="21"/>
  <c r="T39" i="21"/>
  <c r="T40" i="21"/>
  <c r="T41" i="21"/>
  <c r="T42" i="21"/>
  <c r="T43" i="21"/>
  <c r="T44" i="21"/>
  <c r="T45" i="21"/>
  <c r="T46" i="21"/>
  <c r="T47" i="21"/>
  <c r="T48" i="21"/>
  <c r="T49" i="21"/>
  <c r="T50" i="21"/>
  <c r="T51" i="21"/>
  <c r="T52" i="21"/>
  <c r="T53" i="21"/>
  <c r="T54" i="21"/>
  <c r="T55" i="21"/>
  <c r="T56" i="21"/>
  <c r="T57" i="21"/>
  <c r="T58" i="21"/>
  <c r="T59" i="21"/>
  <c r="T60" i="21"/>
  <c r="T61" i="21"/>
  <c r="T62" i="21"/>
  <c r="T63" i="21"/>
  <c r="T64" i="21"/>
  <c r="T65" i="21"/>
  <c r="T66" i="21"/>
  <c r="T67" i="21"/>
  <c r="T68" i="21"/>
  <c r="T69" i="21"/>
  <c r="T70" i="21"/>
  <c r="T71" i="21"/>
  <c r="T72" i="21"/>
  <c r="T73" i="21"/>
  <c r="T74" i="21"/>
  <c r="T75" i="21"/>
  <c r="T76" i="21"/>
  <c r="T77" i="21"/>
  <c r="T78" i="21"/>
  <c r="T79" i="21"/>
  <c r="T80" i="21"/>
  <c r="T81" i="21"/>
  <c r="T82" i="21"/>
  <c r="T83" i="21"/>
  <c r="T84" i="21"/>
  <c r="T85" i="21"/>
  <c r="T86" i="21"/>
  <c r="T87" i="21"/>
  <c r="T88" i="21"/>
  <c r="T89" i="21"/>
  <c r="T90" i="21"/>
  <c r="T91" i="21"/>
  <c r="T92" i="21"/>
  <c r="T93" i="21"/>
  <c r="T94" i="21"/>
  <c r="T95" i="21"/>
  <c r="T96" i="21"/>
  <c r="T97" i="21"/>
  <c r="T98" i="21"/>
  <c r="T99" i="21"/>
  <c r="T100" i="21"/>
  <c r="T101" i="21"/>
  <c r="T102" i="21"/>
  <c r="T103" i="21"/>
  <c r="T104" i="21"/>
  <c r="T105" i="21"/>
  <c r="T106" i="21"/>
  <c r="T107" i="21"/>
  <c r="T108" i="21"/>
  <c r="T109" i="21"/>
  <c r="T9" i="21"/>
  <c r="U14" i="2" l="1"/>
  <c r="D238" i="2"/>
  <c r="N12" i="8" s="1"/>
  <c r="O12" i="8" s="1"/>
  <c r="D224" i="2"/>
  <c r="B11" i="2"/>
  <c r="K63" i="1"/>
  <c r="U13" i="2"/>
  <c r="B166" i="2"/>
  <c r="B167" i="2" s="1"/>
  <c r="N17" i="8" s="1"/>
  <c r="D126" i="2"/>
  <c r="B25" i="23" s="1"/>
  <c r="D122" i="2"/>
  <c r="B24" i="23" s="1"/>
  <c r="D116" i="2"/>
  <c r="D118" i="2" s="1"/>
  <c r="D77" i="2"/>
  <c r="D47" i="2"/>
  <c r="D46" i="2"/>
  <c r="B14" i="2"/>
  <c r="B13" i="2"/>
  <c r="D188" i="2" l="1"/>
  <c r="C59" i="16"/>
  <c r="I49" i="16"/>
  <c r="I70" i="16"/>
  <c r="J49" i="16"/>
  <c r="I69" i="16"/>
  <c r="C69" i="16"/>
  <c r="D69" i="16" s="1"/>
  <c r="J48" i="16"/>
  <c r="H70" i="16"/>
  <c r="I48" i="16"/>
  <c r="H69" i="16"/>
  <c r="J63" i="16"/>
  <c r="J70" i="16"/>
  <c r="H63" i="16"/>
  <c r="H49" i="16"/>
  <c r="H48" i="16"/>
  <c r="I63" i="16"/>
  <c r="I61" i="16"/>
  <c r="J69" i="16"/>
  <c r="AU9" i="23"/>
  <c r="K9" i="2"/>
  <c r="D386" i="2"/>
  <c r="D343" i="2"/>
  <c r="C355" i="2"/>
  <c r="C353" i="2"/>
  <c r="C354" i="2"/>
  <c r="C382" i="2"/>
  <c r="C381" i="2"/>
  <c r="Z9" i="2"/>
  <c r="D345" i="2"/>
  <c r="D339" i="2"/>
  <c r="I80" i="1"/>
  <c r="F80" i="1"/>
  <c r="E96" i="1"/>
  <c r="F96" i="1"/>
  <c r="D58" i="1"/>
  <c r="B18" i="2"/>
  <c r="D183" i="2"/>
  <c r="D207" i="2" s="1"/>
  <c r="F3" i="25" s="1"/>
  <c r="I88" i="21"/>
  <c r="B18" i="23"/>
  <c r="I16" i="21"/>
  <c r="I56" i="21"/>
  <c r="I84" i="21"/>
  <c r="I104" i="21"/>
  <c r="I72" i="21"/>
  <c r="I40" i="21"/>
  <c r="I52" i="21"/>
  <c r="I100" i="21"/>
  <c r="I68" i="21"/>
  <c r="I24" i="21"/>
  <c r="I36" i="21"/>
  <c r="I20" i="21"/>
  <c r="I96" i="21"/>
  <c r="I80" i="21"/>
  <c r="I64" i="21"/>
  <c r="I48" i="21"/>
  <c r="I32" i="21"/>
  <c r="I13" i="21"/>
  <c r="I108" i="21"/>
  <c r="I92" i="21"/>
  <c r="I76" i="21"/>
  <c r="I60" i="21"/>
  <c r="I44" i="21"/>
  <c r="I28" i="21"/>
  <c r="I12" i="21"/>
  <c r="I109" i="21"/>
  <c r="I105" i="21"/>
  <c r="I101" i="21"/>
  <c r="I97" i="21"/>
  <c r="I93" i="21"/>
  <c r="I89" i="21"/>
  <c r="I85" i="21"/>
  <c r="I81" i="21"/>
  <c r="I77" i="21"/>
  <c r="I73" i="21"/>
  <c r="I69" i="21"/>
  <c r="I65" i="21"/>
  <c r="I61" i="21"/>
  <c r="I57" i="21"/>
  <c r="I53" i="21"/>
  <c r="I49" i="21"/>
  <c r="I45" i="21"/>
  <c r="I41" i="21"/>
  <c r="I37" i="21"/>
  <c r="I33" i="21"/>
  <c r="I29" i="21"/>
  <c r="I25" i="21"/>
  <c r="I21" i="21"/>
  <c r="I17" i="21"/>
  <c r="D72" i="2"/>
  <c r="B19" i="23"/>
  <c r="I109" i="23"/>
  <c r="I108" i="23"/>
  <c r="I107" i="23"/>
  <c r="I106" i="23"/>
  <c r="I105" i="23"/>
  <c r="I104" i="23"/>
  <c r="I103" i="23"/>
  <c r="I102" i="23"/>
  <c r="I101" i="23"/>
  <c r="I100" i="23"/>
  <c r="I99" i="23"/>
  <c r="I98" i="23"/>
  <c r="I97" i="23"/>
  <c r="I96" i="23"/>
  <c r="I95" i="23"/>
  <c r="I92" i="23"/>
  <c r="I88" i="23"/>
  <c r="I84" i="23"/>
  <c r="I37" i="23"/>
  <c r="I36" i="23"/>
  <c r="I35" i="23"/>
  <c r="I27" i="23"/>
  <c r="I19" i="23"/>
  <c r="I18" i="23"/>
  <c r="I17" i="23"/>
  <c r="I16" i="23"/>
  <c r="I94" i="23"/>
  <c r="I86" i="23"/>
  <c r="I93" i="23"/>
  <c r="I89" i="23"/>
  <c r="I85" i="23"/>
  <c r="I81" i="23"/>
  <c r="I80" i="23"/>
  <c r="I79" i="23"/>
  <c r="I78" i="23"/>
  <c r="I77" i="23"/>
  <c r="I76" i="23"/>
  <c r="I75" i="23"/>
  <c r="I74" i="23"/>
  <c r="I73" i="23"/>
  <c r="I72" i="23"/>
  <c r="I71" i="23"/>
  <c r="I70" i="23"/>
  <c r="I69" i="23"/>
  <c r="I68" i="23"/>
  <c r="I67" i="23"/>
  <c r="I66" i="23"/>
  <c r="I65" i="23"/>
  <c r="I64" i="23"/>
  <c r="I63" i="23"/>
  <c r="I62" i="23"/>
  <c r="I61" i="23"/>
  <c r="I60" i="23"/>
  <c r="I34" i="23"/>
  <c r="I33" i="23"/>
  <c r="I26" i="23"/>
  <c r="I25" i="23"/>
  <c r="I24" i="23"/>
  <c r="I23" i="23"/>
  <c r="I15" i="23"/>
  <c r="I91" i="23"/>
  <c r="I87" i="23"/>
  <c r="I83" i="23"/>
  <c r="I49" i="23"/>
  <c r="I48" i="23"/>
  <c r="I47" i="23"/>
  <c r="I46" i="23"/>
  <c r="I45" i="23"/>
  <c r="I44" i="23"/>
  <c r="I43" i="23"/>
  <c r="I42" i="23"/>
  <c r="I41" i="23"/>
  <c r="I40" i="23"/>
  <c r="I39" i="23"/>
  <c r="I38" i="23"/>
  <c r="I29" i="23"/>
  <c r="I28" i="23"/>
  <c r="I20" i="23"/>
  <c r="I10" i="23"/>
  <c r="I9" i="23"/>
  <c r="I90" i="23"/>
  <c r="I82" i="23"/>
  <c r="I12" i="23"/>
  <c r="I11" i="23"/>
  <c r="I59" i="23"/>
  <c r="I57" i="23"/>
  <c r="I55" i="23"/>
  <c r="I53" i="23"/>
  <c r="I51" i="23"/>
  <c r="I32" i="23"/>
  <c r="I30" i="23"/>
  <c r="I22" i="23"/>
  <c r="I58" i="23"/>
  <c r="I56" i="23"/>
  <c r="I54" i="23"/>
  <c r="I52" i="23"/>
  <c r="I50" i="23"/>
  <c r="I31" i="23"/>
  <c r="I21" i="23"/>
  <c r="I14" i="23"/>
  <c r="I13" i="23"/>
  <c r="I107" i="21"/>
  <c r="I103" i="21"/>
  <c r="I99" i="21"/>
  <c r="I95" i="21"/>
  <c r="I91" i="21"/>
  <c r="I87" i="21"/>
  <c r="I83" i="21"/>
  <c r="I79" i="21"/>
  <c r="I75" i="21"/>
  <c r="I71" i="21"/>
  <c r="I67" i="21"/>
  <c r="I63" i="21"/>
  <c r="I59" i="21"/>
  <c r="I55" i="21"/>
  <c r="I51" i="21"/>
  <c r="I47" i="21"/>
  <c r="I43" i="21"/>
  <c r="I39" i="21"/>
  <c r="I35" i="21"/>
  <c r="I31" i="21"/>
  <c r="I27" i="21"/>
  <c r="I23" i="21"/>
  <c r="I19" i="21"/>
  <c r="I15" i="21"/>
  <c r="I11" i="21"/>
  <c r="I9" i="21"/>
  <c r="I106" i="21"/>
  <c r="I102" i="21"/>
  <c r="I98" i="21"/>
  <c r="I94" i="21"/>
  <c r="I90" i="21"/>
  <c r="I86" i="21"/>
  <c r="I82" i="21"/>
  <c r="I78" i="21"/>
  <c r="I74" i="21"/>
  <c r="I70" i="21"/>
  <c r="I66" i="21"/>
  <c r="I62" i="21"/>
  <c r="I58" i="21"/>
  <c r="I54" i="21"/>
  <c r="I50" i="21"/>
  <c r="I46" i="21"/>
  <c r="I42" i="21"/>
  <c r="I38" i="21"/>
  <c r="I34" i="21"/>
  <c r="I30" i="21"/>
  <c r="I26" i="21"/>
  <c r="I22" i="21"/>
  <c r="I18" i="21"/>
  <c r="I14" i="21"/>
  <c r="I10" i="21"/>
  <c r="O16" i="2"/>
  <c r="B12" i="23"/>
  <c r="J12" i="23"/>
  <c r="J16" i="23"/>
  <c r="J20" i="23"/>
  <c r="J24" i="23"/>
  <c r="J28" i="23"/>
  <c r="J32" i="23"/>
  <c r="J36" i="23"/>
  <c r="J40" i="23"/>
  <c r="J44" i="23"/>
  <c r="J48" i="23"/>
  <c r="J14" i="23"/>
  <c r="J19" i="23"/>
  <c r="J25" i="23"/>
  <c r="J30" i="23"/>
  <c r="J35" i="23"/>
  <c r="J41" i="23"/>
  <c r="J46" i="23"/>
  <c r="J51" i="23"/>
  <c r="J55" i="23"/>
  <c r="J59" i="23"/>
  <c r="J63" i="23"/>
  <c r="J67" i="23"/>
  <c r="J71" i="23"/>
  <c r="J75" i="23"/>
  <c r="J79" i="23"/>
  <c r="J83" i="23"/>
  <c r="J87" i="23"/>
  <c r="J91" i="23"/>
  <c r="J95" i="23"/>
  <c r="J99" i="23"/>
  <c r="J103" i="23"/>
  <c r="J107" i="23"/>
  <c r="J18" i="23"/>
  <c r="J29" i="23"/>
  <c r="J39" i="23"/>
  <c r="J50" i="23"/>
  <c r="J58" i="23"/>
  <c r="J70" i="23"/>
  <c r="J74" i="23"/>
  <c r="J86" i="23"/>
  <c r="J94" i="23"/>
  <c r="J102" i="23"/>
  <c r="J15" i="23"/>
  <c r="J21" i="23"/>
  <c r="J26" i="23"/>
  <c r="J31" i="23"/>
  <c r="J37" i="23"/>
  <c r="J42" i="23"/>
  <c r="J47" i="23"/>
  <c r="J52" i="23"/>
  <c r="J56" i="23"/>
  <c r="J60" i="23"/>
  <c r="J64" i="23"/>
  <c r="J68" i="23"/>
  <c r="J72" i="23"/>
  <c r="J76" i="23"/>
  <c r="J80" i="23"/>
  <c r="J84" i="23"/>
  <c r="J88" i="23"/>
  <c r="J92" i="23"/>
  <c r="J96" i="23"/>
  <c r="J100" i="23"/>
  <c r="J104" i="23"/>
  <c r="J108" i="23"/>
  <c r="B14" i="23"/>
  <c r="J13" i="23"/>
  <c r="J34" i="23"/>
  <c r="J45" i="23"/>
  <c r="J62" i="23"/>
  <c r="J82" i="23"/>
  <c r="J98" i="23"/>
  <c r="J10" i="23"/>
  <c r="J11" i="23"/>
  <c r="J17" i="23"/>
  <c r="J22" i="23"/>
  <c r="J27" i="23"/>
  <c r="J33" i="23"/>
  <c r="J38" i="23"/>
  <c r="J43" i="23"/>
  <c r="J49" i="23"/>
  <c r="J53" i="23"/>
  <c r="J57" i="23"/>
  <c r="J61" i="23"/>
  <c r="J65" i="23"/>
  <c r="J69" i="23"/>
  <c r="J73" i="23"/>
  <c r="J77" i="23"/>
  <c r="J81" i="23"/>
  <c r="J85" i="23"/>
  <c r="J89" i="23"/>
  <c r="J93" i="23"/>
  <c r="J97" i="23"/>
  <c r="J101" i="23"/>
  <c r="J105" i="23"/>
  <c r="J109" i="23"/>
  <c r="J23" i="23"/>
  <c r="J54" i="23"/>
  <c r="J66" i="23"/>
  <c r="J78" i="23"/>
  <c r="J90" i="23"/>
  <c r="J106" i="23"/>
  <c r="L21" i="2"/>
  <c r="D221" i="2"/>
  <c r="D239" i="2"/>
  <c r="N13" i="8" s="1"/>
  <c r="O13" i="8" s="1"/>
  <c r="D240" i="2" s="1"/>
  <c r="J66" i="1" s="1"/>
  <c r="D61" i="1"/>
  <c r="D64" i="1"/>
  <c r="D206" i="2"/>
  <c r="C3" i="25" s="1"/>
  <c r="D63" i="1"/>
  <c r="D62" i="1"/>
  <c r="K66" i="1"/>
  <c r="L16" i="2"/>
  <c r="D33" i="1"/>
  <c r="D36" i="1"/>
  <c r="D34" i="1"/>
  <c r="D37" i="1"/>
  <c r="G3" i="8"/>
  <c r="D95" i="2"/>
  <c r="J20" i="1" s="1"/>
  <c r="B17" i="2"/>
  <c r="D214" i="2" s="1"/>
  <c r="C70" i="16" l="1"/>
  <c r="D70" i="16" s="1"/>
  <c r="AU13" i="23"/>
  <c r="AU29" i="23"/>
  <c r="AU106" i="23"/>
  <c r="AU78" i="23"/>
  <c r="AU93" i="23"/>
  <c r="AU61" i="23"/>
  <c r="AU22" i="23"/>
  <c r="AU34" i="23"/>
  <c r="AU88" i="23"/>
  <c r="AU56" i="23"/>
  <c r="AU15" i="23"/>
  <c r="AU39" i="23"/>
  <c r="AU87" i="23"/>
  <c r="AU55" i="23"/>
  <c r="AU14" i="23"/>
  <c r="AU20" i="23"/>
  <c r="AU66" i="23"/>
  <c r="AU83" i="23"/>
  <c r="AU54" i="23"/>
  <c r="AU53" i="23"/>
  <c r="AU80" i="23"/>
  <c r="AU47" i="23"/>
  <c r="AU94" i="23"/>
  <c r="AU18" i="23"/>
  <c r="AU79" i="23"/>
  <c r="AU46" i="23"/>
  <c r="AU44" i="23"/>
  <c r="AU12" i="23"/>
  <c r="AU89" i="23"/>
  <c r="AU102" i="23"/>
  <c r="AU85" i="23"/>
  <c r="AU11" i="23"/>
  <c r="AU23" i="23"/>
  <c r="AU81" i="23"/>
  <c r="AU49" i="23"/>
  <c r="AU10" i="23"/>
  <c r="AU108" i="23"/>
  <c r="AU76" i="23"/>
  <c r="AU42" i="23"/>
  <c r="AU86" i="23"/>
  <c r="AU107" i="23"/>
  <c r="AU75" i="23"/>
  <c r="AU41" i="23"/>
  <c r="AU40" i="23"/>
  <c r="AU84" i="23"/>
  <c r="AU48" i="23"/>
  <c r="AU109" i="23"/>
  <c r="AU77" i="23"/>
  <c r="AU43" i="23"/>
  <c r="AU98" i="23"/>
  <c r="AU104" i="23"/>
  <c r="AU72" i="23"/>
  <c r="AU37" i="23"/>
  <c r="AU74" i="23"/>
  <c r="AU103" i="23"/>
  <c r="AU71" i="23"/>
  <c r="AU35" i="23"/>
  <c r="AU36" i="23"/>
  <c r="AU57" i="23"/>
  <c r="AU51" i="23"/>
  <c r="AU105" i="23"/>
  <c r="AU73" i="23"/>
  <c r="AU38" i="23"/>
  <c r="AU82" i="23"/>
  <c r="AU100" i="23"/>
  <c r="AU68" i="23"/>
  <c r="AU31" i="23"/>
  <c r="AU70" i="23"/>
  <c r="AU99" i="23"/>
  <c r="AU67" i="23"/>
  <c r="AU30" i="23"/>
  <c r="AU32" i="23"/>
  <c r="AU52" i="23"/>
  <c r="AU101" i="23"/>
  <c r="AU33" i="23"/>
  <c r="AU62" i="23"/>
  <c r="AU96" i="23"/>
  <c r="AU64" i="23"/>
  <c r="AU26" i="23"/>
  <c r="AU58" i="23"/>
  <c r="AU95" i="23"/>
  <c r="AU63" i="23"/>
  <c r="AU25" i="23"/>
  <c r="AU28" i="23"/>
  <c r="AU17" i="23"/>
  <c r="AU16" i="23"/>
  <c r="AU69" i="23"/>
  <c r="AU90" i="23"/>
  <c r="AU97" i="23"/>
  <c r="AU65" i="23"/>
  <c r="AU27" i="23"/>
  <c r="AU45" i="23"/>
  <c r="AU92" i="23"/>
  <c r="AU60" i="23"/>
  <c r="AU21" i="23"/>
  <c r="AU50" i="23"/>
  <c r="AU91" i="23"/>
  <c r="AU59" i="23"/>
  <c r="AU19" i="23"/>
  <c r="AU24" i="23"/>
  <c r="J62" i="1"/>
  <c r="K3" i="25"/>
  <c r="D66" i="1"/>
  <c r="D65" i="1"/>
  <c r="I66" i="1"/>
  <c r="I65" i="1"/>
  <c r="D225" i="2"/>
  <c r="D364" i="2"/>
  <c r="C362" i="2"/>
  <c r="F55" i="1"/>
  <c r="F56" i="1"/>
  <c r="B73" i="1" l="1"/>
  <c r="D226" i="2"/>
  <c r="I3" i="8" s="1"/>
  <c r="N8" i="8"/>
  <c r="O8" i="8" s="1"/>
  <c r="N34" i="8" s="1"/>
  <c r="B60" i="21"/>
  <c r="B55" i="21"/>
  <c r="B35" i="21"/>
  <c r="B33" i="21"/>
  <c r="B30" i="21"/>
  <c r="B28" i="21"/>
  <c r="B27" i="21"/>
  <c r="B21" i="21"/>
  <c r="B15" i="21"/>
  <c r="B74" i="1" l="1"/>
  <c r="O34" i="8"/>
  <c r="C73" i="1" s="1"/>
  <c r="D311" i="2"/>
  <c r="AM4" i="23" s="1"/>
  <c r="D310" i="2"/>
  <c r="B58" i="23" s="1"/>
  <c r="D307" i="2"/>
  <c r="B56" i="23" s="1"/>
  <c r="D304" i="2"/>
  <c r="B53" i="23" s="1"/>
  <c r="D301" i="2"/>
  <c r="D300" i="2"/>
  <c r="D296" i="2"/>
  <c r="D295" i="2"/>
  <c r="D294" i="2"/>
  <c r="B51" i="23" s="1"/>
  <c r="D292" i="2"/>
  <c r="B49" i="23" s="1"/>
  <c r="D288" i="2"/>
  <c r="D286" i="2"/>
  <c r="D285" i="2"/>
  <c r="B53" i="21" s="1"/>
  <c r="D282" i="2"/>
  <c r="D281" i="2"/>
  <c r="D280" i="2"/>
  <c r="B52" i="21" s="1"/>
  <c r="D277" i="2"/>
  <c r="D276" i="2"/>
  <c r="D275" i="2"/>
  <c r="B51" i="21" s="1"/>
  <c r="D273" i="2"/>
  <c r="B49" i="21" s="1"/>
  <c r="D302" i="2" l="1"/>
  <c r="D283" i="2"/>
  <c r="B59" i="23"/>
  <c r="B54" i="21"/>
  <c r="B56" i="21"/>
  <c r="K128" i="2"/>
  <c r="B300" i="2"/>
  <c r="B43" i="23" s="1"/>
  <c r="B301" i="2"/>
  <c r="B295" i="2"/>
  <c r="B40" i="23" s="1"/>
  <c r="B296" i="2"/>
  <c r="B41" i="23" s="1"/>
  <c r="B350" i="2"/>
  <c r="A52" i="16"/>
  <c r="B44" i="23" l="1"/>
  <c r="B302" i="2"/>
  <c r="B337" i="2"/>
  <c r="D230" i="2"/>
  <c r="A337" i="2"/>
  <c r="D336" i="2"/>
  <c r="A339" i="2"/>
  <c r="B346" i="2"/>
  <c r="A345" i="2"/>
  <c r="V13" i="17"/>
  <c r="V14" i="17"/>
  <c r="V15" i="17"/>
  <c r="V16" i="17"/>
  <c r="V17" i="17"/>
  <c r="V18" i="17"/>
  <c r="V19" i="17"/>
  <c r="V20" i="17"/>
  <c r="V21" i="17"/>
  <c r="V22" i="17"/>
  <c r="V23" i="17"/>
  <c r="V24" i="17"/>
  <c r="V25" i="17"/>
  <c r="V26" i="17"/>
  <c r="V27" i="17"/>
  <c r="V28" i="17"/>
  <c r="V29" i="17"/>
  <c r="V30" i="17"/>
  <c r="V31" i="17"/>
  <c r="V32" i="17"/>
  <c r="V33" i="17"/>
  <c r="V34" i="17"/>
  <c r="V35" i="17"/>
  <c r="V36" i="17"/>
  <c r="V37" i="17"/>
  <c r="V38" i="17"/>
  <c r="V39" i="17"/>
  <c r="V40" i="17"/>
  <c r="V41" i="17"/>
  <c r="V42" i="17"/>
  <c r="V43" i="17"/>
  <c r="V44" i="17"/>
  <c r="V45" i="17"/>
  <c r="V46" i="17"/>
  <c r="V47" i="17"/>
  <c r="V48" i="17"/>
  <c r="V49" i="17"/>
  <c r="V50" i="17"/>
  <c r="V51" i="17"/>
  <c r="V52" i="17"/>
  <c r="V53" i="17"/>
  <c r="V54" i="17"/>
  <c r="V55" i="17"/>
  <c r="V56" i="17"/>
  <c r="V57" i="17"/>
  <c r="V58" i="17"/>
  <c r="V59" i="17"/>
  <c r="V60" i="17"/>
  <c r="V61" i="17"/>
  <c r="V62" i="17"/>
  <c r="V63" i="17"/>
  <c r="V64" i="17"/>
  <c r="V65" i="17"/>
  <c r="V66" i="17"/>
  <c r="V67" i="17"/>
  <c r="V68" i="17"/>
  <c r="V69" i="17"/>
  <c r="V70" i="17"/>
  <c r="V71" i="17"/>
  <c r="V72" i="17"/>
  <c r="V73" i="17"/>
  <c r="V74" i="17"/>
  <c r="V75" i="17"/>
  <c r="V76" i="17"/>
  <c r="V77" i="17"/>
  <c r="V78" i="17"/>
  <c r="V79" i="17"/>
  <c r="V80" i="17"/>
  <c r="V81" i="17"/>
  <c r="V82" i="17"/>
  <c r="V83" i="17"/>
  <c r="V84" i="17"/>
  <c r="V85" i="17"/>
  <c r="V86" i="17"/>
  <c r="V87" i="17"/>
  <c r="V88" i="17"/>
  <c r="V89" i="17"/>
  <c r="V90" i="17"/>
  <c r="V91" i="17"/>
  <c r="V92" i="17"/>
  <c r="V93" i="17"/>
  <c r="V94" i="17"/>
  <c r="V95" i="17"/>
  <c r="V96" i="17"/>
  <c r="V97" i="17"/>
  <c r="V98" i="17"/>
  <c r="V99" i="17"/>
  <c r="V100" i="17"/>
  <c r="V101" i="17"/>
  <c r="V102" i="17"/>
  <c r="V103" i="17"/>
  <c r="V104" i="17"/>
  <c r="V105" i="17"/>
  <c r="V106" i="17"/>
  <c r="V107" i="17"/>
  <c r="V108" i="17"/>
  <c r="V109" i="17"/>
  <c r="V110" i="17"/>
  <c r="V111" i="17"/>
  <c r="V112" i="17"/>
  <c r="V113" i="17"/>
  <c r="V114" i="17"/>
  <c r="V115" i="17"/>
  <c r="V116" i="17"/>
  <c r="V117" i="17"/>
  <c r="V118" i="17"/>
  <c r="V119" i="17"/>
  <c r="V120" i="17"/>
  <c r="V121" i="17"/>
  <c r="V122" i="17"/>
  <c r="V123" i="17"/>
  <c r="V124" i="17"/>
  <c r="V125" i="17"/>
  <c r="V126" i="17"/>
  <c r="V127" i="17"/>
  <c r="V128" i="17"/>
  <c r="V129" i="17"/>
  <c r="V130" i="17"/>
  <c r="V131" i="17"/>
  <c r="V132" i="17"/>
  <c r="V133" i="17"/>
  <c r="V134" i="17"/>
  <c r="V135" i="17"/>
  <c r="V136" i="17"/>
  <c r="V137" i="17"/>
  <c r="V138" i="17"/>
  <c r="V139" i="17"/>
  <c r="V140" i="17"/>
  <c r="V141" i="17"/>
  <c r="V142" i="17"/>
  <c r="V143" i="17"/>
  <c r="V144" i="17"/>
  <c r="V145" i="17"/>
  <c r="V146" i="17"/>
  <c r="V147" i="17"/>
  <c r="V148" i="17"/>
  <c r="V149" i="17"/>
  <c r="V150" i="17"/>
  <c r="V151" i="17"/>
  <c r="V152" i="17"/>
  <c r="V153" i="17"/>
  <c r="V154" i="17"/>
  <c r="V155" i="17"/>
  <c r="V156" i="17"/>
  <c r="V157" i="17"/>
  <c r="V158" i="17"/>
  <c r="V159" i="17"/>
  <c r="V160" i="17"/>
  <c r="V161" i="17"/>
  <c r="V162" i="17"/>
  <c r="V163" i="17"/>
  <c r="V164" i="17"/>
  <c r="V165" i="17"/>
  <c r="V166" i="17"/>
  <c r="V167" i="17"/>
  <c r="V168" i="17"/>
  <c r="V169" i="17"/>
  <c r="V170" i="17"/>
  <c r="V171" i="17"/>
  <c r="V172" i="17"/>
  <c r="V173" i="17"/>
  <c r="V174" i="17"/>
  <c r="V175" i="17"/>
  <c r="V176" i="17"/>
  <c r="V177" i="17"/>
  <c r="V178" i="17"/>
  <c r="V179" i="17"/>
  <c r="V180" i="17"/>
  <c r="V181" i="17"/>
  <c r="V182" i="17"/>
  <c r="V183" i="17"/>
  <c r="V184" i="17"/>
  <c r="V185" i="17"/>
  <c r="V186" i="17"/>
  <c r="V187" i="17"/>
  <c r="V188" i="17"/>
  <c r="V189" i="17"/>
  <c r="V190" i="17"/>
  <c r="V191" i="17"/>
  <c r="V192" i="17"/>
  <c r="V193" i="17"/>
  <c r="V194" i="17"/>
  <c r="V195" i="17"/>
  <c r="V196" i="17"/>
  <c r="V197" i="17"/>
  <c r="V198" i="17"/>
  <c r="V199" i="17"/>
  <c r="V200" i="17"/>
  <c r="V201" i="17"/>
  <c r="V202" i="17"/>
  <c r="V203" i="17"/>
  <c r="V204" i="17"/>
  <c r="V205" i="17"/>
  <c r="V206" i="17"/>
  <c r="V207" i="17"/>
  <c r="V208" i="17"/>
  <c r="V209" i="17"/>
  <c r="V210" i="17"/>
  <c r="V211" i="17"/>
  <c r="V212" i="17"/>
  <c r="V213" i="17"/>
  <c r="V214" i="17"/>
  <c r="V215" i="17"/>
  <c r="V216" i="17"/>
  <c r="V217" i="17"/>
  <c r="V218" i="17"/>
  <c r="V219" i="17"/>
  <c r="V220" i="17"/>
  <c r="V221" i="17"/>
  <c r="V222" i="17"/>
  <c r="V223" i="17"/>
  <c r="V224" i="17"/>
  <c r="V225" i="17"/>
  <c r="V226" i="17"/>
  <c r="V227" i="17"/>
  <c r="V228" i="17"/>
  <c r="V229" i="17"/>
  <c r="V230" i="17"/>
  <c r="V231" i="17"/>
  <c r="V232" i="17"/>
  <c r="V233" i="17"/>
  <c r="V234" i="17"/>
  <c r="V235" i="17"/>
  <c r="V236" i="17"/>
  <c r="V237" i="17"/>
  <c r="V238" i="17"/>
  <c r="V239" i="17"/>
  <c r="V240" i="17"/>
  <c r="V241" i="17"/>
  <c r="V242" i="17"/>
  <c r="V243" i="17"/>
  <c r="V244" i="17"/>
  <c r="V245" i="17"/>
  <c r="V246" i="17"/>
  <c r="V247" i="17"/>
  <c r="V248" i="17"/>
  <c r="V249" i="17"/>
  <c r="V250" i="17"/>
  <c r="V251" i="17"/>
  <c r="V252" i="17"/>
  <c r="V253" i="17"/>
  <c r="V254" i="17"/>
  <c r="V255" i="17"/>
  <c r="V256" i="17"/>
  <c r="V257" i="17"/>
  <c r="V258" i="17"/>
  <c r="V259" i="17"/>
  <c r="V260" i="17"/>
  <c r="V261" i="17"/>
  <c r="V262" i="17"/>
  <c r="V263" i="17"/>
  <c r="V264" i="17"/>
  <c r="V265" i="17"/>
  <c r="V266" i="17"/>
  <c r="V267" i="17"/>
  <c r="V268" i="17"/>
  <c r="V269" i="17"/>
  <c r="V270" i="17"/>
  <c r="V271" i="17"/>
  <c r="V272" i="17"/>
  <c r="V273" i="17"/>
  <c r="V274" i="17"/>
  <c r="V275" i="17"/>
  <c r="V276" i="17"/>
  <c r="V277" i="17"/>
  <c r="V278" i="17"/>
  <c r="V279" i="17"/>
  <c r="V280" i="17"/>
  <c r="V281" i="17"/>
  <c r="V282" i="17"/>
  <c r="V283" i="17"/>
  <c r="V284" i="17"/>
  <c r="V285" i="17"/>
  <c r="V286" i="17"/>
  <c r="V287" i="17"/>
  <c r="V288" i="17"/>
  <c r="V289" i="17"/>
  <c r="V290" i="17"/>
  <c r="V291" i="17"/>
  <c r="V292" i="17"/>
  <c r="V293" i="17"/>
  <c r="V294" i="17"/>
  <c r="V295" i="17"/>
  <c r="V296" i="17"/>
  <c r="V297" i="17"/>
  <c r="V298" i="17"/>
  <c r="V299" i="17"/>
  <c r="V300" i="17"/>
  <c r="V301" i="17"/>
  <c r="V302" i="17"/>
  <c r="V303" i="17"/>
  <c r="V304" i="17"/>
  <c r="V305" i="17"/>
  <c r="V306" i="17"/>
  <c r="V307" i="17"/>
  <c r="V308" i="17"/>
  <c r="V309" i="17"/>
  <c r="V310" i="17"/>
  <c r="V311" i="17"/>
  <c r="V312" i="17"/>
  <c r="V313" i="17"/>
  <c r="V314" i="17"/>
  <c r="V315" i="17"/>
  <c r="V316" i="17"/>
  <c r="V317" i="17"/>
  <c r="V318" i="17"/>
  <c r="V319" i="17"/>
  <c r="V320" i="17"/>
  <c r="V321" i="17"/>
  <c r="V322" i="17"/>
  <c r="V323" i="17"/>
  <c r="V324" i="17"/>
  <c r="V325" i="17"/>
  <c r="V326" i="17"/>
  <c r="V327" i="17"/>
  <c r="V328" i="17"/>
  <c r="V329" i="17"/>
  <c r="V330" i="17"/>
  <c r="V331" i="17"/>
  <c r="V332" i="17"/>
  <c r="V333" i="17"/>
  <c r="V334" i="17"/>
  <c r="V335" i="17"/>
  <c r="V336" i="17"/>
  <c r="V337" i="17"/>
  <c r="V338" i="17"/>
  <c r="V339" i="17"/>
  <c r="V340" i="17"/>
  <c r="V341" i="17"/>
  <c r="V342" i="17"/>
  <c r="V343" i="17"/>
  <c r="V344" i="17"/>
  <c r="V345" i="17"/>
  <c r="V346" i="17"/>
  <c r="V347" i="17"/>
  <c r="V348" i="17"/>
  <c r="V349" i="17"/>
  <c r="V350" i="17"/>
  <c r="V351" i="17"/>
  <c r="V352" i="17"/>
  <c r="V353" i="17"/>
  <c r="V354" i="17"/>
  <c r="V355" i="17"/>
  <c r="V356" i="17"/>
  <c r="V357" i="17"/>
  <c r="V358" i="17"/>
  <c r="V359" i="17"/>
  <c r="V360" i="17"/>
  <c r="V361" i="17"/>
  <c r="V362" i="17"/>
  <c r="V363" i="17"/>
  <c r="V364" i="17"/>
  <c r="V365" i="17"/>
  <c r="V366" i="17"/>
  <c r="V367" i="17"/>
  <c r="V368" i="17"/>
  <c r="V369" i="17"/>
  <c r="V370" i="17"/>
  <c r="V371" i="17"/>
  <c r="V372" i="17"/>
  <c r="V373" i="17"/>
  <c r="V374" i="17"/>
  <c r="V375" i="17"/>
  <c r="V376" i="17"/>
  <c r="V377" i="17"/>
  <c r="V378" i="17"/>
  <c r="V379" i="17"/>
  <c r="V380" i="17"/>
  <c r="V381" i="17"/>
  <c r="V382" i="17"/>
  <c r="V383" i="17"/>
  <c r="V384" i="17"/>
  <c r="V385" i="17"/>
  <c r="V386" i="17"/>
  <c r="V387" i="17"/>
  <c r="V388" i="17"/>
  <c r="V389" i="17"/>
  <c r="V390" i="17"/>
  <c r="V391" i="17"/>
  <c r="V392" i="17"/>
  <c r="V393" i="17"/>
  <c r="V394" i="17"/>
  <c r="V395" i="17"/>
  <c r="V396" i="17"/>
  <c r="V397" i="17"/>
  <c r="V398" i="17"/>
  <c r="V399" i="17"/>
  <c r="V400" i="17"/>
  <c r="V401" i="17"/>
  <c r="V402" i="17"/>
  <c r="V403" i="17"/>
  <c r="V404" i="17"/>
  <c r="V405" i="17"/>
  <c r="V406" i="17"/>
  <c r="V407" i="17"/>
  <c r="V408" i="17"/>
  <c r="V409" i="17"/>
  <c r="V410" i="17"/>
  <c r="V411" i="17"/>
  <c r="V412" i="17"/>
  <c r="V413" i="17"/>
  <c r="V414" i="17"/>
  <c r="V415" i="17"/>
  <c r="V416" i="17"/>
  <c r="V417" i="17"/>
  <c r="V418" i="17"/>
  <c r="V419" i="17"/>
  <c r="V420" i="17"/>
  <c r="V421" i="17"/>
  <c r="V422" i="17"/>
  <c r="V423" i="17"/>
  <c r="V424" i="17"/>
  <c r="V425" i="17"/>
  <c r="V426" i="17"/>
  <c r="V427" i="17"/>
  <c r="V428" i="17"/>
  <c r="V429" i="17"/>
  <c r="V430" i="17"/>
  <c r="V431" i="17"/>
  <c r="V432" i="17"/>
  <c r="V433" i="17"/>
  <c r="V434" i="17"/>
  <c r="V435" i="17"/>
  <c r="V436" i="17"/>
  <c r="V437" i="17"/>
  <c r="V438" i="17"/>
  <c r="V439" i="17"/>
  <c r="V440" i="17"/>
  <c r="V441" i="17"/>
  <c r="V442" i="17"/>
  <c r="V443" i="17"/>
  <c r="V444" i="17"/>
  <c r="V445" i="17"/>
  <c r="V446" i="17"/>
  <c r="V447" i="17"/>
  <c r="V448" i="17"/>
  <c r="V449" i="17"/>
  <c r="V450" i="17"/>
  <c r="V451" i="17"/>
  <c r="V452" i="17"/>
  <c r="V453" i="17"/>
  <c r="V454" i="17"/>
  <c r="V455" i="17"/>
  <c r="V456" i="17"/>
  <c r="V457" i="17"/>
  <c r="V458" i="17"/>
  <c r="V459" i="17"/>
  <c r="V460" i="17"/>
  <c r="V461" i="17"/>
  <c r="V462" i="17"/>
  <c r="V463" i="17"/>
  <c r="V464" i="17"/>
  <c r="V465" i="17"/>
  <c r="V466" i="17"/>
  <c r="V467" i="17"/>
  <c r="V468" i="17"/>
  <c r="V469" i="17"/>
  <c r="V470" i="17"/>
  <c r="V471" i="17"/>
  <c r="V472" i="17"/>
  <c r="V473" i="17"/>
  <c r="V474" i="17"/>
  <c r="V475" i="17"/>
  <c r="V476" i="17"/>
  <c r="V477" i="17"/>
  <c r="V478" i="17"/>
  <c r="V479" i="17"/>
  <c r="V480" i="17"/>
  <c r="V481" i="17"/>
  <c r="V482" i="17"/>
  <c r="V483" i="17"/>
  <c r="V484" i="17"/>
  <c r="V485" i="17"/>
  <c r="V486" i="17"/>
  <c r="V487" i="17"/>
  <c r="V488" i="17"/>
  <c r="V489" i="17"/>
  <c r="V490" i="17"/>
  <c r="V491" i="17"/>
  <c r="V492" i="17"/>
  <c r="V493" i="17"/>
  <c r="V494" i="17"/>
  <c r="V495" i="17"/>
  <c r="V496" i="17"/>
  <c r="V497" i="17"/>
  <c r="V498" i="17"/>
  <c r="V499" i="17"/>
  <c r="V500" i="17"/>
  <c r="V501" i="17"/>
  <c r="V502" i="17"/>
  <c r="V503" i="17"/>
  <c r="V504" i="17"/>
  <c r="V505" i="17"/>
  <c r="V506" i="17"/>
  <c r="V507" i="17"/>
  <c r="V508" i="17"/>
  <c r="V509" i="17"/>
  <c r="V510" i="17"/>
  <c r="V511" i="17"/>
  <c r="V512" i="17"/>
  <c r="V513" i="17"/>
  <c r="V514" i="17"/>
  <c r="V515" i="17"/>
  <c r="V516" i="17"/>
  <c r="V517" i="17"/>
  <c r="V518" i="17"/>
  <c r="V519" i="17"/>
  <c r="V520" i="17"/>
  <c r="V521" i="17"/>
  <c r="V522" i="17"/>
  <c r="V523" i="17"/>
  <c r="V524" i="17"/>
  <c r="V525" i="17"/>
  <c r="V526" i="17"/>
  <c r="V527" i="17"/>
  <c r="V528" i="17"/>
  <c r="V529" i="17"/>
  <c r="V530" i="17"/>
  <c r="V531" i="17"/>
  <c r="V532" i="17"/>
  <c r="V533" i="17"/>
  <c r="V534" i="17"/>
  <c r="V535" i="17"/>
  <c r="V536" i="17"/>
  <c r="V537" i="17"/>
  <c r="V538" i="17"/>
  <c r="V539" i="17"/>
  <c r="V540" i="17"/>
  <c r="V541" i="17"/>
  <c r="V542" i="17"/>
  <c r="V543" i="17"/>
  <c r="V544" i="17"/>
  <c r="V545" i="17"/>
  <c r="V546" i="17"/>
  <c r="V547" i="17"/>
  <c r="V548" i="17"/>
  <c r="V549" i="17"/>
  <c r="V550" i="17"/>
  <c r="V551" i="17"/>
  <c r="V552" i="17"/>
  <c r="V553" i="17"/>
  <c r="V554" i="17"/>
  <c r="V555" i="17"/>
  <c r="V556" i="17"/>
  <c r="V557" i="17"/>
  <c r="V558" i="17"/>
  <c r="V559" i="17"/>
  <c r="V560" i="17"/>
  <c r="V561" i="17"/>
  <c r="V562" i="17"/>
  <c r="V563" i="17"/>
  <c r="V564" i="17"/>
  <c r="V565" i="17"/>
  <c r="V566" i="17"/>
  <c r="V567" i="17"/>
  <c r="V568" i="17"/>
  <c r="V569" i="17"/>
  <c r="V570" i="17"/>
  <c r="V571" i="17"/>
  <c r="V572" i="17"/>
  <c r="V573" i="17"/>
  <c r="V574" i="17"/>
  <c r="V575" i="17"/>
  <c r="V576" i="17"/>
  <c r="V577" i="17"/>
  <c r="V578" i="17"/>
  <c r="V579" i="17"/>
  <c r="V580" i="17"/>
  <c r="V581" i="17"/>
  <c r="V582" i="17"/>
  <c r="V583" i="17"/>
  <c r="V584" i="17"/>
  <c r="V585" i="17"/>
  <c r="V586" i="17"/>
  <c r="V587" i="17"/>
  <c r="V588" i="17"/>
  <c r="V589" i="17"/>
  <c r="V590" i="17"/>
  <c r="V591" i="17"/>
  <c r="V592" i="17"/>
  <c r="V593" i="17"/>
  <c r="V594" i="17"/>
  <c r="V595" i="17"/>
  <c r="V596" i="17"/>
  <c r="V597" i="17"/>
  <c r="V598" i="17"/>
  <c r="V599" i="17"/>
  <c r="V600" i="17"/>
  <c r="V601" i="17"/>
  <c r="V602" i="17"/>
  <c r="V603" i="17"/>
  <c r="V604" i="17"/>
  <c r="V605" i="17"/>
  <c r="V606" i="17"/>
  <c r="V607" i="17"/>
  <c r="V608" i="17"/>
  <c r="V609" i="17"/>
  <c r="V610" i="17"/>
  <c r="V611" i="17"/>
  <c r="V612" i="17"/>
  <c r="V613" i="17"/>
  <c r="D353" i="2" l="1"/>
  <c r="E353" i="2"/>
  <c r="C63" i="16" s="1"/>
  <c r="D63" i="16" s="1"/>
  <c r="I3" i="17"/>
  <c r="B359" i="2"/>
  <c r="A359" i="2"/>
  <c r="B203" i="2"/>
  <c r="B218" i="2" s="1"/>
  <c r="B358" i="2" l="1"/>
  <c r="A358" i="2"/>
  <c r="B357" i="2"/>
  <c r="A357" i="2"/>
  <c r="AE687" i="17" l="1"/>
  <c r="B14" i="17" l="1"/>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B101" i="17"/>
  <c r="B102" i="17"/>
  <c r="B103" i="17"/>
  <c r="B104" i="17"/>
  <c r="B105" i="17"/>
  <c r="B106" i="17"/>
  <c r="B107" i="17"/>
  <c r="B108" i="17"/>
  <c r="B109" i="17"/>
  <c r="B110" i="17"/>
  <c r="B111" i="17"/>
  <c r="B112" i="17"/>
  <c r="B113" i="17"/>
  <c r="B114" i="17"/>
  <c r="B115" i="17"/>
  <c r="B116" i="17"/>
  <c r="B117" i="17"/>
  <c r="B118" i="17"/>
  <c r="B119" i="17"/>
  <c r="B120" i="17"/>
  <c r="B121" i="17"/>
  <c r="B122" i="17"/>
  <c r="B123" i="17"/>
  <c r="B124" i="17"/>
  <c r="B125" i="17"/>
  <c r="B126" i="17"/>
  <c r="B127" i="17"/>
  <c r="B128" i="17"/>
  <c r="B129" i="17"/>
  <c r="B130" i="17"/>
  <c r="B131" i="17"/>
  <c r="B132" i="17"/>
  <c r="B133" i="17"/>
  <c r="B134" i="17"/>
  <c r="B135" i="17"/>
  <c r="B136" i="17"/>
  <c r="B137" i="17"/>
  <c r="B138" i="17"/>
  <c r="B139" i="17"/>
  <c r="B140" i="17"/>
  <c r="B141" i="17"/>
  <c r="B142" i="17"/>
  <c r="B143" i="17"/>
  <c r="B144" i="17"/>
  <c r="B145" i="17"/>
  <c r="B146" i="17"/>
  <c r="B147" i="17"/>
  <c r="B148" i="17"/>
  <c r="B149" i="17"/>
  <c r="B150" i="17"/>
  <c r="B151" i="17"/>
  <c r="B152" i="17"/>
  <c r="B153" i="17"/>
  <c r="B154" i="17"/>
  <c r="B155" i="17"/>
  <c r="B156" i="17"/>
  <c r="B157" i="17"/>
  <c r="B158" i="17"/>
  <c r="B159" i="17"/>
  <c r="B160" i="17"/>
  <c r="B161" i="17"/>
  <c r="B162" i="17"/>
  <c r="B163" i="17"/>
  <c r="B164" i="17"/>
  <c r="B165" i="17"/>
  <c r="B166" i="17"/>
  <c r="B167" i="17"/>
  <c r="B168" i="17"/>
  <c r="B169" i="17"/>
  <c r="B170" i="17"/>
  <c r="B171" i="17"/>
  <c r="B172" i="17"/>
  <c r="B173" i="17"/>
  <c r="B174" i="17"/>
  <c r="B175" i="17"/>
  <c r="B176" i="17"/>
  <c r="B177" i="17"/>
  <c r="B178" i="17"/>
  <c r="B179" i="17"/>
  <c r="B180" i="17"/>
  <c r="B181" i="17"/>
  <c r="B182" i="17"/>
  <c r="B183" i="17"/>
  <c r="B184" i="17"/>
  <c r="B185" i="17"/>
  <c r="B186" i="17"/>
  <c r="B187" i="17"/>
  <c r="B188" i="17"/>
  <c r="B189" i="17"/>
  <c r="B190" i="17"/>
  <c r="B191" i="17"/>
  <c r="B192" i="17"/>
  <c r="B193" i="17"/>
  <c r="B194" i="17"/>
  <c r="B195" i="17"/>
  <c r="B196" i="17"/>
  <c r="B197" i="17"/>
  <c r="B198" i="17"/>
  <c r="B199" i="17"/>
  <c r="B200" i="17"/>
  <c r="B201" i="17"/>
  <c r="B202" i="17"/>
  <c r="B203" i="17"/>
  <c r="B204" i="17"/>
  <c r="B205" i="17"/>
  <c r="B206" i="17"/>
  <c r="B207" i="17"/>
  <c r="B208" i="17"/>
  <c r="B209" i="17"/>
  <c r="B210" i="17"/>
  <c r="B211" i="17"/>
  <c r="B212" i="17"/>
  <c r="B213" i="17"/>
  <c r="B214" i="17"/>
  <c r="B215" i="17"/>
  <c r="B216" i="17"/>
  <c r="B217" i="17"/>
  <c r="B218" i="17"/>
  <c r="B219" i="17"/>
  <c r="B220" i="17"/>
  <c r="B221" i="17"/>
  <c r="B222" i="17"/>
  <c r="B223" i="17"/>
  <c r="B224" i="17"/>
  <c r="B225" i="17"/>
  <c r="B226" i="17"/>
  <c r="B227" i="17"/>
  <c r="B228" i="17"/>
  <c r="B229" i="17"/>
  <c r="B230" i="17"/>
  <c r="B231" i="17"/>
  <c r="B232" i="17"/>
  <c r="B233" i="17"/>
  <c r="B234" i="17"/>
  <c r="B235" i="17"/>
  <c r="B236" i="17"/>
  <c r="B237" i="17"/>
  <c r="B238" i="17"/>
  <c r="B239" i="17"/>
  <c r="B240" i="17"/>
  <c r="B241" i="17"/>
  <c r="B242" i="17"/>
  <c r="B243" i="17"/>
  <c r="B244" i="17"/>
  <c r="B245" i="17"/>
  <c r="B246" i="17"/>
  <c r="B247" i="17"/>
  <c r="B248" i="17"/>
  <c r="B249" i="17"/>
  <c r="B250" i="17"/>
  <c r="B251" i="17"/>
  <c r="B252" i="17"/>
  <c r="B253" i="17"/>
  <c r="B254" i="17"/>
  <c r="B255" i="17"/>
  <c r="B256" i="17"/>
  <c r="B257" i="17"/>
  <c r="B258" i="17"/>
  <c r="B259" i="17"/>
  <c r="B260" i="17"/>
  <c r="B261" i="17"/>
  <c r="B262" i="17"/>
  <c r="B263" i="17"/>
  <c r="B264" i="17"/>
  <c r="B265" i="17"/>
  <c r="B266" i="17"/>
  <c r="B267" i="17"/>
  <c r="B268" i="17"/>
  <c r="B269" i="17"/>
  <c r="B270" i="17"/>
  <c r="B271" i="17"/>
  <c r="B272" i="17"/>
  <c r="B273" i="17"/>
  <c r="B274" i="17"/>
  <c r="B275" i="17"/>
  <c r="B276" i="17"/>
  <c r="B277" i="17"/>
  <c r="B278" i="17"/>
  <c r="B279" i="17"/>
  <c r="B280" i="17"/>
  <c r="B281" i="17"/>
  <c r="B282" i="17"/>
  <c r="B283" i="17"/>
  <c r="B284" i="17"/>
  <c r="B285" i="17"/>
  <c r="B286" i="17"/>
  <c r="B287" i="17"/>
  <c r="B288" i="17"/>
  <c r="B289" i="17"/>
  <c r="B290" i="17"/>
  <c r="B291" i="17"/>
  <c r="B292" i="17"/>
  <c r="B293" i="17"/>
  <c r="B294" i="17"/>
  <c r="B295" i="17"/>
  <c r="B296" i="17"/>
  <c r="B297" i="17"/>
  <c r="B298" i="17"/>
  <c r="B299" i="17"/>
  <c r="B300" i="17"/>
  <c r="B301" i="17"/>
  <c r="B302" i="17"/>
  <c r="B303" i="17"/>
  <c r="B304" i="17"/>
  <c r="B305" i="17"/>
  <c r="B306" i="17"/>
  <c r="B307" i="17"/>
  <c r="B308" i="17"/>
  <c r="B309" i="17"/>
  <c r="B310" i="17"/>
  <c r="B311" i="17"/>
  <c r="B312" i="17"/>
  <c r="B313" i="17"/>
  <c r="B314" i="17"/>
  <c r="B315" i="17"/>
  <c r="B316" i="17"/>
  <c r="B317" i="17"/>
  <c r="B318" i="17"/>
  <c r="B319" i="17"/>
  <c r="B320" i="17"/>
  <c r="B321" i="17"/>
  <c r="B322" i="17"/>
  <c r="B323" i="17"/>
  <c r="B324" i="17"/>
  <c r="B325" i="17"/>
  <c r="B326" i="17"/>
  <c r="B327" i="17"/>
  <c r="B328" i="17"/>
  <c r="B329" i="17"/>
  <c r="B330" i="17"/>
  <c r="B331" i="17"/>
  <c r="B332" i="17"/>
  <c r="B333" i="17"/>
  <c r="B334" i="17"/>
  <c r="B335" i="17"/>
  <c r="B336" i="17"/>
  <c r="B337" i="17"/>
  <c r="B338" i="17"/>
  <c r="B339" i="17"/>
  <c r="B340" i="17"/>
  <c r="B341" i="17"/>
  <c r="B342" i="17"/>
  <c r="B343" i="17"/>
  <c r="B344" i="17"/>
  <c r="B345" i="17"/>
  <c r="B346" i="17"/>
  <c r="B347" i="17"/>
  <c r="B348" i="17"/>
  <c r="B349" i="17"/>
  <c r="B350" i="17"/>
  <c r="B351" i="17"/>
  <c r="B352" i="17"/>
  <c r="B353" i="17"/>
  <c r="B354" i="17"/>
  <c r="B355" i="17"/>
  <c r="B356" i="17"/>
  <c r="B357" i="17"/>
  <c r="B358" i="17"/>
  <c r="B359" i="17"/>
  <c r="B360" i="17"/>
  <c r="B361" i="17"/>
  <c r="B362" i="17"/>
  <c r="B363" i="17"/>
  <c r="B364" i="17"/>
  <c r="B365" i="17"/>
  <c r="B366" i="17"/>
  <c r="B367" i="17"/>
  <c r="B368" i="17"/>
  <c r="B369" i="17"/>
  <c r="B370" i="17"/>
  <c r="B371" i="17"/>
  <c r="B372" i="17"/>
  <c r="B373" i="17"/>
  <c r="B374" i="17"/>
  <c r="B375" i="17"/>
  <c r="B376" i="17"/>
  <c r="B377" i="17"/>
  <c r="B378" i="17"/>
  <c r="B379" i="17"/>
  <c r="B380" i="17"/>
  <c r="B381" i="17"/>
  <c r="B382" i="17"/>
  <c r="B383" i="17"/>
  <c r="B384" i="17"/>
  <c r="B385" i="17"/>
  <c r="B386" i="17"/>
  <c r="B387" i="17"/>
  <c r="B388" i="17"/>
  <c r="B389" i="17"/>
  <c r="B390" i="17"/>
  <c r="B391" i="17"/>
  <c r="B392" i="17"/>
  <c r="B393" i="17"/>
  <c r="B394" i="17"/>
  <c r="B395" i="17"/>
  <c r="B396" i="17"/>
  <c r="B397" i="17"/>
  <c r="B398" i="17"/>
  <c r="B399" i="17"/>
  <c r="B400" i="17"/>
  <c r="B401" i="17"/>
  <c r="B402" i="17"/>
  <c r="B403" i="17"/>
  <c r="B404" i="17"/>
  <c r="B405" i="17"/>
  <c r="B406" i="17"/>
  <c r="B407" i="17"/>
  <c r="B408" i="17"/>
  <c r="B409" i="17"/>
  <c r="B410" i="17"/>
  <c r="B411" i="17"/>
  <c r="B412" i="17"/>
  <c r="B413" i="17"/>
  <c r="B414" i="17"/>
  <c r="B415" i="17"/>
  <c r="B416" i="17"/>
  <c r="B417" i="17"/>
  <c r="B418" i="17"/>
  <c r="B419" i="17"/>
  <c r="B420" i="17"/>
  <c r="B421" i="17"/>
  <c r="B422" i="17"/>
  <c r="B423" i="17"/>
  <c r="B424" i="17"/>
  <c r="B425" i="17"/>
  <c r="B426" i="17"/>
  <c r="B427" i="17"/>
  <c r="B428" i="17"/>
  <c r="B429" i="17"/>
  <c r="B430" i="17"/>
  <c r="B431" i="17"/>
  <c r="B432" i="17"/>
  <c r="B433" i="17"/>
  <c r="B434" i="17"/>
  <c r="B435" i="17"/>
  <c r="B436" i="17"/>
  <c r="B437" i="17"/>
  <c r="B438" i="17"/>
  <c r="B439" i="17"/>
  <c r="B440" i="17"/>
  <c r="B441" i="17"/>
  <c r="B442" i="17"/>
  <c r="B443" i="17"/>
  <c r="B444" i="17"/>
  <c r="B445" i="17"/>
  <c r="B446" i="17"/>
  <c r="B447" i="17"/>
  <c r="B448" i="17"/>
  <c r="B449" i="17"/>
  <c r="B450" i="17"/>
  <c r="B451" i="17"/>
  <c r="B452" i="17"/>
  <c r="B453" i="17"/>
  <c r="B454" i="17"/>
  <c r="B455" i="17"/>
  <c r="B456" i="17"/>
  <c r="B457" i="17"/>
  <c r="B458" i="17"/>
  <c r="B459" i="17"/>
  <c r="B460" i="17"/>
  <c r="B461" i="17"/>
  <c r="B462" i="17"/>
  <c r="B463" i="17"/>
  <c r="B464" i="17"/>
  <c r="B465" i="17"/>
  <c r="B466" i="17"/>
  <c r="B467" i="17"/>
  <c r="B468" i="17"/>
  <c r="B469" i="17"/>
  <c r="B470" i="17"/>
  <c r="B471" i="17"/>
  <c r="B472" i="17"/>
  <c r="B473" i="17"/>
  <c r="B474" i="17"/>
  <c r="B475" i="17"/>
  <c r="B476" i="17"/>
  <c r="B477" i="17"/>
  <c r="B478" i="17"/>
  <c r="B479" i="17"/>
  <c r="B480" i="17"/>
  <c r="B481" i="17"/>
  <c r="B482" i="17"/>
  <c r="B483" i="17"/>
  <c r="B484" i="17"/>
  <c r="B485" i="17"/>
  <c r="B486" i="17"/>
  <c r="B487" i="17"/>
  <c r="B488" i="17"/>
  <c r="B489" i="17"/>
  <c r="B490" i="17"/>
  <c r="B491" i="17"/>
  <c r="B492" i="17"/>
  <c r="B493" i="17"/>
  <c r="B494" i="17"/>
  <c r="B495" i="17"/>
  <c r="B496" i="17"/>
  <c r="B497" i="17"/>
  <c r="B498" i="17"/>
  <c r="B499" i="17"/>
  <c r="B500" i="17"/>
  <c r="B501" i="17"/>
  <c r="B502" i="17"/>
  <c r="B503" i="17"/>
  <c r="B504" i="17"/>
  <c r="B505" i="17"/>
  <c r="B506" i="17"/>
  <c r="B507" i="17"/>
  <c r="B508" i="17"/>
  <c r="B509" i="17"/>
  <c r="B510" i="17"/>
  <c r="B511" i="17"/>
  <c r="B512" i="17"/>
  <c r="B513" i="17"/>
  <c r="B514" i="17"/>
  <c r="B515" i="17"/>
  <c r="B516" i="17"/>
  <c r="B517" i="17"/>
  <c r="B518" i="17"/>
  <c r="B519" i="17"/>
  <c r="B520" i="17"/>
  <c r="B521" i="17"/>
  <c r="B522" i="17"/>
  <c r="B523" i="17"/>
  <c r="B524" i="17"/>
  <c r="B525" i="17"/>
  <c r="B526" i="17"/>
  <c r="B527" i="17"/>
  <c r="B528" i="17"/>
  <c r="B529" i="17"/>
  <c r="B530" i="17"/>
  <c r="B531" i="17"/>
  <c r="B532" i="17"/>
  <c r="B533" i="17"/>
  <c r="B534" i="17"/>
  <c r="B535" i="17"/>
  <c r="B536" i="17"/>
  <c r="B537" i="17"/>
  <c r="B538" i="17"/>
  <c r="B539" i="17"/>
  <c r="B540" i="17"/>
  <c r="B541" i="17"/>
  <c r="B542" i="17"/>
  <c r="B543" i="17"/>
  <c r="B544" i="17"/>
  <c r="B545" i="17"/>
  <c r="B546" i="17"/>
  <c r="B547" i="17"/>
  <c r="B548" i="17"/>
  <c r="B549" i="17"/>
  <c r="B550" i="17"/>
  <c r="B551" i="17"/>
  <c r="B552" i="17"/>
  <c r="B553" i="17"/>
  <c r="B554" i="17"/>
  <c r="B555" i="17"/>
  <c r="B556" i="17"/>
  <c r="B557" i="17"/>
  <c r="B558" i="17"/>
  <c r="B559" i="17"/>
  <c r="B560" i="17"/>
  <c r="B561" i="17"/>
  <c r="B562" i="17"/>
  <c r="B563" i="17"/>
  <c r="B564" i="17"/>
  <c r="B565" i="17"/>
  <c r="B566" i="17"/>
  <c r="B567" i="17"/>
  <c r="B568" i="17"/>
  <c r="B569" i="17"/>
  <c r="B570" i="17"/>
  <c r="B571" i="17"/>
  <c r="B572" i="17"/>
  <c r="B573" i="17"/>
  <c r="B574" i="17"/>
  <c r="B575" i="17"/>
  <c r="B576" i="17"/>
  <c r="B577" i="17"/>
  <c r="B578" i="17"/>
  <c r="B579" i="17"/>
  <c r="B580" i="17"/>
  <c r="B581" i="17"/>
  <c r="B582" i="17"/>
  <c r="B583" i="17"/>
  <c r="B584" i="17"/>
  <c r="B585" i="17"/>
  <c r="B586" i="17"/>
  <c r="B587" i="17"/>
  <c r="B588" i="17"/>
  <c r="B589" i="17"/>
  <c r="B590" i="17"/>
  <c r="B591" i="17"/>
  <c r="B592" i="17"/>
  <c r="B593" i="17"/>
  <c r="B594" i="17"/>
  <c r="B595" i="17"/>
  <c r="B596" i="17"/>
  <c r="B597" i="17"/>
  <c r="B598" i="17"/>
  <c r="B599" i="17"/>
  <c r="B600" i="17"/>
  <c r="B601" i="17"/>
  <c r="B602" i="17"/>
  <c r="B603" i="17"/>
  <c r="B604" i="17"/>
  <c r="B605" i="17"/>
  <c r="B606" i="17"/>
  <c r="B607" i="17"/>
  <c r="B608" i="17"/>
  <c r="B609" i="17"/>
  <c r="B610" i="17"/>
  <c r="B611" i="17"/>
  <c r="B612" i="17"/>
  <c r="B613" i="17"/>
  <c r="B13" i="17"/>
  <c r="B205" i="2"/>
  <c r="Q6" i="17"/>
  <c r="C6" i="17" l="1"/>
  <c r="C6" i="25"/>
  <c r="A341" i="2"/>
  <c r="B175" i="2"/>
  <c r="B176" i="2" s="1"/>
  <c r="H3" i="8" s="1"/>
  <c r="B122" i="2"/>
  <c r="B77" i="2"/>
  <c r="B8" i="2"/>
  <c r="D187" i="2" s="1"/>
  <c r="B9" i="2"/>
  <c r="H625" i="25" l="1"/>
  <c r="H623" i="25"/>
  <c r="G613" i="25"/>
  <c r="G612" i="25"/>
  <c r="G611" i="25"/>
  <c r="G610" i="25"/>
  <c r="G609" i="25"/>
  <c r="G608" i="25"/>
  <c r="G607" i="25"/>
  <c r="G606" i="25"/>
  <c r="G605" i="25"/>
  <c r="G604" i="25"/>
  <c r="G603" i="25"/>
  <c r="G602" i="25"/>
  <c r="G601" i="25"/>
  <c r="G600" i="25"/>
  <c r="G599" i="25"/>
  <c r="G598" i="25"/>
  <c r="G597" i="25"/>
  <c r="G596" i="25"/>
  <c r="G595" i="25"/>
  <c r="G594" i="25"/>
  <c r="G593" i="25"/>
  <c r="G592" i="25"/>
  <c r="G591" i="25"/>
  <c r="G590" i="25"/>
  <c r="G589" i="25"/>
  <c r="G588" i="25"/>
  <c r="G587" i="25"/>
  <c r="G586" i="25"/>
  <c r="G585" i="25"/>
  <c r="G584" i="25"/>
  <c r="G583" i="25"/>
  <c r="G582" i="25"/>
  <c r="G581" i="25"/>
  <c r="G580" i="25"/>
  <c r="G579" i="25"/>
  <c r="G578" i="25"/>
  <c r="G577" i="25"/>
  <c r="G576" i="25"/>
  <c r="G575" i="25"/>
  <c r="G574" i="25"/>
  <c r="G573" i="25"/>
  <c r="G572" i="25"/>
  <c r="G571" i="25"/>
  <c r="G570" i="25"/>
  <c r="G569" i="25"/>
  <c r="G568" i="25"/>
  <c r="G567" i="25"/>
  <c r="G566" i="25"/>
  <c r="G565" i="25"/>
  <c r="G564" i="25"/>
  <c r="G563" i="25"/>
  <c r="G562" i="25"/>
  <c r="G561" i="25"/>
  <c r="G560" i="25"/>
  <c r="G559" i="25"/>
  <c r="G558" i="25"/>
  <c r="G557" i="25"/>
  <c r="G556" i="25"/>
  <c r="G555" i="25"/>
  <c r="G554" i="25"/>
  <c r="G553" i="25"/>
  <c r="G552" i="25"/>
  <c r="G551" i="25"/>
  <c r="G550" i="25"/>
  <c r="G549" i="25"/>
  <c r="G548" i="25"/>
  <c r="G547" i="25"/>
  <c r="G546" i="25"/>
  <c r="G545" i="25"/>
  <c r="G544" i="25"/>
  <c r="G543" i="25"/>
  <c r="G625" i="25"/>
  <c r="G623" i="25"/>
  <c r="G628" i="25"/>
  <c r="G626" i="25"/>
  <c r="G624" i="25"/>
  <c r="H613" i="25"/>
  <c r="H612" i="25"/>
  <c r="H611" i="25"/>
  <c r="H610" i="25"/>
  <c r="H609" i="25"/>
  <c r="H608" i="25"/>
  <c r="H607" i="25"/>
  <c r="H606" i="25"/>
  <c r="H605" i="25"/>
  <c r="H604" i="25"/>
  <c r="H603" i="25"/>
  <c r="H602" i="25"/>
  <c r="H601" i="25"/>
  <c r="H600" i="25"/>
  <c r="H599" i="25"/>
  <c r="H598" i="25"/>
  <c r="H597" i="25"/>
  <c r="H596" i="25"/>
  <c r="H595" i="25"/>
  <c r="H594" i="25"/>
  <c r="H593" i="25"/>
  <c r="H592" i="25"/>
  <c r="H591" i="25"/>
  <c r="H590" i="25"/>
  <c r="H589" i="25"/>
  <c r="H588" i="25"/>
  <c r="H587" i="25"/>
  <c r="H586" i="25"/>
  <c r="H585" i="25"/>
  <c r="H584" i="25"/>
  <c r="H583" i="25"/>
  <c r="H582" i="25"/>
  <c r="H581" i="25"/>
  <c r="H580" i="25"/>
  <c r="H579" i="25"/>
  <c r="H578" i="25"/>
  <c r="H577" i="25"/>
  <c r="H576" i="25"/>
  <c r="H575" i="25"/>
  <c r="H574" i="25"/>
  <c r="H573" i="25"/>
  <c r="H572" i="25"/>
  <c r="H571" i="25"/>
  <c r="H570" i="25"/>
  <c r="H569" i="25"/>
  <c r="H568" i="25"/>
  <c r="H567" i="25"/>
  <c r="H566" i="25"/>
  <c r="H565" i="25"/>
  <c r="H564" i="25"/>
  <c r="H563" i="25"/>
  <c r="H562" i="25"/>
  <c r="H561" i="25"/>
  <c r="H560" i="25"/>
  <c r="H559" i="25"/>
  <c r="H558" i="25"/>
  <c r="H557" i="25"/>
  <c r="H556" i="25"/>
  <c r="H555" i="25"/>
  <c r="H554" i="25"/>
  <c r="H553" i="25"/>
  <c r="H552" i="25"/>
  <c r="H551" i="25"/>
  <c r="H550" i="25"/>
  <c r="H549" i="25"/>
  <c r="H548" i="25"/>
  <c r="H547" i="25"/>
  <c r="H546" i="25"/>
  <c r="H545" i="25"/>
  <c r="H544" i="25"/>
  <c r="H543" i="25"/>
  <c r="H542" i="25"/>
  <c r="H541" i="25"/>
  <c r="H540" i="25"/>
  <c r="H539" i="25"/>
  <c r="H538" i="25"/>
  <c r="H537" i="25"/>
  <c r="G542" i="25"/>
  <c r="G538" i="25"/>
  <c r="H628" i="25"/>
  <c r="G539" i="25"/>
  <c r="H624" i="25"/>
  <c r="G541" i="25"/>
  <c r="G537" i="25"/>
  <c r="G536" i="25"/>
  <c r="G535" i="25"/>
  <c r="G534" i="25"/>
  <c r="G533" i="25"/>
  <c r="G532" i="25"/>
  <c r="G531" i="25"/>
  <c r="G530" i="25"/>
  <c r="G529" i="25"/>
  <c r="G528" i="25"/>
  <c r="G527" i="25"/>
  <c r="G526" i="25"/>
  <c r="G525" i="25"/>
  <c r="G524" i="25"/>
  <c r="G523" i="25"/>
  <c r="G522" i="25"/>
  <c r="G521" i="25"/>
  <c r="G520" i="25"/>
  <c r="G519" i="25"/>
  <c r="G518" i="25"/>
  <c r="G517" i="25"/>
  <c r="G516" i="25"/>
  <c r="G515" i="25"/>
  <c r="G514" i="25"/>
  <c r="G513" i="25"/>
  <c r="G512" i="25"/>
  <c r="G511" i="25"/>
  <c r="G510" i="25"/>
  <c r="G509" i="25"/>
  <c r="G508" i="25"/>
  <c r="G507" i="25"/>
  <c r="G506" i="25"/>
  <c r="G505" i="25"/>
  <c r="G504" i="25"/>
  <c r="G503" i="25"/>
  <c r="G502" i="25"/>
  <c r="G501" i="25"/>
  <c r="G500" i="25"/>
  <c r="G499" i="25"/>
  <c r="G498" i="25"/>
  <c r="G497" i="25"/>
  <c r="G496" i="25"/>
  <c r="G495" i="25"/>
  <c r="G494" i="25"/>
  <c r="G493" i="25"/>
  <c r="G492" i="25"/>
  <c r="G491" i="25"/>
  <c r="G490" i="25"/>
  <c r="G489" i="25"/>
  <c r="G488" i="25"/>
  <c r="G487" i="25"/>
  <c r="G486" i="25"/>
  <c r="G485" i="25"/>
  <c r="G484" i="25"/>
  <c r="G483" i="25"/>
  <c r="G482" i="25"/>
  <c r="G481" i="25"/>
  <c r="G480" i="25"/>
  <c r="G479" i="25"/>
  <c r="G478" i="25"/>
  <c r="G477" i="25"/>
  <c r="G476" i="25"/>
  <c r="G475" i="25"/>
  <c r="G474" i="25"/>
  <c r="G473" i="25"/>
  <c r="G472" i="25"/>
  <c r="G471" i="25"/>
  <c r="G470" i="25"/>
  <c r="G469" i="25"/>
  <c r="G468" i="25"/>
  <c r="G467" i="25"/>
  <c r="G466" i="25"/>
  <c r="G465" i="25"/>
  <c r="G464" i="25"/>
  <c r="G463" i="25"/>
  <c r="G462" i="25"/>
  <c r="G461" i="25"/>
  <c r="G460" i="25"/>
  <c r="G459" i="25"/>
  <c r="G458" i="25"/>
  <c r="G457" i="25"/>
  <c r="G456" i="25"/>
  <c r="G455" i="25"/>
  <c r="G454" i="25"/>
  <c r="G453" i="25"/>
  <c r="G452" i="25"/>
  <c r="G451" i="25"/>
  <c r="G450" i="25"/>
  <c r="G449" i="25"/>
  <c r="G448" i="25"/>
  <c r="G447" i="25"/>
  <c r="G446" i="25"/>
  <c r="G445" i="25"/>
  <c r="G444" i="25"/>
  <c r="G443" i="25"/>
  <c r="G442" i="25"/>
  <c r="G441" i="25"/>
  <c r="G440" i="25"/>
  <c r="G439" i="25"/>
  <c r="G438" i="25"/>
  <c r="G437" i="25"/>
  <c r="G436" i="25"/>
  <c r="G435" i="25"/>
  <c r="G434" i="25"/>
  <c r="G433" i="25"/>
  <c r="G432" i="25"/>
  <c r="G431" i="25"/>
  <c r="G430" i="25"/>
  <c r="G429" i="25"/>
  <c r="G428" i="25"/>
  <c r="G427" i="25"/>
  <c r="G426" i="25"/>
  <c r="G425" i="25"/>
  <c r="G424" i="25"/>
  <c r="G423" i="25"/>
  <c r="G422" i="25"/>
  <c r="G421" i="25"/>
  <c r="G420" i="25"/>
  <c r="G419" i="25"/>
  <c r="G418" i="25"/>
  <c r="G417" i="25"/>
  <c r="G416" i="25"/>
  <c r="G415" i="25"/>
  <c r="G414" i="25"/>
  <c r="G413" i="25"/>
  <c r="G412" i="25"/>
  <c r="G411" i="25"/>
  <c r="G410" i="25"/>
  <c r="G409" i="25"/>
  <c r="G408" i="25"/>
  <c r="G407" i="25"/>
  <c r="G406" i="25"/>
  <c r="G405" i="25"/>
  <c r="G404" i="25"/>
  <c r="G403" i="25"/>
  <c r="G402" i="25"/>
  <c r="G401" i="25"/>
  <c r="G400" i="25"/>
  <c r="G399" i="25"/>
  <c r="G398" i="25"/>
  <c r="G397" i="25"/>
  <c r="G396" i="25"/>
  <c r="G395" i="25"/>
  <c r="G394" i="25"/>
  <c r="G393" i="25"/>
  <c r="G392" i="25"/>
  <c r="G391" i="25"/>
  <c r="G390" i="25"/>
  <c r="G389" i="25"/>
  <c r="G388" i="25"/>
  <c r="G387" i="25"/>
  <c r="G386" i="25"/>
  <c r="G385" i="25"/>
  <c r="G384" i="25"/>
  <c r="G383" i="25"/>
  <c r="G382" i="25"/>
  <c r="G381" i="25"/>
  <c r="G380" i="25"/>
  <c r="G379" i="25"/>
  <c r="G378" i="25"/>
  <c r="G377" i="25"/>
  <c r="G376" i="25"/>
  <c r="G375" i="25"/>
  <c r="G374" i="25"/>
  <c r="G373" i="25"/>
  <c r="G372" i="25"/>
  <c r="G371" i="25"/>
  <c r="G370" i="25"/>
  <c r="H536" i="25"/>
  <c r="H532" i="25"/>
  <c r="H528" i="25"/>
  <c r="H524" i="25"/>
  <c r="H520" i="25"/>
  <c r="H516" i="25"/>
  <c r="H512" i="25"/>
  <c r="H508" i="25"/>
  <c r="H504" i="25"/>
  <c r="H500" i="25"/>
  <c r="H496" i="25"/>
  <c r="H492" i="25"/>
  <c r="H488" i="25"/>
  <c r="H484" i="25"/>
  <c r="H480" i="25"/>
  <c r="H476" i="25"/>
  <c r="H472" i="25"/>
  <c r="H468" i="25"/>
  <c r="H464" i="25"/>
  <c r="H460" i="25"/>
  <c r="H456" i="25"/>
  <c r="H452" i="25"/>
  <c r="H448" i="25"/>
  <c r="H444" i="25"/>
  <c r="H440" i="25"/>
  <c r="H436" i="25"/>
  <c r="H432" i="25"/>
  <c r="H428" i="25"/>
  <c r="H424" i="25"/>
  <c r="H420" i="25"/>
  <c r="H416" i="25"/>
  <c r="H412" i="25"/>
  <c r="H408" i="25"/>
  <c r="H404" i="25"/>
  <c r="H400" i="25"/>
  <c r="H396" i="25"/>
  <c r="H533" i="25"/>
  <c r="H529" i="25"/>
  <c r="H525" i="25"/>
  <c r="H521" i="25"/>
  <c r="H517" i="25"/>
  <c r="H513" i="25"/>
  <c r="H509" i="25"/>
  <c r="H505" i="25"/>
  <c r="H501" i="25"/>
  <c r="H497" i="25"/>
  <c r="H493" i="25"/>
  <c r="H489" i="25"/>
  <c r="H485" i="25"/>
  <c r="H481" i="25"/>
  <c r="H477" i="25"/>
  <c r="H473" i="25"/>
  <c r="H469" i="25"/>
  <c r="H465" i="25"/>
  <c r="H461" i="25"/>
  <c r="H457" i="25"/>
  <c r="H453" i="25"/>
  <c r="H449" i="25"/>
  <c r="H445" i="25"/>
  <c r="H441" i="25"/>
  <c r="H437" i="25"/>
  <c r="H433" i="25"/>
  <c r="H429" i="25"/>
  <c r="H425" i="25"/>
  <c r="H421" i="25"/>
  <c r="H417" i="25"/>
  <c r="H413" i="25"/>
  <c r="H409" i="25"/>
  <c r="H405" i="25"/>
  <c r="H401" i="25"/>
  <c r="H397" i="25"/>
  <c r="H393" i="25"/>
  <c r="H389" i="25"/>
  <c r="H385" i="25"/>
  <c r="H381" i="25"/>
  <c r="H377" i="25"/>
  <c r="H373" i="25"/>
  <c r="H369" i="25"/>
  <c r="H368" i="25"/>
  <c r="H367" i="25"/>
  <c r="H366" i="25"/>
  <c r="H365" i="25"/>
  <c r="H364" i="25"/>
  <c r="H363" i="25"/>
  <c r="H362" i="25"/>
  <c r="H361" i="25"/>
  <c r="H360" i="25"/>
  <c r="H359" i="25"/>
  <c r="H358" i="25"/>
  <c r="H357" i="25"/>
  <c r="H356" i="25"/>
  <c r="H355" i="25"/>
  <c r="H354" i="25"/>
  <c r="H353" i="25"/>
  <c r="H352" i="25"/>
  <c r="H351" i="25"/>
  <c r="H350" i="25"/>
  <c r="H349" i="25"/>
  <c r="H348" i="25"/>
  <c r="H347" i="25"/>
  <c r="H346" i="25"/>
  <c r="H345" i="25"/>
  <c r="H344" i="25"/>
  <c r="H343" i="25"/>
  <c r="H342" i="25"/>
  <c r="H341" i="25"/>
  <c r="H340" i="25"/>
  <c r="H339" i="25"/>
  <c r="H338" i="25"/>
  <c r="H337" i="25"/>
  <c r="H336" i="25"/>
  <c r="H335" i="25"/>
  <c r="H334" i="25"/>
  <c r="H333" i="25"/>
  <c r="H332" i="25"/>
  <c r="H331" i="25"/>
  <c r="H330" i="25"/>
  <c r="H329" i="25"/>
  <c r="H328" i="25"/>
  <c r="H327" i="25"/>
  <c r="H326" i="25"/>
  <c r="H626" i="25"/>
  <c r="G540" i="25"/>
  <c r="H535" i="25"/>
  <c r="H531" i="25"/>
  <c r="H527" i="25"/>
  <c r="H523" i="25"/>
  <c r="H519" i="25"/>
  <c r="H515" i="25"/>
  <c r="H511" i="25"/>
  <c r="H507" i="25"/>
  <c r="H503" i="25"/>
  <c r="H499" i="25"/>
  <c r="H495" i="25"/>
  <c r="H491" i="25"/>
  <c r="H487" i="25"/>
  <c r="H483" i="25"/>
  <c r="H479" i="25"/>
  <c r="H475" i="25"/>
  <c r="H471" i="25"/>
  <c r="H467" i="25"/>
  <c r="H463" i="25"/>
  <c r="H459" i="25"/>
  <c r="H455" i="25"/>
  <c r="H451" i="25"/>
  <c r="H447" i="25"/>
  <c r="H443" i="25"/>
  <c r="H439" i="25"/>
  <c r="H435" i="25"/>
  <c r="H431" i="25"/>
  <c r="H427" i="25"/>
  <c r="H423" i="25"/>
  <c r="H419" i="25"/>
  <c r="H415" i="25"/>
  <c r="H411" i="25"/>
  <c r="H407" i="25"/>
  <c r="H403" i="25"/>
  <c r="H399" i="25"/>
  <c r="H395" i="25"/>
  <c r="H391" i="25"/>
  <c r="H387" i="25"/>
  <c r="H383" i="25"/>
  <c r="H379" i="25"/>
  <c r="H375" i="25"/>
  <c r="H371" i="25"/>
  <c r="H522" i="25"/>
  <c r="H506" i="25"/>
  <c r="H490" i="25"/>
  <c r="H474" i="25"/>
  <c r="H458" i="25"/>
  <c r="H442" i="25"/>
  <c r="H426" i="25"/>
  <c r="H410" i="25"/>
  <c r="H394" i="25"/>
  <c r="H386" i="25"/>
  <c r="H378" i="25"/>
  <c r="H370" i="25"/>
  <c r="G366" i="25"/>
  <c r="G362" i="25"/>
  <c r="G358" i="25"/>
  <c r="G354" i="25"/>
  <c r="G350" i="25"/>
  <c r="G346" i="25"/>
  <c r="G342" i="25"/>
  <c r="G338" i="25"/>
  <c r="G334" i="25"/>
  <c r="G330" i="25"/>
  <c r="G326" i="25"/>
  <c r="G325" i="25"/>
  <c r="G324" i="25"/>
  <c r="G323" i="25"/>
  <c r="G322" i="25"/>
  <c r="G321" i="25"/>
  <c r="G320" i="25"/>
  <c r="G319" i="25"/>
  <c r="G318" i="25"/>
  <c r="G317" i="25"/>
  <c r="G316" i="25"/>
  <c r="G315" i="25"/>
  <c r="G314" i="25"/>
  <c r="G313" i="25"/>
  <c r="G312" i="25"/>
  <c r="G311" i="25"/>
  <c r="G310" i="25"/>
  <c r="G309" i="25"/>
  <c r="G308" i="25"/>
  <c r="G307" i="25"/>
  <c r="G306" i="25"/>
  <c r="G305" i="25"/>
  <c r="G304" i="25"/>
  <c r="G303" i="25"/>
  <c r="G302" i="25"/>
  <c r="G301" i="25"/>
  <c r="G300" i="25"/>
  <c r="G299" i="25"/>
  <c r="G298" i="25"/>
  <c r="G297" i="25"/>
  <c r="G296" i="25"/>
  <c r="G295" i="25"/>
  <c r="G294" i="25"/>
  <c r="G293" i="25"/>
  <c r="G292" i="25"/>
  <c r="G291" i="25"/>
  <c r="G290" i="25"/>
  <c r="G289" i="25"/>
  <c r="G288" i="25"/>
  <c r="G287" i="25"/>
  <c r="G286" i="25"/>
  <c r="G285" i="25"/>
  <c r="G284" i="25"/>
  <c r="G283" i="25"/>
  <c r="G282" i="25"/>
  <c r="G281" i="25"/>
  <c r="G280" i="25"/>
  <c r="G279" i="25"/>
  <c r="G278" i="25"/>
  <c r="G277" i="25"/>
  <c r="G276" i="25"/>
  <c r="G275" i="25"/>
  <c r="G274" i="25"/>
  <c r="G273" i="25"/>
  <c r="G272" i="25"/>
  <c r="G271" i="25"/>
  <c r="G270" i="25"/>
  <c r="G269" i="25"/>
  <c r="G268" i="25"/>
  <c r="G267" i="25"/>
  <c r="G266" i="25"/>
  <c r="G265" i="25"/>
  <c r="G264" i="25"/>
  <c r="H534" i="25"/>
  <c r="H518" i="25"/>
  <c r="H502" i="25"/>
  <c r="H486" i="25"/>
  <c r="H470" i="25"/>
  <c r="H454" i="25"/>
  <c r="H438" i="25"/>
  <c r="H422" i="25"/>
  <c r="H406" i="25"/>
  <c r="H392" i="25"/>
  <c r="H384" i="25"/>
  <c r="H376" i="25"/>
  <c r="G367" i="25"/>
  <c r="G363" i="25"/>
  <c r="G359" i="25"/>
  <c r="G355" i="25"/>
  <c r="G351" i="25"/>
  <c r="G347" i="25"/>
  <c r="G343" i="25"/>
  <c r="G339" i="25"/>
  <c r="G335" i="25"/>
  <c r="G331" i="25"/>
  <c r="G327" i="25"/>
  <c r="H526" i="25"/>
  <c r="H510" i="25"/>
  <c r="H494" i="25"/>
  <c r="H478" i="25"/>
  <c r="H462" i="25"/>
  <c r="H446" i="25"/>
  <c r="H430" i="25"/>
  <c r="H414" i="25"/>
  <c r="H398" i="25"/>
  <c r="H388" i="25"/>
  <c r="H380" i="25"/>
  <c r="H372" i="25"/>
  <c r="G369" i="25"/>
  <c r="G365" i="25"/>
  <c r="G361" i="25"/>
  <c r="G357" i="25"/>
  <c r="G353" i="25"/>
  <c r="G349" i="25"/>
  <c r="G345" i="25"/>
  <c r="G341" i="25"/>
  <c r="G337" i="25"/>
  <c r="G333" i="25"/>
  <c r="G329" i="25"/>
  <c r="H325" i="25"/>
  <c r="H324" i="25"/>
  <c r="H323" i="25"/>
  <c r="H322" i="25"/>
  <c r="H321" i="25"/>
  <c r="H320" i="25"/>
  <c r="H319" i="25"/>
  <c r="H318" i="25"/>
  <c r="H317" i="25"/>
  <c r="H316" i="25"/>
  <c r="H315" i="25"/>
  <c r="H314" i="25"/>
  <c r="H313" i="25"/>
  <c r="H312" i="25"/>
  <c r="H311" i="25"/>
  <c r="H310" i="25"/>
  <c r="H309" i="25"/>
  <c r="H308" i="25"/>
  <c r="H307" i="25"/>
  <c r="H306" i="25"/>
  <c r="H305" i="25"/>
  <c r="H304" i="25"/>
  <c r="H303" i="25"/>
  <c r="H302" i="25"/>
  <c r="H301" i="25"/>
  <c r="H300" i="25"/>
  <c r="H299" i="25"/>
  <c r="H298" i="25"/>
  <c r="H297" i="25"/>
  <c r="H296" i="25"/>
  <c r="H295" i="25"/>
  <c r="H294" i="25"/>
  <c r="H293" i="25"/>
  <c r="H292" i="25"/>
  <c r="H291" i="25"/>
  <c r="H290" i="25"/>
  <c r="H289" i="25"/>
  <c r="H288" i="25"/>
  <c r="H287" i="25"/>
  <c r="H286" i="25"/>
  <c r="H285" i="25"/>
  <c r="H284" i="25"/>
  <c r="H283" i="25"/>
  <c r="H282" i="25"/>
  <c r="H281" i="25"/>
  <c r="H280" i="25"/>
  <c r="H279" i="25"/>
  <c r="H278" i="25"/>
  <c r="H277" i="25"/>
  <c r="H276" i="25"/>
  <c r="H275" i="25"/>
  <c r="H274" i="25"/>
  <c r="H273" i="25"/>
  <c r="H272" i="25"/>
  <c r="H271" i="25"/>
  <c r="H270" i="25"/>
  <c r="H269" i="25"/>
  <c r="H268" i="25"/>
  <c r="H267" i="25"/>
  <c r="H266" i="25"/>
  <c r="H265" i="25"/>
  <c r="H264" i="25"/>
  <c r="H263" i="25"/>
  <c r="H262" i="25"/>
  <c r="H261" i="25"/>
  <c r="H260" i="25"/>
  <c r="H259" i="25"/>
  <c r="H258" i="25"/>
  <c r="H257" i="25"/>
  <c r="H256" i="25"/>
  <c r="H255" i="25"/>
  <c r="H254" i="25"/>
  <c r="H253" i="25"/>
  <c r="H252" i="25"/>
  <c r="H251" i="25"/>
  <c r="H250" i="25"/>
  <c r="H249" i="25"/>
  <c r="H248" i="25"/>
  <c r="H247" i="25"/>
  <c r="H246" i="25"/>
  <c r="H245" i="25"/>
  <c r="H244" i="25"/>
  <c r="H243" i="25"/>
  <c r="H242" i="25"/>
  <c r="H241" i="25"/>
  <c r="H240" i="25"/>
  <c r="H239" i="25"/>
  <c r="H238" i="25"/>
  <c r="H237" i="25"/>
  <c r="H236" i="25"/>
  <c r="H235" i="25"/>
  <c r="H234" i="25"/>
  <c r="H482" i="25"/>
  <c r="H418" i="25"/>
  <c r="H374" i="25"/>
  <c r="G356" i="25"/>
  <c r="G340" i="25"/>
  <c r="G261" i="25"/>
  <c r="G257" i="25"/>
  <c r="G253" i="25"/>
  <c r="G249" i="25"/>
  <c r="G245" i="25"/>
  <c r="G241" i="25"/>
  <c r="G237" i="25"/>
  <c r="H233" i="25"/>
  <c r="H232" i="25"/>
  <c r="H231" i="25"/>
  <c r="H230" i="25"/>
  <c r="H229" i="25"/>
  <c r="H228" i="25"/>
  <c r="H227" i="25"/>
  <c r="H226" i="25"/>
  <c r="H225" i="25"/>
  <c r="H224" i="25"/>
  <c r="H223" i="25"/>
  <c r="H222" i="25"/>
  <c r="H221" i="25"/>
  <c r="H220" i="25"/>
  <c r="H219" i="25"/>
  <c r="H218" i="25"/>
  <c r="H217" i="25"/>
  <c r="H216" i="25"/>
  <c r="H215" i="25"/>
  <c r="H214" i="25"/>
  <c r="H213" i="25"/>
  <c r="H212" i="25"/>
  <c r="H211" i="25"/>
  <c r="H210" i="25"/>
  <c r="H209" i="25"/>
  <c r="H208" i="25"/>
  <c r="H207" i="25"/>
  <c r="H206" i="25"/>
  <c r="H205" i="25"/>
  <c r="H204" i="25"/>
  <c r="H203" i="25"/>
  <c r="H202" i="25"/>
  <c r="H201" i="25"/>
  <c r="H200" i="25"/>
  <c r="H199" i="25"/>
  <c r="H198" i="25"/>
  <c r="H197" i="25"/>
  <c r="H196" i="25"/>
  <c r="H195" i="25"/>
  <c r="H194" i="25"/>
  <c r="H193" i="25"/>
  <c r="H192" i="25"/>
  <c r="H191" i="25"/>
  <c r="H190" i="25"/>
  <c r="H189" i="25"/>
  <c r="H188" i="25"/>
  <c r="H187" i="25"/>
  <c r="H186" i="25"/>
  <c r="H185" i="25"/>
  <c r="H184" i="25"/>
  <c r="H183" i="25"/>
  <c r="H182" i="25"/>
  <c r="H181" i="25"/>
  <c r="H180" i="25"/>
  <c r="H179" i="25"/>
  <c r="H178" i="25"/>
  <c r="H177" i="25"/>
  <c r="H176" i="25"/>
  <c r="H175" i="25"/>
  <c r="H173" i="25"/>
  <c r="H172" i="25"/>
  <c r="H171" i="25"/>
  <c r="H170" i="25"/>
  <c r="H169" i="25"/>
  <c r="H168" i="25"/>
  <c r="H167" i="25"/>
  <c r="H166" i="25"/>
  <c r="H165" i="25"/>
  <c r="H164" i="25"/>
  <c r="H163" i="25"/>
  <c r="H162" i="25"/>
  <c r="H161" i="25"/>
  <c r="H159" i="25"/>
  <c r="H158" i="25"/>
  <c r="H156" i="25"/>
  <c r="H154" i="25"/>
  <c r="H152" i="25"/>
  <c r="H150" i="25"/>
  <c r="H149" i="25"/>
  <c r="H148" i="25"/>
  <c r="H146" i="25"/>
  <c r="H145" i="25"/>
  <c r="H143" i="25"/>
  <c r="H141" i="25"/>
  <c r="H139" i="25"/>
  <c r="H137" i="25"/>
  <c r="H135" i="25"/>
  <c r="H133" i="25"/>
  <c r="H131" i="25"/>
  <c r="H129" i="25"/>
  <c r="H128" i="25"/>
  <c r="H126" i="25"/>
  <c r="H124" i="25"/>
  <c r="H122" i="25"/>
  <c r="H120" i="25"/>
  <c r="H118" i="25"/>
  <c r="H530" i="25"/>
  <c r="H466" i="25"/>
  <c r="H402" i="25"/>
  <c r="G368" i="25"/>
  <c r="G352" i="25"/>
  <c r="G336" i="25"/>
  <c r="G262" i="25"/>
  <c r="G258" i="25"/>
  <c r="G254" i="25"/>
  <c r="G250" i="25"/>
  <c r="G246" i="25"/>
  <c r="G242" i="25"/>
  <c r="G238" i="25"/>
  <c r="G234" i="25"/>
  <c r="G233" i="25"/>
  <c r="G232" i="25"/>
  <c r="G231" i="25"/>
  <c r="G230" i="25"/>
  <c r="G229" i="25"/>
  <c r="G228" i="25"/>
  <c r="G227" i="25"/>
  <c r="G226" i="25"/>
  <c r="G225" i="25"/>
  <c r="G224" i="25"/>
  <c r="G223" i="25"/>
  <c r="G222" i="25"/>
  <c r="G221" i="25"/>
  <c r="G220" i="25"/>
  <c r="G219" i="25"/>
  <c r="G218" i="25"/>
  <c r="G217" i="25"/>
  <c r="G216" i="25"/>
  <c r="G215" i="25"/>
  <c r="G214" i="25"/>
  <c r="G213" i="25"/>
  <c r="G212" i="25"/>
  <c r="G211" i="25"/>
  <c r="G210" i="25"/>
  <c r="G209" i="25"/>
  <c r="G208" i="25"/>
  <c r="G207" i="25"/>
  <c r="G206" i="25"/>
  <c r="G205" i="25"/>
  <c r="G204" i="25"/>
  <c r="G203" i="25"/>
  <c r="G202" i="25"/>
  <c r="G201" i="25"/>
  <c r="G200" i="25"/>
  <c r="G199" i="25"/>
  <c r="G198" i="25"/>
  <c r="G197" i="25"/>
  <c r="G196" i="25"/>
  <c r="G195" i="25"/>
  <c r="G194" i="25"/>
  <c r="G193" i="25"/>
  <c r="G192" i="25"/>
  <c r="G191" i="25"/>
  <c r="G190" i="25"/>
  <c r="G189" i="25"/>
  <c r="G188" i="25"/>
  <c r="G187" i="25"/>
  <c r="G186" i="25"/>
  <c r="G185" i="25"/>
  <c r="G184" i="25"/>
  <c r="G183" i="25"/>
  <c r="G182" i="25"/>
  <c r="G181" i="25"/>
  <c r="G180" i="25"/>
  <c r="G179" i="25"/>
  <c r="G178" i="25"/>
  <c r="G177" i="25"/>
  <c r="G176" i="25"/>
  <c r="G175" i="25"/>
  <c r="G174" i="25"/>
  <c r="G173" i="25"/>
  <c r="G172" i="25"/>
  <c r="G171" i="25"/>
  <c r="G170" i="25"/>
  <c r="G169" i="25"/>
  <c r="G168" i="25"/>
  <c r="G167" i="25"/>
  <c r="G166" i="25"/>
  <c r="G165" i="25"/>
  <c r="G164" i="25"/>
  <c r="G163" i="25"/>
  <c r="G162" i="25"/>
  <c r="G161" i="25"/>
  <c r="G160" i="25"/>
  <c r="G159" i="25"/>
  <c r="G158" i="25"/>
  <c r="G157" i="25"/>
  <c r="G156" i="25"/>
  <c r="G155" i="25"/>
  <c r="G154" i="25"/>
  <c r="G153" i="25"/>
  <c r="G152" i="25"/>
  <c r="G151" i="25"/>
  <c r="G150" i="25"/>
  <c r="G149" i="25"/>
  <c r="G148" i="25"/>
  <c r="G147" i="25"/>
  <c r="G146" i="25"/>
  <c r="G145" i="25"/>
  <c r="G144" i="25"/>
  <c r="G143" i="25"/>
  <c r="G142" i="25"/>
  <c r="G141" i="25"/>
  <c r="G140" i="25"/>
  <c r="G139" i="25"/>
  <c r="G138" i="25"/>
  <c r="G137" i="25"/>
  <c r="G136" i="25"/>
  <c r="G135" i="25"/>
  <c r="G134" i="25"/>
  <c r="G133" i="25"/>
  <c r="G132" i="25"/>
  <c r="G131" i="25"/>
  <c r="G130" i="25"/>
  <c r="G129" i="25"/>
  <c r="G128" i="25"/>
  <c r="G127" i="25"/>
  <c r="G126" i="25"/>
  <c r="G125" i="25"/>
  <c r="G124" i="25"/>
  <c r="G123" i="25"/>
  <c r="G122" i="25"/>
  <c r="G121" i="25"/>
  <c r="G120" i="25"/>
  <c r="G119" i="25"/>
  <c r="G118" i="25"/>
  <c r="G117" i="25"/>
  <c r="G116" i="25"/>
  <c r="G115" i="25"/>
  <c r="G114" i="25"/>
  <c r="G113" i="25"/>
  <c r="G112" i="25"/>
  <c r="G111" i="25"/>
  <c r="G110" i="25"/>
  <c r="G109" i="25"/>
  <c r="G108" i="25"/>
  <c r="G107" i="25"/>
  <c r="G106" i="25"/>
  <c r="G105" i="25"/>
  <c r="G104" i="25"/>
  <c r="G103" i="25"/>
  <c r="G102" i="25"/>
  <c r="G101" i="25"/>
  <c r="G100" i="25"/>
  <c r="G99" i="25"/>
  <c r="G98" i="25"/>
  <c r="G97" i="25"/>
  <c r="G96" i="25"/>
  <c r="G95" i="25"/>
  <c r="G94" i="25"/>
  <c r="G93" i="25"/>
  <c r="G92" i="25"/>
  <c r="G91" i="25"/>
  <c r="G90" i="25"/>
  <c r="G89" i="25"/>
  <c r="G88" i="25"/>
  <c r="G87" i="25"/>
  <c r="G86" i="25"/>
  <c r="G85" i="25"/>
  <c r="G84" i="25"/>
  <c r="G83" i="25"/>
  <c r="G82" i="25"/>
  <c r="G81" i="25"/>
  <c r="G80" i="25"/>
  <c r="G79" i="25"/>
  <c r="G78" i="25"/>
  <c r="H498" i="25"/>
  <c r="H434" i="25"/>
  <c r="H382" i="25"/>
  <c r="G360" i="25"/>
  <c r="G344" i="25"/>
  <c r="G328" i="25"/>
  <c r="G260" i="25"/>
  <c r="G256" i="25"/>
  <c r="G252" i="25"/>
  <c r="G248" i="25"/>
  <c r="G244" i="25"/>
  <c r="G240" i="25"/>
  <c r="G236" i="25"/>
  <c r="H174" i="25"/>
  <c r="H160" i="25"/>
  <c r="H157" i="25"/>
  <c r="H155" i="25"/>
  <c r="H153" i="25"/>
  <c r="H151" i="25"/>
  <c r="H147" i="25"/>
  <c r="H144" i="25"/>
  <c r="H142" i="25"/>
  <c r="H140" i="25"/>
  <c r="H138" i="25"/>
  <c r="H136" i="25"/>
  <c r="H134" i="25"/>
  <c r="H132" i="25"/>
  <c r="H130" i="25"/>
  <c r="H127" i="25"/>
  <c r="H125" i="25"/>
  <c r="H123" i="25"/>
  <c r="H121" i="25"/>
  <c r="H119" i="25"/>
  <c r="H117" i="25"/>
  <c r="G364" i="25"/>
  <c r="G251" i="25"/>
  <c r="G235" i="25"/>
  <c r="H113" i="25"/>
  <c r="H109" i="25"/>
  <c r="H105" i="25"/>
  <c r="H101" i="25"/>
  <c r="H97" i="25"/>
  <c r="H93" i="25"/>
  <c r="H89" i="25"/>
  <c r="H85" i="25"/>
  <c r="H81" i="25"/>
  <c r="H77" i="25"/>
  <c r="H75" i="25"/>
  <c r="H73" i="25"/>
  <c r="H70" i="25"/>
  <c r="H67" i="25"/>
  <c r="H64" i="25"/>
  <c r="H60" i="25"/>
  <c r="H57" i="25"/>
  <c r="H54" i="25"/>
  <c r="H51" i="25"/>
  <c r="H48" i="25"/>
  <c r="H45" i="25"/>
  <c r="H42" i="25"/>
  <c r="H39" i="25"/>
  <c r="H35" i="25"/>
  <c r="H32" i="25"/>
  <c r="H29" i="25"/>
  <c r="H25" i="25"/>
  <c r="H22" i="25"/>
  <c r="H19" i="25"/>
  <c r="H16" i="25"/>
  <c r="H14" i="25"/>
  <c r="H13" i="25"/>
  <c r="G44" i="25"/>
  <c r="G41" i="25"/>
  <c r="G37" i="25"/>
  <c r="G33" i="25"/>
  <c r="G29" i="25"/>
  <c r="G26" i="25"/>
  <c r="G22" i="25"/>
  <c r="G18" i="25"/>
  <c r="G14" i="25"/>
  <c r="H107" i="25"/>
  <c r="H95" i="25"/>
  <c r="H514" i="25"/>
  <c r="G348" i="25"/>
  <c r="G263" i="25"/>
  <c r="G247" i="25"/>
  <c r="H114" i="25"/>
  <c r="H110" i="25"/>
  <c r="H106" i="25"/>
  <c r="H102" i="25"/>
  <c r="H98" i="25"/>
  <c r="H94" i="25"/>
  <c r="H90" i="25"/>
  <c r="H86" i="25"/>
  <c r="H82" i="25"/>
  <c r="H78" i="25"/>
  <c r="G77" i="25"/>
  <c r="G76" i="25"/>
  <c r="G75" i="25"/>
  <c r="G74" i="25"/>
  <c r="G73" i="25"/>
  <c r="G72" i="25"/>
  <c r="G71" i="25"/>
  <c r="G70" i="25"/>
  <c r="G69" i="25"/>
  <c r="G68" i="25"/>
  <c r="G67" i="25"/>
  <c r="G66" i="25"/>
  <c r="G65" i="25"/>
  <c r="G64" i="25"/>
  <c r="G63" i="25"/>
  <c r="G62" i="25"/>
  <c r="G61" i="25"/>
  <c r="G60" i="25"/>
  <c r="G59" i="25"/>
  <c r="G58" i="25"/>
  <c r="G57" i="25"/>
  <c r="G56" i="25"/>
  <c r="G55" i="25"/>
  <c r="G54" i="25"/>
  <c r="G53" i="25"/>
  <c r="G52" i="25"/>
  <c r="G51" i="25"/>
  <c r="G50" i="25"/>
  <c r="G49" i="25"/>
  <c r="G48" i="25"/>
  <c r="G47" i="25"/>
  <c r="G46" i="25"/>
  <c r="G45" i="25"/>
  <c r="G43" i="25"/>
  <c r="G40" i="25"/>
  <c r="G36" i="25"/>
  <c r="G32" i="25"/>
  <c r="G28" i="25"/>
  <c r="G24" i="25"/>
  <c r="G21" i="25"/>
  <c r="G17" i="25"/>
  <c r="G13" i="25"/>
  <c r="G332" i="25"/>
  <c r="G259" i="25"/>
  <c r="H115" i="25"/>
  <c r="H103" i="25"/>
  <c r="H91" i="25"/>
  <c r="H79" i="25"/>
  <c r="H390" i="25"/>
  <c r="G255" i="25"/>
  <c r="G239" i="25"/>
  <c r="H116" i="25"/>
  <c r="H112" i="25"/>
  <c r="H108" i="25"/>
  <c r="H104" i="25"/>
  <c r="H100" i="25"/>
  <c r="H96" i="25"/>
  <c r="H92" i="25"/>
  <c r="H88" i="25"/>
  <c r="H84" i="25"/>
  <c r="H80" i="25"/>
  <c r="H76" i="25"/>
  <c r="H74" i="25"/>
  <c r="H72" i="25"/>
  <c r="H71" i="25"/>
  <c r="H69" i="25"/>
  <c r="H68" i="25"/>
  <c r="H66" i="25"/>
  <c r="H65" i="25"/>
  <c r="H63" i="25"/>
  <c r="H62" i="25"/>
  <c r="H61" i="25"/>
  <c r="H59" i="25"/>
  <c r="H58" i="25"/>
  <c r="H56" i="25"/>
  <c r="H55" i="25"/>
  <c r="H53" i="25"/>
  <c r="H52" i="25"/>
  <c r="H50" i="25"/>
  <c r="H49" i="25"/>
  <c r="H47" i="25"/>
  <c r="H46" i="25"/>
  <c r="H44" i="25"/>
  <c r="H43" i="25"/>
  <c r="H41" i="25"/>
  <c r="H40" i="25"/>
  <c r="H38" i="25"/>
  <c r="H37" i="25"/>
  <c r="H36" i="25"/>
  <c r="H34" i="25"/>
  <c r="H33" i="25"/>
  <c r="H31" i="25"/>
  <c r="H30" i="25"/>
  <c r="H28" i="25"/>
  <c r="H27" i="25"/>
  <c r="H26" i="25"/>
  <c r="H24" i="25"/>
  <c r="H23" i="25"/>
  <c r="H21" i="25"/>
  <c r="H20" i="25"/>
  <c r="H18" i="25"/>
  <c r="H17" i="25"/>
  <c r="H15" i="25"/>
  <c r="G42" i="25"/>
  <c r="G39" i="25"/>
  <c r="G38" i="25"/>
  <c r="G35" i="25"/>
  <c r="G34" i="25"/>
  <c r="G31" i="25"/>
  <c r="G30" i="25"/>
  <c r="G27" i="25"/>
  <c r="G25" i="25"/>
  <c r="G23" i="25"/>
  <c r="G20" i="25"/>
  <c r="G19" i="25"/>
  <c r="G16" i="25"/>
  <c r="G15" i="25"/>
  <c r="H450" i="25"/>
  <c r="G243" i="25"/>
  <c r="H111" i="25"/>
  <c r="H99" i="25"/>
  <c r="H87" i="25"/>
  <c r="H83" i="25"/>
  <c r="AO109" i="23"/>
  <c r="AO108" i="23"/>
  <c r="AO107" i="23"/>
  <c r="AO106" i="23"/>
  <c r="AO105" i="23"/>
  <c r="AO104" i="23"/>
  <c r="AO103" i="23"/>
  <c r="AO102" i="23"/>
  <c r="AO101" i="23"/>
  <c r="AO100" i="23"/>
  <c r="AO99" i="23"/>
  <c r="AO98" i="23"/>
  <c r="AO97" i="23"/>
  <c r="AO96" i="23"/>
  <c r="AO95" i="23"/>
  <c r="AO94" i="23"/>
  <c r="AO93" i="23"/>
  <c r="AO92" i="23"/>
  <c r="AO91" i="23"/>
  <c r="AO90" i="23"/>
  <c r="AO89" i="23"/>
  <c r="AO88" i="23"/>
  <c r="AO87" i="23"/>
  <c r="AO86" i="23"/>
  <c r="AO85" i="23"/>
  <c r="AO84" i="23"/>
  <c r="AO83" i="23"/>
  <c r="AO82" i="23"/>
  <c r="AO81" i="23"/>
  <c r="H109" i="23"/>
  <c r="H107" i="23"/>
  <c r="H105" i="23"/>
  <c r="H103" i="23"/>
  <c r="H101" i="23"/>
  <c r="H99" i="23"/>
  <c r="H97" i="23"/>
  <c r="H95" i="23"/>
  <c r="H91" i="23"/>
  <c r="H87" i="23"/>
  <c r="H83" i="23"/>
  <c r="AO59" i="23"/>
  <c r="AO58" i="23"/>
  <c r="AO57" i="23"/>
  <c r="AO56" i="23"/>
  <c r="AO55" i="23"/>
  <c r="AO54" i="23"/>
  <c r="AO53" i="23"/>
  <c r="AO52" i="23"/>
  <c r="AO51" i="23"/>
  <c r="AO50" i="23"/>
  <c r="H49" i="23"/>
  <c r="H48" i="23"/>
  <c r="H47" i="23"/>
  <c r="H46" i="23"/>
  <c r="H45" i="23"/>
  <c r="H44" i="23"/>
  <c r="H43" i="23"/>
  <c r="H42" i="23"/>
  <c r="H41" i="23"/>
  <c r="H40" i="23"/>
  <c r="H39" i="23"/>
  <c r="H38" i="23"/>
  <c r="AO32" i="23"/>
  <c r="AO31" i="23"/>
  <c r="AO30" i="23"/>
  <c r="H29" i="23"/>
  <c r="H28" i="23"/>
  <c r="AO22" i="23"/>
  <c r="AO21" i="23"/>
  <c r="H20" i="23"/>
  <c r="AO14" i="23"/>
  <c r="AO13" i="23"/>
  <c r="AO12" i="23"/>
  <c r="AO11" i="23"/>
  <c r="H9" i="23"/>
  <c r="H102" i="23"/>
  <c r="H80" i="23"/>
  <c r="H76" i="23"/>
  <c r="H72" i="23"/>
  <c r="H68" i="23"/>
  <c r="H92" i="23"/>
  <c r="H88" i="23"/>
  <c r="H84" i="23"/>
  <c r="AO49" i="23"/>
  <c r="AO48" i="23"/>
  <c r="AO47" i="23"/>
  <c r="AO46" i="23"/>
  <c r="AO45" i="23"/>
  <c r="AO44" i="23"/>
  <c r="AO43" i="23"/>
  <c r="AO42" i="23"/>
  <c r="AO41" i="23"/>
  <c r="AO40" i="23"/>
  <c r="AO39" i="23"/>
  <c r="AO38" i="23"/>
  <c r="H37" i="23"/>
  <c r="H36" i="23"/>
  <c r="H35" i="23"/>
  <c r="AO29" i="23"/>
  <c r="AO28" i="23"/>
  <c r="H27" i="23"/>
  <c r="AO20" i="23"/>
  <c r="H19" i="23"/>
  <c r="H18" i="23"/>
  <c r="H17" i="23"/>
  <c r="H16" i="23"/>
  <c r="AO10" i="23"/>
  <c r="AO9" i="23"/>
  <c r="H98" i="23"/>
  <c r="H89" i="23"/>
  <c r="H81" i="23"/>
  <c r="H78" i="23"/>
  <c r="H73" i="23"/>
  <c r="H69" i="23"/>
  <c r="H66" i="23"/>
  <c r="H94" i="23"/>
  <c r="H90" i="23"/>
  <c r="H86" i="23"/>
  <c r="H82" i="23"/>
  <c r="AO80" i="23"/>
  <c r="AO79" i="23"/>
  <c r="AO78" i="23"/>
  <c r="AO77" i="23"/>
  <c r="AO76" i="23"/>
  <c r="AO75" i="23"/>
  <c r="AO74" i="23"/>
  <c r="AO73" i="23"/>
  <c r="AO72" i="23"/>
  <c r="AO71" i="23"/>
  <c r="AO70" i="23"/>
  <c r="AO69" i="23"/>
  <c r="AO68" i="23"/>
  <c r="AO67" i="23"/>
  <c r="AO66" i="23"/>
  <c r="AO65" i="23"/>
  <c r="AO64" i="23"/>
  <c r="AO63" i="23"/>
  <c r="AO62" i="23"/>
  <c r="AO61" i="23"/>
  <c r="AO60" i="23"/>
  <c r="H59" i="23"/>
  <c r="H58" i="23"/>
  <c r="H57" i="23"/>
  <c r="H56" i="23"/>
  <c r="H55" i="23"/>
  <c r="H54" i="23"/>
  <c r="H53" i="23"/>
  <c r="H52" i="23"/>
  <c r="H51" i="23"/>
  <c r="H50" i="23"/>
  <c r="AO34" i="23"/>
  <c r="AO33" i="23"/>
  <c r="H32" i="23"/>
  <c r="H31" i="23"/>
  <c r="H30" i="23"/>
  <c r="AO26" i="23"/>
  <c r="AO25" i="23"/>
  <c r="AO24" i="23"/>
  <c r="AO23" i="23"/>
  <c r="H22" i="23"/>
  <c r="H21" i="23"/>
  <c r="AO15" i="23"/>
  <c r="H14" i="23"/>
  <c r="H13" i="23"/>
  <c r="H12" i="23"/>
  <c r="H11" i="23"/>
  <c r="B11" i="23"/>
  <c r="H10" i="23"/>
  <c r="H108" i="23"/>
  <c r="H106" i="23"/>
  <c r="H104" i="23"/>
  <c r="H100" i="23"/>
  <c r="H96" i="23"/>
  <c r="H93" i="23"/>
  <c r="H85" i="23"/>
  <c r="H79" i="23"/>
  <c r="H77" i="23"/>
  <c r="H75" i="23"/>
  <c r="H74" i="23"/>
  <c r="H71" i="23"/>
  <c r="H70" i="23"/>
  <c r="H67" i="23"/>
  <c r="H65" i="23"/>
  <c r="H63" i="23"/>
  <c r="H61" i="23"/>
  <c r="AO37" i="23"/>
  <c r="AO35" i="23"/>
  <c r="H34" i="23"/>
  <c r="H25" i="23"/>
  <c r="H60" i="23"/>
  <c r="H33" i="23"/>
  <c r="H26" i="23"/>
  <c r="AO18" i="23"/>
  <c r="H15" i="23"/>
  <c r="H62" i="23"/>
  <c r="AO19" i="23"/>
  <c r="AO17" i="23"/>
  <c r="H23" i="23"/>
  <c r="AO16" i="23"/>
  <c r="H64" i="23"/>
  <c r="AO36" i="23"/>
  <c r="AO27" i="23"/>
  <c r="H24" i="23"/>
  <c r="K9" i="23"/>
  <c r="AW8" i="23"/>
  <c r="AX8" i="23"/>
  <c r="K97" i="23"/>
  <c r="K50" i="23"/>
  <c r="K78" i="23"/>
  <c r="K43" i="23"/>
  <c r="K104" i="23"/>
  <c r="K37" i="23"/>
  <c r="K35" i="23"/>
  <c r="K24" i="23"/>
  <c r="K68" i="23"/>
  <c r="K32" i="23"/>
  <c r="K89" i="23"/>
  <c r="K96" i="23"/>
  <c r="K25" i="23"/>
  <c r="K57" i="23"/>
  <c r="K33" i="23"/>
  <c r="K94" i="23"/>
  <c r="K44" i="23"/>
  <c r="K27" i="23"/>
  <c r="K91" i="23"/>
  <c r="K93" i="23"/>
  <c r="K22" i="23"/>
  <c r="K88" i="23"/>
  <c r="K15" i="23"/>
  <c r="K87" i="23"/>
  <c r="K14" i="23"/>
  <c r="K65" i="23"/>
  <c r="K107" i="23"/>
  <c r="K66" i="23"/>
  <c r="K13" i="23"/>
  <c r="K52" i="23"/>
  <c r="K29" i="23"/>
  <c r="K51" i="23"/>
  <c r="K16" i="23"/>
  <c r="K10" i="23"/>
  <c r="K59" i="23"/>
  <c r="K101" i="23"/>
  <c r="K80" i="23"/>
  <c r="K79" i="23"/>
  <c r="K42" i="23"/>
  <c r="K40" i="23"/>
  <c r="K61" i="23"/>
  <c r="K34" i="23"/>
  <c r="K56" i="23"/>
  <c r="K39" i="23"/>
  <c r="K55" i="23"/>
  <c r="K20" i="23"/>
  <c r="K76" i="23"/>
  <c r="K41" i="23"/>
  <c r="K38" i="23"/>
  <c r="K84" i="23"/>
  <c r="K102" i="23"/>
  <c r="K83" i="23"/>
  <c r="K48" i="23"/>
  <c r="K81" i="23"/>
  <c r="K60" i="23"/>
  <c r="K105" i="23"/>
  <c r="K106" i="23"/>
  <c r="K69" i="23"/>
  <c r="K62" i="23"/>
  <c r="K47" i="23"/>
  <c r="K18" i="23"/>
  <c r="K46" i="23"/>
  <c r="K12" i="23"/>
  <c r="K103" i="23"/>
  <c r="K90" i="23"/>
  <c r="K86" i="23"/>
  <c r="K82" i="23"/>
  <c r="K70" i="23"/>
  <c r="K67" i="23"/>
  <c r="K49" i="23"/>
  <c r="K21" i="23"/>
  <c r="K54" i="23"/>
  <c r="K53" i="23"/>
  <c r="K26" i="23"/>
  <c r="K95" i="23"/>
  <c r="K98" i="23"/>
  <c r="K36" i="23"/>
  <c r="K100" i="23"/>
  <c r="K23" i="23"/>
  <c r="K63" i="23"/>
  <c r="K19" i="23"/>
  <c r="K109" i="23"/>
  <c r="K92" i="23"/>
  <c r="K72" i="23"/>
  <c r="K45" i="23"/>
  <c r="K31" i="23"/>
  <c r="K108" i="23"/>
  <c r="K11" i="23"/>
  <c r="K75" i="23"/>
  <c r="K64" i="23"/>
  <c r="K77" i="23"/>
  <c r="K71" i="23"/>
  <c r="K73" i="23"/>
  <c r="K30" i="23"/>
  <c r="K17" i="23"/>
  <c r="K58" i="23"/>
  <c r="K85" i="23"/>
  <c r="K28" i="23"/>
  <c r="K74" i="23"/>
  <c r="K99" i="23"/>
  <c r="F234" i="2"/>
  <c r="AO12" i="21"/>
  <c r="AO16" i="21"/>
  <c r="AO20" i="21"/>
  <c r="AO24" i="21"/>
  <c r="AO28" i="21"/>
  <c r="AO32" i="21"/>
  <c r="AO36" i="21"/>
  <c r="AO40" i="21"/>
  <c r="AO44" i="21"/>
  <c r="AO48" i="21"/>
  <c r="AO52" i="21"/>
  <c r="AO56" i="21"/>
  <c r="AO60" i="21"/>
  <c r="AO64" i="21"/>
  <c r="AO68" i="21"/>
  <c r="AO72" i="21"/>
  <c r="AO76" i="21"/>
  <c r="AO80" i="21"/>
  <c r="AO84" i="21"/>
  <c r="AO88" i="21"/>
  <c r="AO96" i="21"/>
  <c r="AO104" i="21"/>
  <c r="AO18" i="21"/>
  <c r="AO26" i="21"/>
  <c r="AO42" i="21"/>
  <c r="AO58" i="21"/>
  <c r="AO78" i="21"/>
  <c r="AO94" i="21"/>
  <c r="AO9" i="21"/>
  <c r="AO13" i="21"/>
  <c r="AO17" i="21"/>
  <c r="AO21" i="21"/>
  <c r="AO25" i="21"/>
  <c r="AO29" i="21"/>
  <c r="AO33" i="21"/>
  <c r="AO37" i="21"/>
  <c r="AO41" i="21"/>
  <c r="AO45" i="21"/>
  <c r="AO49" i="21"/>
  <c r="AO53" i="21"/>
  <c r="AO57" i="21"/>
  <c r="AO61" i="21"/>
  <c r="AO65" i="21"/>
  <c r="AO69" i="21"/>
  <c r="AO73" i="21"/>
  <c r="AO77" i="21"/>
  <c r="AO81" i="21"/>
  <c r="AO85" i="21"/>
  <c r="AO89" i="21"/>
  <c r="AO93" i="21"/>
  <c r="AO97" i="21"/>
  <c r="AO101" i="21"/>
  <c r="AO105" i="21"/>
  <c r="AO109" i="21"/>
  <c r="AO10" i="21"/>
  <c r="AO30" i="21"/>
  <c r="AO46" i="21"/>
  <c r="AO62" i="21"/>
  <c r="AO74" i="21"/>
  <c r="AO90" i="21"/>
  <c r="AO106" i="21"/>
  <c r="AO11" i="21"/>
  <c r="AO15" i="21"/>
  <c r="AO19" i="21"/>
  <c r="AO23" i="21"/>
  <c r="AO27" i="21"/>
  <c r="AO31" i="21"/>
  <c r="AO35" i="21"/>
  <c r="AO39" i="21"/>
  <c r="AO43" i="21"/>
  <c r="AO47" i="21"/>
  <c r="AO51" i="21"/>
  <c r="AO55" i="21"/>
  <c r="AO59" i="21"/>
  <c r="AO63" i="21"/>
  <c r="AO67" i="21"/>
  <c r="AO71" i="21"/>
  <c r="AO75" i="21"/>
  <c r="AO79" i="21"/>
  <c r="AO83" i="21"/>
  <c r="AO87" i="21"/>
  <c r="AO91" i="21"/>
  <c r="AO95" i="21"/>
  <c r="AO99" i="21"/>
  <c r="AO103" i="21"/>
  <c r="AO107" i="21"/>
  <c r="AO92" i="21"/>
  <c r="AO100" i="21"/>
  <c r="AO108" i="21"/>
  <c r="AO14" i="21"/>
  <c r="AO22" i="21"/>
  <c r="AO34" i="21"/>
  <c r="AO38" i="21"/>
  <c r="AO50" i="21"/>
  <c r="AO54" i="21"/>
  <c r="AO66" i="21"/>
  <c r="AO70" i="21"/>
  <c r="AO82" i="21"/>
  <c r="AO86" i="21"/>
  <c r="AO98" i="21"/>
  <c r="AO102" i="21"/>
  <c r="D53" i="2"/>
  <c r="D54" i="2"/>
  <c r="B39" i="2"/>
  <c r="D39" i="2"/>
  <c r="B38" i="2"/>
  <c r="D38" i="2"/>
  <c r="H11" i="21"/>
  <c r="H13" i="21"/>
  <c r="H15" i="21"/>
  <c r="H17" i="21"/>
  <c r="H19" i="21"/>
  <c r="H21" i="21"/>
  <c r="H23" i="21"/>
  <c r="H25" i="21"/>
  <c r="H27" i="21"/>
  <c r="H29" i="21"/>
  <c r="H31" i="21"/>
  <c r="H33" i="21"/>
  <c r="H35" i="21"/>
  <c r="H37" i="21"/>
  <c r="H39" i="21"/>
  <c r="H41" i="21"/>
  <c r="H43" i="21"/>
  <c r="H45" i="21"/>
  <c r="H47" i="21"/>
  <c r="H49" i="21"/>
  <c r="H51" i="21"/>
  <c r="H53" i="21"/>
  <c r="H55" i="21"/>
  <c r="H57" i="21"/>
  <c r="H59" i="21"/>
  <c r="H61" i="21"/>
  <c r="H63" i="21"/>
  <c r="H65" i="21"/>
  <c r="H67" i="21"/>
  <c r="H69" i="21"/>
  <c r="H71" i="21"/>
  <c r="H73" i="21"/>
  <c r="H75" i="21"/>
  <c r="H77" i="21"/>
  <c r="H79" i="21"/>
  <c r="H81" i="21"/>
  <c r="H83" i="21"/>
  <c r="H85" i="21"/>
  <c r="H87" i="21"/>
  <c r="H89" i="21"/>
  <c r="H91" i="21"/>
  <c r="H93" i="21"/>
  <c r="H95" i="21"/>
  <c r="H97" i="21"/>
  <c r="H99" i="21"/>
  <c r="H101" i="21"/>
  <c r="H103" i="21"/>
  <c r="H105" i="21"/>
  <c r="H107" i="21"/>
  <c r="H109" i="21"/>
  <c r="H10" i="21"/>
  <c r="H12" i="21"/>
  <c r="H14" i="21"/>
  <c r="H16" i="21"/>
  <c r="H18" i="21"/>
  <c r="H20" i="21"/>
  <c r="H22" i="21"/>
  <c r="H24" i="21"/>
  <c r="H26" i="21"/>
  <c r="H28" i="21"/>
  <c r="H30" i="21"/>
  <c r="H32" i="21"/>
  <c r="H34" i="21"/>
  <c r="H36" i="21"/>
  <c r="H38" i="21"/>
  <c r="H40" i="21"/>
  <c r="H42" i="21"/>
  <c r="H44" i="21"/>
  <c r="H46" i="21"/>
  <c r="H48" i="21"/>
  <c r="H50" i="21"/>
  <c r="H52" i="21"/>
  <c r="H54" i="21"/>
  <c r="H56" i="21"/>
  <c r="H58" i="21"/>
  <c r="H60" i="21"/>
  <c r="H62" i="21"/>
  <c r="H64" i="21"/>
  <c r="H66" i="21"/>
  <c r="H68" i="21"/>
  <c r="H70" i="21"/>
  <c r="H72" i="21"/>
  <c r="H74" i="21"/>
  <c r="H76" i="21"/>
  <c r="H78" i="21"/>
  <c r="H80" i="21"/>
  <c r="H82" i="21"/>
  <c r="H84" i="21"/>
  <c r="H86" i="21"/>
  <c r="H88" i="21"/>
  <c r="H90" i="21"/>
  <c r="H92" i="21"/>
  <c r="H94" i="21"/>
  <c r="H96" i="21"/>
  <c r="H98" i="21"/>
  <c r="H100" i="21"/>
  <c r="H102" i="21"/>
  <c r="H104" i="21"/>
  <c r="H106" i="21"/>
  <c r="H108" i="21"/>
  <c r="H9" i="21"/>
  <c r="B11" i="21"/>
  <c r="B24" i="21"/>
  <c r="B375" i="2"/>
  <c r="B347" i="2"/>
  <c r="A361" i="2"/>
  <c r="B387" i="2"/>
  <c r="B361" i="2"/>
  <c r="F135" i="2" l="1"/>
  <c r="F136" i="2"/>
  <c r="B136" i="2" s="1"/>
  <c r="K132" i="2"/>
  <c r="K133" i="2"/>
  <c r="B16" i="21"/>
  <c r="A375" i="2"/>
  <c r="B27" i="2" l="1"/>
  <c r="B190" i="2" s="1"/>
  <c r="D186" i="2" l="1"/>
  <c r="B30" i="2"/>
  <c r="D58" i="2"/>
  <c r="D133" i="2" s="1"/>
  <c r="D57" i="2"/>
  <c r="D132" i="2" s="1"/>
  <c r="B41" i="2"/>
  <c r="D227" i="2"/>
  <c r="B75" i="1" s="1"/>
  <c r="D42" i="2"/>
  <c r="D44" i="2" s="1"/>
  <c r="N3" i="25"/>
  <c r="N5" i="25" s="1"/>
  <c r="AL9" i="23"/>
  <c r="B78" i="23"/>
  <c r="AL23" i="23"/>
  <c r="AL107" i="23"/>
  <c r="AL75" i="23"/>
  <c r="AL19" i="23"/>
  <c r="AL24" i="23"/>
  <c r="AL43" i="23"/>
  <c r="AL103" i="23"/>
  <c r="AL35" i="23"/>
  <c r="AL100" i="23"/>
  <c r="AL52" i="23"/>
  <c r="AL67" i="23"/>
  <c r="AL30" i="23"/>
  <c r="AL32" i="23"/>
  <c r="AL60" i="23"/>
  <c r="AL72" i="23"/>
  <c r="AL15" i="23"/>
  <c r="AL87" i="23"/>
  <c r="AL14" i="23"/>
  <c r="AL105" i="23"/>
  <c r="AL38" i="23"/>
  <c r="AL31" i="23"/>
  <c r="AL99" i="23"/>
  <c r="AL54" i="23"/>
  <c r="AL11" i="23"/>
  <c r="AL96" i="23"/>
  <c r="AL64" i="23"/>
  <c r="AL95" i="23"/>
  <c r="AL63" i="23"/>
  <c r="AL28" i="23"/>
  <c r="AL86" i="23"/>
  <c r="AL59" i="23"/>
  <c r="AL78" i="23"/>
  <c r="AL22" i="23"/>
  <c r="AL71" i="23"/>
  <c r="AL68" i="23"/>
  <c r="AL51" i="23"/>
  <c r="AL16" i="23"/>
  <c r="AL39" i="23"/>
  <c r="AL102" i="23"/>
  <c r="AL49" i="23"/>
  <c r="AL108" i="23"/>
  <c r="AL42" i="23"/>
  <c r="AL93" i="23"/>
  <c r="AL34" i="23"/>
  <c r="AL37" i="23"/>
  <c r="AL66" i="23"/>
  <c r="AL57" i="23"/>
  <c r="AL29" i="23"/>
  <c r="AL90" i="23"/>
  <c r="AL65" i="23"/>
  <c r="AL45" i="23"/>
  <c r="AL50" i="23"/>
  <c r="AL109" i="23"/>
  <c r="AL98" i="23"/>
  <c r="AL13" i="23"/>
  <c r="AL85" i="23"/>
  <c r="AL53" i="23"/>
  <c r="AL26" i="23"/>
  <c r="AL58" i="23"/>
  <c r="AL25" i="23"/>
  <c r="AL76" i="23"/>
  <c r="AL91" i="23"/>
  <c r="AL40" i="23"/>
  <c r="AL88" i="23"/>
  <c r="AL20" i="23"/>
  <c r="AL70" i="23"/>
  <c r="AL48" i="23"/>
  <c r="AL92" i="23"/>
  <c r="AL56" i="23"/>
  <c r="AL36" i="23"/>
  <c r="AL81" i="23"/>
  <c r="AL10" i="23"/>
  <c r="AL77" i="23"/>
  <c r="AL74" i="23"/>
  <c r="AL89" i="23"/>
  <c r="AL17" i="23"/>
  <c r="AL97" i="23"/>
  <c r="AL21" i="23"/>
  <c r="AL41" i="23"/>
  <c r="AL61" i="23"/>
  <c r="AL73" i="23"/>
  <c r="AL82" i="23"/>
  <c r="AL106" i="23"/>
  <c r="AL101" i="23"/>
  <c r="AL69" i="23"/>
  <c r="AL33" i="23"/>
  <c r="AL18" i="23"/>
  <c r="AL83" i="23"/>
  <c r="AL27" i="23"/>
  <c r="AL104" i="23"/>
  <c r="AL55" i="23"/>
  <c r="AL84" i="23"/>
  <c r="AL62" i="23"/>
  <c r="AL12" i="23"/>
  <c r="AL80" i="23"/>
  <c r="AL79" i="23"/>
  <c r="AL46" i="23"/>
  <c r="AL94" i="23"/>
  <c r="AL44" i="23"/>
  <c r="AL47" i="23"/>
  <c r="AM42" i="23"/>
  <c r="AM66" i="23"/>
  <c r="AM65" i="23"/>
  <c r="AM98" i="23"/>
  <c r="AM26" i="23"/>
  <c r="AM74" i="23"/>
  <c r="AM82" i="23"/>
  <c r="AM19" i="23"/>
  <c r="AM35" i="23"/>
  <c r="AM30" i="23"/>
  <c r="AM15" i="23"/>
  <c r="AM38" i="23"/>
  <c r="AM11" i="23"/>
  <c r="AM63" i="23"/>
  <c r="AM17" i="23"/>
  <c r="AM91" i="23"/>
  <c r="AM22" i="23"/>
  <c r="AM68" i="23"/>
  <c r="AM48" i="23"/>
  <c r="AM104" i="23"/>
  <c r="AM36" i="23"/>
  <c r="AM80" i="23"/>
  <c r="AM46" i="23"/>
  <c r="AM73" i="23"/>
  <c r="AM101" i="23"/>
  <c r="AM9" i="23"/>
  <c r="AM93" i="23"/>
  <c r="AM57" i="23"/>
  <c r="AM45" i="23"/>
  <c r="AM13" i="23"/>
  <c r="AM58" i="23"/>
  <c r="AM89" i="23"/>
  <c r="AM23" i="23"/>
  <c r="AM24" i="23"/>
  <c r="AM100" i="23"/>
  <c r="AM32" i="23"/>
  <c r="AM87" i="23"/>
  <c r="AM31" i="23"/>
  <c r="AM96" i="23"/>
  <c r="AM28" i="23"/>
  <c r="AM97" i="23"/>
  <c r="AM59" i="23"/>
  <c r="AM88" i="23"/>
  <c r="AM70" i="23"/>
  <c r="AM16" i="23"/>
  <c r="AM56" i="23"/>
  <c r="AM84" i="23"/>
  <c r="AM47" i="23"/>
  <c r="AM44" i="23"/>
  <c r="AM106" i="23"/>
  <c r="AM33" i="23"/>
  <c r="AM75" i="23"/>
  <c r="AM103" i="23"/>
  <c r="AM72" i="23"/>
  <c r="AM54" i="23"/>
  <c r="AM95" i="23"/>
  <c r="AM86" i="23"/>
  <c r="AM78" i="23"/>
  <c r="AM51" i="23"/>
  <c r="AM92" i="23"/>
  <c r="AM62" i="23"/>
  <c r="AM79" i="23"/>
  <c r="AM69" i="23"/>
  <c r="AM49" i="23"/>
  <c r="AM34" i="23"/>
  <c r="AM29" i="23"/>
  <c r="AM50" i="23"/>
  <c r="AM85" i="23"/>
  <c r="AM25" i="23"/>
  <c r="AM21" i="23"/>
  <c r="AM107" i="23"/>
  <c r="AM43" i="23"/>
  <c r="AM52" i="23"/>
  <c r="AM60" i="23"/>
  <c r="AM14" i="23"/>
  <c r="AM99" i="23"/>
  <c r="AM64" i="23"/>
  <c r="AM81" i="23"/>
  <c r="AM76" i="23"/>
  <c r="AM40" i="23"/>
  <c r="AM71" i="23"/>
  <c r="AM83" i="23"/>
  <c r="AM27" i="23"/>
  <c r="AM39" i="23"/>
  <c r="AM102" i="23"/>
  <c r="AM94" i="23"/>
  <c r="AM12" i="23"/>
  <c r="AM18" i="23"/>
  <c r="AM108" i="23"/>
  <c r="AM37" i="23"/>
  <c r="AM90" i="23"/>
  <c r="AM109" i="23"/>
  <c r="AM53" i="23"/>
  <c r="AM10" i="23"/>
  <c r="AM61" i="23"/>
  <c r="AM67" i="23"/>
  <c r="AM105" i="23"/>
  <c r="AM77" i="23"/>
  <c r="AM20" i="23"/>
  <c r="AM55" i="23"/>
  <c r="AM41" i="23"/>
  <c r="B13" i="23"/>
  <c r="D41" i="2"/>
  <c r="B13" i="21"/>
  <c r="B78" i="21"/>
  <c r="B28" i="2"/>
  <c r="B327" i="2"/>
  <c r="B222" i="2"/>
  <c r="N3" i="17"/>
  <c r="N5" i="17" s="1"/>
  <c r="N22" i="8"/>
  <c r="D60" i="16"/>
  <c r="L190" i="2" l="1"/>
  <c r="M190" i="2" s="1"/>
  <c r="K190" i="2"/>
  <c r="J3" i="8"/>
  <c r="C636" i="25"/>
  <c r="A626" i="25"/>
  <c r="B79" i="23"/>
  <c r="B70" i="23"/>
  <c r="D112" i="2"/>
  <c r="D127" i="2"/>
  <c r="J38" i="1" s="1"/>
  <c r="D123" i="2"/>
  <c r="D120" i="2"/>
  <c r="D121" i="2" s="1"/>
  <c r="D113" i="2"/>
  <c r="D62" i="2"/>
  <c r="D69" i="2"/>
  <c r="D81" i="2"/>
  <c r="D90" i="2" s="1"/>
  <c r="D99" i="2"/>
  <c r="D61" i="2"/>
  <c r="D68" i="2"/>
  <c r="J30" i="1" s="1"/>
  <c r="D80" i="2"/>
  <c r="D89" i="2" s="1"/>
  <c r="D92" i="2" s="1"/>
  <c r="D98" i="2"/>
  <c r="J27" i="1"/>
  <c r="A626" i="17"/>
  <c r="C636" i="17"/>
  <c r="I60" i="16"/>
  <c r="J23" i="1" l="1"/>
  <c r="D102" i="2"/>
  <c r="D106" i="2" s="1"/>
  <c r="D103" i="2"/>
  <c r="D107" i="2" s="1"/>
  <c r="J24" i="1"/>
  <c r="D61" i="16"/>
  <c r="C67" i="16"/>
  <c r="D67" i="16" s="1"/>
  <c r="D71" i="16"/>
  <c r="D74" i="16"/>
  <c r="C58" i="16"/>
  <c r="D56" i="16"/>
  <c r="D53" i="16"/>
  <c r="D52" i="16"/>
  <c r="D55" i="16"/>
  <c r="D45" i="16"/>
  <c r="B363" i="2"/>
  <c r="F63" i="1" l="1"/>
  <c r="D72" i="16" l="1"/>
  <c r="D73" i="16" l="1"/>
  <c r="B126" i="2"/>
  <c r="B224" i="2"/>
  <c r="B46" i="2"/>
  <c r="B140" i="2"/>
  <c r="B311" i="2"/>
  <c r="B280" i="2"/>
  <c r="B42" i="21" s="1"/>
  <c r="B339" i="2"/>
  <c r="B47" i="2"/>
  <c r="B7" i="2"/>
  <c r="B146" i="2"/>
  <c r="B273" i="2"/>
  <c r="B292" i="2"/>
  <c r="B37" i="23" s="1"/>
  <c r="B238" i="2"/>
  <c r="N10" i="8" s="1"/>
  <c r="B307" i="2"/>
  <c r="B47" i="23" s="1"/>
  <c r="B310" i="2"/>
  <c r="B304" i="2"/>
  <c r="B46" i="23" s="1"/>
  <c r="B160" i="2"/>
  <c r="B275" i="2"/>
  <c r="B294" i="2"/>
  <c r="B285" i="2"/>
  <c r="B276" i="2"/>
  <c r="B277" i="2"/>
  <c r="B41" i="21" s="1"/>
  <c r="B282" i="2"/>
  <c r="B281" i="2"/>
  <c r="B43" i="21" s="1"/>
  <c r="B386" i="2"/>
  <c r="B288" i="2"/>
  <c r="B255" i="2"/>
  <c r="B20" i="23" s="1"/>
  <c r="B151" i="2"/>
  <c r="B23" i="23" s="1"/>
  <c r="B274" i="2"/>
  <c r="B38" i="23" s="1"/>
  <c r="B293" i="2"/>
  <c r="B50" i="23" s="1"/>
  <c r="D6" i="6"/>
  <c r="D7" i="6"/>
  <c r="D9" i="6"/>
  <c r="D10" i="6"/>
  <c r="D2" i="11"/>
  <c r="D3" i="11"/>
  <c r="B5" i="11"/>
  <c r="D5" i="11" s="1"/>
  <c r="A34" i="8"/>
  <c r="A46" i="8" s="1"/>
  <c r="A58" i="8" s="1"/>
  <c r="A70" i="8" s="1"/>
  <c r="A82" i="8" s="1"/>
  <c r="A94" i="8" s="1"/>
  <c r="A106" i="8" s="1"/>
  <c r="A118" i="8" s="1"/>
  <c r="A130" i="8" s="1"/>
  <c r="A142" i="8" s="1"/>
  <c r="A154" i="8" s="1"/>
  <c r="A35" i="8"/>
  <c r="A47" i="8" s="1"/>
  <c r="A59" i="8" s="1"/>
  <c r="A71" i="8" s="1"/>
  <c r="A83" i="8" s="1"/>
  <c r="A95" i="8" s="1"/>
  <c r="A107" i="8" s="1"/>
  <c r="A119" i="8" s="1"/>
  <c r="A131" i="8" s="1"/>
  <c r="A143" i="8" s="1"/>
  <c r="A155" i="8" s="1"/>
  <c r="A36" i="8"/>
  <c r="A48" i="8" s="1"/>
  <c r="A60" i="8" s="1"/>
  <c r="A72" i="8" s="1"/>
  <c r="A84" i="8" s="1"/>
  <c r="A96" i="8" s="1"/>
  <c r="A108" i="8" s="1"/>
  <c r="A120" i="8" s="1"/>
  <c r="A132" i="8" s="1"/>
  <c r="A144" i="8" s="1"/>
  <c r="A156" i="8" s="1"/>
  <c r="A37" i="8"/>
  <c r="A49" i="8" s="1"/>
  <c r="A61" i="8" s="1"/>
  <c r="A73" i="8" s="1"/>
  <c r="A85" i="8" s="1"/>
  <c r="A97" i="8" s="1"/>
  <c r="A109" i="8" s="1"/>
  <c r="A121" i="8" s="1"/>
  <c r="A133" i="8" s="1"/>
  <c r="A145" i="8" s="1"/>
  <c r="A157" i="8" s="1"/>
  <c r="A38" i="8"/>
  <c r="A50" i="8" s="1"/>
  <c r="A62" i="8" s="1"/>
  <c r="A74" i="8" s="1"/>
  <c r="A86" i="8" s="1"/>
  <c r="A98" i="8" s="1"/>
  <c r="A110" i="8" s="1"/>
  <c r="A122" i="8" s="1"/>
  <c r="A134" i="8" s="1"/>
  <c r="A146" i="8" s="1"/>
  <c r="A158" i="8" s="1"/>
  <c r="A39" i="8"/>
  <c r="A51" i="8" s="1"/>
  <c r="A63" i="8" s="1"/>
  <c r="A75" i="8" s="1"/>
  <c r="A87" i="8" s="1"/>
  <c r="A99" i="8" s="1"/>
  <c r="A111" i="8" s="1"/>
  <c r="A123" i="8" s="1"/>
  <c r="A135" i="8" s="1"/>
  <c r="A147" i="8" s="1"/>
  <c r="A159" i="8" s="1"/>
  <c r="A40" i="8"/>
  <c r="A52" i="8" s="1"/>
  <c r="A64" i="8" s="1"/>
  <c r="A76" i="8" s="1"/>
  <c r="A88" i="8" s="1"/>
  <c r="A100" i="8" s="1"/>
  <c r="A112" i="8" s="1"/>
  <c r="A124" i="8" s="1"/>
  <c r="A136" i="8" s="1"/>
  <c r="A148" i="8" s="1"/>
  <c r="A41" i="8"/>
  <c r="A53" i="8" s="1"/>
  <c r="A65" i="8" s="1"/>
  <c r="A77" i="8" s="1"/>
  <c r="A89" i="8" s="1"/>
  <c r="A101" i="8" s="1"/>
  <c r="A113" i="8" s="1"/>
  <c r="A125" i="8" s="1"/>
  <c r="A137" i="8" s="1"/>
  <c r="A149" i="8" s="1"/>
  <c r="A42" i="8"/>
  <c r="A54" i="8" s="1"/>
  <c r="A66" i="8" s="1"/>
  <c r="A78" i="8" s="1"/>
  <c r="A90" i="8" s="1"/>
  <c r="A102" i="8" s="1"/>
  <c r="A114" i="8" s="1"/>
  <c r="A126" i="8" s="1"/>
  <c r="A138" i="8" s="1"/>
  <c r="A150" i="8" s="1"/>
  <c r="A43" i="8"/>
  <c r="A55" i="8" s="1"/>
  <c r="A67" i="8" s="1"/>
  <c r="A79" i="8" s="1"/>
  <c r="A91" i="8" s="1"/>
  <c r="A103" i="8" s="1"/>
  <c r="A115" i="8" s="1"/>
  <c r="A127" i="8" s="1"/>
  <c r="A139" i="8" s="1"/>
  <c r="A151" i="8" s="1"/>
  <c r="A44" i="8"/>
  <c r="A45" i="8"/>
  <c r="A56" i="8"/>
  <c r="A68" i="8" s="1"/>
  <c r="A80" i="8" s="1"/>
  <c r="A92" i="8" s="1"/>
  <c r="A104" i="8" s="1"/>
  <c r="A116" i="8" s="1"/>
  <c r="A128" i="8" s="1"/>
  <c r="A140" i="8" s="1"/>
  <c r="A152" i="8" s="1"/>
  <c r="A57" i="8"/>
  <c r="A69" i="8" s="1"/>
  <c r="A81" i="8" s="1"/>
  <c r="A93" i="8" s="1"/>
  <c r="A105" i="8" s="1"/>
  <c r="A117" i="8" s="1"/>
  <c r="A129" i="8" s="1"/>
  <c r="A141" i="8" s="1"/>
  <c r="A153" i="8" s="1"/>
  <c r="B116" i="2"/>
  <c r="A343" i="2"/>
  <c r="B343" i="2"/>
  <c r="A363" i="2"/>
  <c r="B385" i="2"/>
  <c r="B341" i="2" l="1"/>
  <c r="B93" i="2"/>
  <c r="M56" i="23" s="1"/>
  <c r="N56" i="23" s="1"/>
  <c r="D341" i="2"/>
  <c r="AM90" i="21"/>
  <c r="AM29" i="21"/>
  <c r="AM9" i="21"/>
  <c r="AM78" i="21"/>
  <c r="AM89" i="21"/>
  <c r="AM68" i="21"/>
  <c r="AM18" i="21"/>
  <c r="AM93" i="21"/>
  <c r="AM49" i="21"/>
  <c r="AM26" i="21"/>
  <c r="AM41" i="21"/>
  <c r="AM17" i="21"/>
  <c r="AM80" i="21"/>
  <c r="AM98" i="21"/>
  <c r="AM95" i="21"/>
  <c r="AM76" i="21"/>
  <c r="AM21" i="21"/>
  <c r="AM35" i="21"/>
  <c r="AM30" i="21"/>
  <c r="AM72" i="21"/>
  <c r="AM102" i="21"/>
  <c r="AM84" i="21"/>
  <c r="AM101" i="21"/>
  <c r="AM69" i="21"/>
  <c r="AM14" i="21"/>
  <c r="AM16" i="21"/>
  <c r="AM22" i="21"/>
  <c r="AM96" i="21"/>
  <c r="AM73" i="21"/>
  <c r="AM46" i="21"/>
  <c r="AM99" i="21"/>
  <c r="AM54" i="21"/>
  <c r="AM109" i="21"/>
  <c r="AM63" i="21"/>
  <c r="AM88" i="21"/>
  <c r="AM39" i="21"/>
  <c r="AM48" i="21"/>
  <c r="AM10" i="21"/>
  <c r="AM60" i="21"/>
  <c r="AM70" i="21"/>
  <c r="AM13" i="21"/>
  <c r="AM43" i="21"/>
  <c r="AM85" i="21"/>
  <c r="AM92" i="21"/>
  <c r="AM24" i="21"/>
  <c r="AM103" i="21"/>
  <c r="AM107" i="21"/>
  <c r="AM47" i="21"/>
  <c r="AM100" i="21"/>
  <c r="AM83" i="21"/>
  <c r="AM36" i="21"/>
  <c r="AM66" i="21"/>
  <c r="AM58" i="21"/>
  <c r="AM87" i="21"/>
  <c r="AM56" i="21"/>
  <c r="AM19" i="21"/>
  <c r="AM25" i="21"/>
  <c r="AM28" i="21"/>
  <c r="AM59" i="21"/>
  <c r="AM75" i="21"/>
  <c r="AM108" i="21"/>
  <c r="AM33" i="21"/>
  <c r="AM11" i="21"/>
  <c r="AM104" i="21"/>
  <c r="AM82" i="21"/>
  <c r="AM40" i="21"/>
  <c r="AM50" i="21"/>
  <c r="AM45" i="21"/>
  <c r="AM32" i="21"/>
  <c r="AM91" i="21"/>
  <c r="AM77" i="21"/>
  <c r="AM94" i="21"/>
  <c r="AM27" i="21"/>
  <c r="AM44" i="21"/>
  <c r="AM31" i="21"/>
  <c r="AM20" i="21"/>
  <c r="AM86" i="21"/>
  <c r="AM57" i="21"/>
  <c r="AM23" i="21"/>
  <c r="AM64" i="21"/>
  <c r="AM12" i="21"/>
  <c r="AM51" i="21"/>
  <c r="AM42" i="21"/>
  <c r="AM61" i="21"/>
  <c r="AM37" i="21"/>
  <c r="AM67" i="21"/>
  <c r="AM38" i="21"/>
  <c r="AM53" i="21"/>
  <c r="AM34" i="21"/>
  <c r="AM71" i="21"/>
  <c r="AM55" i="21"/>
  <c r="AM105" i="21"/>
  <c r="AM15" i="21"/>
  <c r="AM81" i="21"/>
  <c r="AM52" i="21"/>
  <c r="AM62" i="21"/>
  <c r="AM106" i="21"/>
  <c r="AM65" i="21"/>
  <c r="AM79" i="21"/>
  <c r="AM97" i="21"/>
  <c r="AM74" i="21"/>
  <c r="AR57" i="23"/>
  <c r="AR18" i="23"/>
  <c r="AR19" i="23"/>
  <c r="AR83" i="23"/>
  <c r="AR44" i="23"/>
  <c r="AR108" i="23"/>
  <c r="AR77" i="23"/>
  <c r="AR46" i="23"/>
  <c r="AR95" i="23"/>
  <c r="AR24" i="23"/>
  <c r="AR31" i="23"/>
  <c r="AR103" i="23"/>
  <c r="AR84" i="23"/>
  <c r="AR14" i="23"/>
  <c r="AR105" i="23"/>
  <c r="AR30" i="23"/>
  <c r="AR65" i="23"/>
  <c r="AR26" i="23"/>
  <c r="AR27" i="23"/>
  <c r="AR91" i="23"/>
  <c r="AR52" i="23"/>
  <c r="AR13" i="23"/>
  <c r="AR85" i="23"/>
  <c r="AR54" i="23"/>
  <c r="AR32" i="23"/>
  <c r="AR48" i="23"/>
  <c r="AR39" i="23"/>
  <c r="AR40" i="23"/>
  <c r="AR59" i="23"/>
  <c r="AR67" i="23"/>
  <c r="AR61" i="23"/>
  <c r="AR106" i="23"/>
  <c r="AR73" i="23"/>
  <c r="AR34" i="23"/>
  <c r="AR35" i="23"/>
  <c r="AR99" i="23"/>
  <c r="AR60" i="23"/>
  <c r="AR29" i="23"/>
  <c r="AR93" i="23"/>
  <c r="AR62" i="23"/>
  <c r="AR56" i="23"/>
  <c r="AR72" i="23"/>
  <c r="AR47" i="23"/>
  <c r="AR64" i="23"/>
  <c r="AR20" i="23"/>
  <c r="AR92" i="23"/>
  <c r="AR17" i="23"/>
  <c r="AR81" i="23"/>
  <c r="AR42" i="23"/>
  <c r="AR43" i="23"/>
  <c r="AR107" i="23"/>
  <c r="AR68" i="23"/>
  <c r="AR37" i="23"/>
  <c r="AR101" i="23"/>
  <c r="AR70" i="23"/>
  <c r="AR88" i="23"/>
  <c r="AR96" i="23"/>
  <c r="AR55" i="23"/>
  <c r="AR80" i="23"/>
  <c r="AR58" i="23"/>
  <c r="AR22" i="23"/>
  <c r="AR90" i="23"/>
  <c r="AR28" i="23"/>
  <c r="AR15" i="23"/>
  <c r="AR25" i="23"/>
  <c r="AR89" i="23"/>
  <c r="AR50" i="23"/>
  <c r="AR51" i="23"/>
  <c r="AR12" i="23"/>
  <c r="AR76" i="23"/>
  <c r="AR45" i="23"/>
  <c r="AR109" i="23"/>
  <c r="AR78" i="23"/>
  <c r="AR66" i="23"/>
  <c r="AR74" i="23"/>
  <c r="AR63" i="23"/>
  <c r="AR104" i="23"/>
  <c r="AR97" i="23"/>
  <c r="AR86" i="23"/>
  <c r="AR82" i="23"/>
  <c r="AR21" i="23"/>
  <c r="AR33" i="23"/>
  <c r="AR49" i="23"/>
  <c r="AR10" i="23"/>
  <c r="AR11" i="23"/>
  <c r="AR75" i="23"/>
  <c r="AR36" i="23"/>
  <c r="AR100" i="23"/>
  <c r="AR69" i="23"/>
  <c r="AR38" i="23"/>
  <c r="AR102" i="23"/>
  <c r="AR9" i="23"/>
  <c r="AR23" i="23"/>
  <c r="AR87" i="23"/>
  <c r="AR16" i="23"/>
  <c r="AR53" i="23"/>
  <c r="AR98" i="23"/>
  <c r="AR71" i="23"/>
  <c r="AR41" i="23"/>
  <c r="AR94" i="23"/>
  <c r="AR79" i="23"/>
  <c r="B162" i="2"/>
  <c r="B3" i="8" s="1"/>
  <c r="B159" i="8" s="1"/>
  <c r="B158" i="8" s="1"/>
  <c r="B157" i="8" s="1"/>
  <c r="B156" i="8" s="1"/>
  <c r="B155" i="8" s="1"/>
  <c r="B154" i="8" s="1"/>
  <c r="B153" i="8" s="1"/>
  <c r="B152" i="8" s="1"/>
  <c r="B151" i="8" s="1"/>
  <c r="B150" i="8" s="1"/>
  <c r="B149" i="8" s="1"/>
  <c r="B148" i="8" s="1"/>
  <c r="B147" i="8" s="1"/>
  <c r="B146" i="8" s="1"/>
  <c r="B145" i="8" s="1"/>
  <c r="B144" i="8" s="1"/>
  <c r="B143" i="8" s="1"/>
  <c r="B142" i="8" s="1"/>
  <c r="B141" i="8" s="1"/>
  <c r="B140" i="8" s="1"/>
  <c r="B139" i="8" s="1"/>
  <c r="B138" i="8" s="1"/>
  <c r="B137" i="8" s="1"/>
  <c r="B136" i="8" s="1"/>
  <c r="B135" i="8" s="1"/>
  <c r="B134" i="8" s="1"/>
  <c r="B133" i="8" s="1"/>
  <c r="B132" i="8" s="1"/>
  <c r="B131" i="8" s="1"/>
  <c r="B130" i="8" s="1"/>
  <c r="B129" i="8" s="1"/>
  <c r="B128" i="8" s="1"/>
  <c r="B127" i="8" s="1"/>
  <c r="B126" i="8" s="1"/>
  <c r="B125" i="8" s="1"/>
  <c r="B124" i="8" s="1"/>
  <c r="B123" i="8" s="1"/>
  <c r="B122" i="8" s="1"/>
  <c r="B121" i="8" s="1"/>
  <c r="B120" i="8" s="1"/>
  <c r="B119" i="8" s="1"/>
  <c r="B118" i="8" s="1"/>
  <c r="B117" i="8" s="1"/>
  <c r="B116" i="8" s="1"/>
  <c r="B115" i="8" s="1"/>
  <c r="B114" i="8" s="1"/>
  <c r="B113" i="8" s="1"/>
  <c r="B112" i="8" s="1"/>
  <c r="B111" i="8" s="1"/>
  <c r="B110" i="8" s="1"/>
  <c r="B109" i="8" s="1"/>
  <c r="B108" i="8" s="1"/>
  <c r="B107" i="8" s="1"/>
  <c r="B106" i="8" s="1"/>
  <c r="B105" i="8" s="1"/>
  <c r="B104" i="8" s="1"/>
  <c r="B103" i="8" s="1"/>
  <c r="B102" i="8" s="1"/>
  <c r="B101" i="8" s="1"/>
  <c r="B100" i="8" s="1"/>
  <c r="B99" i="8" s="1"/>
  <c r="B98" i="8" s="1"/>
  <c r="B97" i="8" s="1"/>
  <c r="B96" i="8" s="1"/>
  <c r="B95" i="8" s="1"/>
  <c r="B94" i="8" s="1"/>
  <c r="B93" i="8" s="1"/>
  <c r="B92" i="8" s="1"/>
  <c r="B91" i="8" s="1"/>
  <c r="B90" i="8" s="1"/>
  <c r="B89" i="8" s="1"/>
  <c r="B88" i="8" s="1"/>
  <c r="B87" i="8" s="1"/>
  <c r="B86" i="8" s="1"/>
  <c r="B85" i="8" s="1"/>
  <c r="B84" i="8" s="1"/>
  <c r="B83" i="8" s="1"/>
  <c r="B82" i="8" s="1"/>
  <c r="B81" i="8" s="1"/>
  <c r="B80" i="8" s="1"/>
  <c r="B79" i="8" s="1"/>
  <c r="B78" i="8" s="1"/>
  <c r="B77" i="8" s="1"/>
  <c r="B76" i="8" s="1"/>
  <c r="B75" i="8" s="1"/>
  <c r="B74" i="8" s="1"/>
  <c r="B73" i="8" s="1"/>
  <c r="B72" i="8" s="1"/>
  <c r="B71" i="8" s="1"/>
  <c r="B70" i="8" s="1"/>
  <c r="B69" i="8" s="1"/>
  <c r="B68" i="8" s="1"/>
  <c r="B67" i="8" s="1"/>
  <c r="B66" i="8" s="1"/>
  <c r="B65" i="8" s="1"/>
  <c r="B64" i="8" s="1"/>
  <c r="B63" i="8" s="1"/>
  <c r="B62" i="8" s="1"/>
  <c r="B61" i="8" s="1"/>
  <c r="B60" i="8" s="1"/>
  <c r="B59" i="8" s="1"/>
  <c r="B58" i="8" s="1"/>
  <c r="B57" i="8" s="1"/>
  <c r="B56" i="8" s="1"/>
  <c r="B55" i="8" s="1"/>
  <c r="B54" i="8" s="1"/>
  <c r="B53" i="8" s="1"/>
  <c r="B52" i="8" s="1"/>
  <c r="B51" i="8" s="1"/>
  <c r="B50" i="8" s="1"/>
  <c r="B49" i="8" s="1"/>
  <c r="B48" i="8" s="1"/>
  <c r="B47" i="8" s="1"/>
  <c r="B46" i="8" s="1"/>
  <c r="B45" i="8" s="1"/>
  <c r="B44" i="8" s="1"/>
  <c r="B43" i="8" s="1"/>
  <c r="B42" i="8" s="1"/>
  <c r="B41" i="8" s="1"/>
  <c r="B40" i="8" s="1"/>
  <c r="B39" i="8" s="1"/>
  <c r="B38" i="8" s="1"/>
  <c r="B37" i="8" s="1"/>
  <c r="B36" i="8" s="1"/>
  <c r="B35" i="8" s="1"/>
  <c r="B34" i="8" s="1"/>
  <c r="B33" i="8" s="1"/>
  <c r="B32" i="8" s="1"/>
  <c r="B31" i="8" s="1"/>
  <c r="B30" i="8" s="1"/>
  <c r="B29" i="8" s="1"/>
  <c r="B28" i="8" s="1"/>
  <c r="B27" i="8" s="1"/>
  <c r="B26" i="8" s="1"/>
  <c r="B25" i="8" s="1"/>
  <c r="B24" i="8" s="1"/>
  <c r="B23" i="8" s="1"/>
  <c r="B22" i="8" s="1"/>
  <c r="B21" i="8" s="1"/>
  <c r="B20" i="8" s="1"/>
  <c r="B19" i="8" s="1"/>
  <c r="B18" i="8" s="1"/>
  <c r="B17" i="8" s="1"/>
  <c r="B16" i="8" s="1"/>
  <c r="B15" i="8" s="1"/>
  <c r="B14" i="8" s="1"/>
  <c r="B13" i="8" s="1"/>
  <c r="B12" i="8" s="1"/>
  <c r="B11" i="8" s="1"/>
  <c r="B10" i="8" s="1"/>
  <c r="D58" i="16"/>
  <c r="D59" i="16"/>
  <c r="A42" i="16"/>
  <c r="B143" i="2"/>
  <c r="B142" i="2"/>
  <c r="B22" i="23"/>
  <c r="B283" i="2"/>
  <c r="AP37" i="23"/>
  <c r="AS37" i="23" s="1"/>
  <c r="AP99" i="23"/>
  <c r="AS99" i="23" s="1"/>
  <c r="AP92" i="23"/>
  <c r="AS92" i="23" s="1"/>
  <c r="AP15" i="23"/>
  <c r="AS15" i="23" s="1"/>
  <c r="AP10" i="23"/>
  <c r="AS10" i="23" s="1"/>
  <c r="AP77" i="23"/>
  <c r="AS77" i="23" s="1"/>
  <c r="AP41" i="23"/>
  <c r="AS41" i="23" s="1"/>
  <c r="AP49" i="23"/>
  <c r="AS49" i="23" s="1"/>
  <c r="AP88" i="23"/>
  <c r="AS88" i="23" s="1"/>
  <c r="AP9" i="23"/>
  <c r="AS9" i="23" s="1"/>
  <c r="B75" i="23" s="1"/>
  <c r="B76" i="23" s="1"/>
  <c r="AP75" i="23"/>
  <c r="AS75" i="23" s="1"/>
  <c r="AP84" i="23"/>
  <c r="AS84" i="23" s="1"/>
  <c r="AP27" i="23"/>
  <c r="AS27" i="23" s="1"/>
  <c r="AP52" i="23"/>
  <c r="AS52" i="23" s="1"/>
  <c r="AP69" i="23"/>
  <c r="AS69" i="23" s="1"/>
  <c r="AP25" i="23"/>
  <c r="AS25" i="23" s="1"/>
  <c r="AP108" i="23"/>
  <c r="AS108" i="23" s="1"/>
  <c r="AP63" i="23"/>
  <c r="AS63" i="23" s="1"/>
  <c r="AP26" i="23"/>
  <c r="AS26" i="23" s="1"/>
  <c r="AP109" i="23"/>
  <c r="AS109" i="23" s="1"/>
  <c r="AP105" i="23"/>
  <c r="AS105" i="23" s="1"/>
  <c r="AP34" i="23"/>
  <c r="AS34" i="23" s="1"/>
  <c r="AP21" i="23"/>
  <c r="AS21" i="23" s="1"/>
  <c r="AP17" i="23"/>
  <c r="AS17" i="23" s="1"/>
  <c r="AP91" i="23"/>
  <c r="AS91" i="23" s="1"/>
  <c r="AP100" i="23"/>
  <c r="AS100" i="23" s="1"/>
  <c r="AP64" i="23"/>
  <c r="AS64" i="23" s="1"/>
  <c r="AP87" i="23"/>
  <c r="AS87" i="23" s="1"/>
  <c r="AP22" i="23"/>
  <c r="AS22" i="23" s="1"/>
  <c r="AP101" i="23"/>
  <c r="AS101" i="23" s="1"/>
  <c r="AP89" i="23"/>
  <c r="AS89" i="23" s="1"/>
  <c r="AP33" i="23"/>
  <c r="AS33" i="23" s="1"/>
  <c r="AP79" i="23"/>
  <c r="AS79" i="23" s="1"/>
  <c r="AP42" i="23"/>
  <c r="AS42" i="23" s="1"/>
  <c r="AP23" i="23"/>
  <c r="AS23" i="23" s="1"/>
  <c r="AP16" i="23"/>
  <c r="AS16" i="23" s="1"/>
  <c r="AP82" i="23"/>
  <c r="AS82" i="23" s="1"/>
  <c r="AP14" i="23"/>
  <c r="AS14" i="23" s="1"/>
  <c r="AP53" i="23"/>
  <c r="AS53" i="23" s="1"/>
  <c r="AP107" i="23"/>
  <c r="AS107" i="23" s="1"/>
  <c r="AP65" i="23"/>
  <c r="AS65" i="23" s="1"/>
  <c r="AP90" i="23"/>
  <c r="AS90" i="23" s="1"/>
  <c r="AP43" i="23"/>
  <c r="AS43" i="23" s="1"/>
  <c r="AP38" i="23"/>
  <c r="AS38" i="23" s="1"/>
  <c r="AP19" i="23"/>
  <c r="AS19" i="23" s="1"/>
  <c r="AP12" i="23"/>
  <c r="AS12" i="23" s="1"/>
  <c r="AP97" i="23"/>
  <c r="AS97" i="23" s="1"/>
  <c r="AP13" i="23"/>
  <c r="AS13" i="23" s="1"/>
  <c r="AP58" i="23"/>
  <c r="AS58" i="23" s="1"/>
  <c r="AP39" i="23"/>
  <c r="AS39" i="23" s="1"/>
  <c r="AP32" i="23"/>
  <c r="AS32" i="23" s="1"/>
  <c r="AP29" i="23"/>
  <c r="AS29" i="23" s="1"/>
  <c r="AP30" i="23"/>
  <c r="AS30" i="23" s="1"/>
  <c r="AP85" i="23"/>
  <c r="AS85" i="23" s="1"/>
  <c r="AP57" i="23"/>
  <c r="AS57" i="23" s="1"/>
  <c r="AP50" i="23"/>
  <c r="AS50" i="23" s="1"/>
  <c r="AP66" i="23"/>
  <c r="AS66" i="23" s="1"/>
  <c r="AP62" i="23"/>
  <c r="AS62" i="23" s="1"/>
  <c r="AP73" i="23"/>
  <c r="AS73" i="23" s="1"/>
  <c r="AP54" i="23"/>
  <c r="AS54" i="23" s="1"/>
  <c r="AP35" i="23"/>
  <c r="AS35" i="23" s="1"/>
  <c r="AP28" i="23"/>
  <c r="AS28" i="23" s="1"/>
  <c r="AP18" i="23"/>
  <c r="AS18" i="23" s="1"/>
  <c r="AP24" i="23"/>
  <c r="AS24" i="23" s="1"/>
  <c r="AP74" i="23"/>
  <c r="AS74" i="23" s="1"/>
  <c r="AP55" i="23"/>
  <c r="AS55" i="23" s="1"/>
  <c r="AP48" i="23"/>
  <c r="AS48" i="23" s="1"/>
  <c r="AP47" i="23"/>
  <c r="AS47" i="23" s="1"/>
  <c r="AP46" i="23"/>
  <c r="AS46" i="23" s="1"/>
  <c r="AP11" i="23"/>
  <c r="AS11" i="23" s="1"/>
  <c r="AP20" i="23"/>
  <c r="AS20" i="23" s="1"/>
  <c r="AP61" i="23"/>
  <c r="AS61" i="23" s="1"/>
  <c r="AP44" i="23"/>
  <c r="AS44" i="23" s="1"/>
  <c r="AP36" i="23"/>
  <c r="AS36" i="23" s="1"/>
  <c r="AP72" i="23"/>
  <c r="AS72" i="23" s="1"/>
  <c r="AP70" i="23"/>
  <c r="AS70" i="23" s="1"/>
  <c r="AP51" i="23"/>
  <c r="AS51" i="23" s="1"/>
  <c r="AP56" i="23"/>
  <c r="AS56" i="23" s="1"/>
  <c r="AP95" i="23"/>
  <c r="AS95" i="23" s="1"/>
  <c r="AP86" i="23"/>
  <c r="AS86" i="23" s="1"/>
  <c r="AP67" i="23"/>
  <c r="AS67" i="23" s="1"/>
  <c r="AP60" i="23"/>
  <c r="AS60" i="23" s="1"/>
  <c r="AP98" i="23"/>
  <c r="AS98" i="23" s="1"/>
  <c r="AP104" i="23"/>
  <c r="AS104" i="23" s="1"/>
  <c r="AP106" i="23"/>
  <c r="AS106" i="23" s="1"/>
  <c r="AP78" i="23"/>
  <c r="AS78" i="23" s="1"/>
  <c r="AP102" i="23"/>
  <c r="AS102" i="23" s="1"/>
  <c r="AP83" i="23"/>
  <c r="AS83" i="23" s="1"/>
  <c r="AP76" i="23"/>
  <c r="AS76" i="23" s="1"/>
  <c r="AP93" i="23"/>
  <c r="AS93" i="23" s="1"/>
  <c r="AP81" i="23"/>
  <c r="AS81" i="23" s="1"/>
  <c r="AP45" i="23"/>
  <c r="AS45" i="23" s="1"/>
  <c r="AP103" i="23"/>
  <c r="AS103" i="23" s="1"/>
  <c r="AP96" i="23"/>
  <c r="AS96" i="23" s="1"/>
  <c r="AP40" i="23"/>
  <c r="AS40" i="23" s="1"/>
  <c r="AP94" i="23"/>
  <c r="AS94" i="23" s="1"/>
  <c r="AP59" i="23"/>
  <c r="AS59" i="23" s="1"/>
  <c r="AP68" i="23"/>
  <c r="AS68" i="23" s="1"/>
  <c r="AP71" i="23"/>
  <c r="AS71" i="23" s="1"/>
  <c r="AP31" i="23"/>
  <c r="AS31" i="23" s="1"/>
  <c r="AP80" i="23"/>
  <c r="AS80" i="23" s="1"/>
  <c r="AP4" i="21"/>
  <c r="AR4" i="21" s="1"/>
  <c r="AP17" i="21"/>
  <c r="AP81" i="21"/>
  <c r="AP90" i="21"/>
  <c r="AP106" i="21"/>
  <c r="AP55" i="21"/>
  <c r="AP48" i="21"/>
  <c r="AP3" i="21"/>
  <c r="AP29" i="21"/>
  <c r="AP95" i="21"/>
  <c r="AP53" i="21"/>
  <c r="AP50" i="21"/>
  <c r="AR9" i="21"/>
  <c r="AP40" i="21"/>
  <c r="AP34" i="21"/>
  <c r="AP27" i="21"/>
  <c r="AP56" i="21"/>
  <c r="AP13" i="21"/>
  <c r="AP9" i="21"/>
  <c r="AP88" i="21"/>
  <c r="AP25" i="21"/>
  <c r="AP89" i="21"/>
  <c r="AP102" i="21"/>
  <c r="AP99" i="21"/>
  <c r="AP63" i="21"/>
  <c r="AP68" i="21"/>
  <c r="AP10" i="21"/>
  <c r="AP67" i="21"/>
  <c r="AP39" i="21"/>
  <c r="AP51" i="21"/>
  <c r="AP101" i="21"/>
  <c r="AP91" i="21"/>
  <c r="AP84" i="21"/>
  <c r="AP78" i="21"/>
  <c r="B322" i="2"/>
  <c r="AP33" i="21"/>
  <c r="AP97" i="21"/>
  <c r="AP71" i="21"/>
  <c r="AP14" i="21"/>
  <c r="AP75" i="21"/>
  <c r="AP100" i="21"/>
  <c r="AP61" i="21"/>
  <c r="AP26" i="21"/>
  <c r="AP64" i="21"/>
  <c r="AP69" i="21"/>
  <c r="AP74" i="21"/>
  <c r="AP66" i="21"/>
  <c r="AP43" i="21"/>
  <c r="AP12" i="21"/>
  <c r="AP76" i="21"/>
  <c r="AP45" i="21"/>
  <c r="AP42" i="21"/>
  <c r="AP35" i="21"/>
  <c r="AP41" i="21"/>
  <c r="AP105" i="21"/>
  <c r="AP87" i="21"/>
  <c r="AP16" i="21"/>
  <c r="AP22" i="21"/>
  <c r="AP15" i="21"/>
  <c r="AP107" i="21"/>
  <c r="AP92" i="21"/>
  <c r="AP62" i="21"/>
  <c r="AP94" i="21"/>
  <c r="AP44" i="21"/>
  <c r="AP65" i="21"/>
  <c r="AP104" i="21"/>
  <c r="AP79" i="21"/>
  <c r="AP60" i="21"/>
  <c r="AP82" i="21"/>
  <c r="AP28" i="21"/>
  <c r="AP49" i="21"/>
  <c r="AP46" i="21"/>
  <c r="AP103" i="21"/>
  <c r="AP32" i="21"/>
  <c r="AP30" i="21"/>
  <c r="AP23" i="21"/>
  <c r="AP96" i="21"/>
  <c r="AP93" i="21"/>
  <c r="AP19" i="21"/>
  <c r="AP80" i="21"/>
  <c r="AP21" i="21"/>
  <c r="AP85" i="21"/>
  <c r="AP98" i="21"/>
  <c r="AP83" i="21"/>
  <c r="AP59" i="21"/>
  <c r="AP52" i="21"/>
  <c r="AP77" i="21"/>
  <c r="AP24" i="21"/>
  <c r="AP57" i="21"/>
  <c r="AP58" i="21"/>
  <c r="AP38" i="21"/>
  <c r="AP20" i="21"/>
  <c r="AP31" i="21"/>
  <c r="AP72" i="21"/>
  <c r="AP36" i="21"/>
  <c r="AP70" i="21"/>
  <c r="AP54" i="21"/>
  <c r="AP86" i="21"/>
  <c r="AP37" i="21"/>
  <c r="AP18" i="21"/>
  <c r="AP11" i="21"/>
  <c r="AP109" i="21"/>
  <c r="AP73" i="21"/>
  <c r="AP47" i="21"/>
  <c r="AP108" i="21"/>
  <c r="D340" i="2"/>
  <c r="B326" i="2"/>
  <c r="AR13" i="21"/>
  <c r="AR17" i="21"/>
  <c r="AR21" i="21"/>
  <c r="AR25" i="21"/>
  <c r="AR29" i="21"/>
  <c r="AR33" i="21"/>
  <c r="AR37" i="21"/>
  <c r="AR41" i="21"/>
  <c r="AR45" i="21"/>
  <c r="AR49" i="21"/>
  <c r="AR53" i="21"/>
  <c r="AR57" i="21"/>
  <c r="AR61" i="21"/>
  <c r="AR65" i="21"/>
  <c r="AR69" i="21"/>
  <c r="AR73" i="21"/>
  <c r="AR77" i="21"/>
  <c r="AR81" i="21"/>
  <c r="AR85" i="21"/>
  <c r="AR89" i="21"/>
  <c r="AR93" i="21"/>
  <c r="AR97" i="21"/>
  <c r="AR101" i="21"/>
  <c r="AR105" i="21"/>
  <c r="AR109" i="21"/>
  <c r="AR11" i="21"/>
  <c r="AR19" i="21"/>
  <c r="AR23" i="21"/>
  <c r="AR31" i="21"/>
  <c r="AR39" i="21"/>
  <c r="AR47" i="21"/>
  <c r="AR55" i="21"/>
  <c r="AR67" i="21"/>
  <c r="AR75" i="21"/>
  <c r="AR83" i="21"/>
  <c r="AR91" i="21"/>
  <c r="AR99" i="21"/>
  <c r="AR107" i="21"/>
  <c r="AR28" i="21"/>
  <c r="AR36" i="21"/>
  <c r="AR48" i="21"/>
  <c r="AR56" i="21"/>
  <c r="AR64" i="21"/>
  <c r="AR72" i="21"/>
  <c r="AR80" i="21"/>
  <c r="AR88" i="21"/>
  <c r="AR96" i="21"/>
  <c r="AR104" i="21"/>
  <c r="AR10" i="21"/>
  <c r="AR14" i="21"/>
  <c r="AR18" i="21"/>
  <c r="AR22" i="21"/>
  <c r="AR26" i="21"/>
  <c r="AR30" i="21"/>
  <c r="AR34" i="21"/>
  <c r="AR38" i="21"/>
  <c r="AR42" i="21"/>
  <c r="AR46" i="21"/>
  <c r="AR50" i="21"/>
  <c r="AR54" i="21"/>
  <c r="AR58" i="21"/>
  <c r="AR62" i="21"/>
  <c r="AR66" i="21"/>
  <c r="AR70" i="21"/>
  <c r="AR74" i="21"/>
  <c r="AR78" i="21"/>
  <c r="AR82" i="21"/>
  <c r="AR86" i="21"/>
  <c r="AR90" i="21"/>
  <c r="AR94" i="21"/>
  <c r="AR98" i="21"/>
  <c r="AR102" i="21"/>
  <c r="AR106" i="21"/>
  <c r="AR15" i="21"/>
  <c r="AR27" i="21"/>
  <c r="AR35" i="21"/>
  <c r="AR43" i="21"/>
  <c r="AR51" i="21"/>
  <c r="AR59" i="21"/>
  <c r="AR63" i="21"/>
  <c r="AR71" i="21"/>
  <c r="AR79" i="21"/>
  <c r="AR87" i="21"/>
  <c r="AR95" i="21"/>
  <c r="AR103" i="21"/>
  <c r="AR12" i="21"/>
  <c r="AR16" i="21"/>
  <c r="AR20" i="21"/>
  <c r="AR24" i="21"/>
  <c r="AR32" i="21"/>
  <c r="AR40" i="21"/>
  <c r="AR44" i="21"/>
  <c r="AR52" i="21"/>
  <c r="AR60" i="21"/>
  <c r="AR68" i="21"/>
  <c r="AR76" i="21"/>
  <c r="AR84" i="21"/>
  <c r="AR92" i="21"/>
  <c r="AR100" i="21"/>
  <c r="AR108" i="21"/>
  <c r="B19" i="21"/>
  <c r="B39" i="23"/>
  <c r="B77" i="23"/>
  <c r="AQ18" i="23"/>
  <c r="AQ50" i="23"/>
  <c r="AQ82" i="23"/>
  <c r="AQ13" i="23"/>
  <c r="AQ77" i="23"/>
  <c r="AQ57" i="23"/>
  <c r="AQ76" i="23"/>
  <c r="AQ71" i="23"/>
  <c r="AQ102" i="23"/>
  <c r="AQ64" i="23"/>
  <c r="AQ59" i="23"/>
  <c r="AQ40" i="23"/>
  <c r="AQ67" i="23"/>
  <c r="AQ34" i="23"/>
  <c r="AQ61" i="23"/>
  <c r="AQ89" i="23"/>
  <c r="AQ23" i="23"/>
  <c r="AQ62" i="23"/>
  <c r="AQ80" i="23"/>
  <c r="AQ107" i="23"/>
  <c r="AQ26" i="23"/>
  <c r="AQ58" i="23"/>
  <c r="AQ90" i="23"/>
  <c r="AQ21" i="23"/>
  <c r="AQ53" i="23"/>
  <c r="AQ85" i="23"/>
  <c r="AQ14" i="23"/>
  <c r="AQ109" i="23"/>
  <c r="AQ73" i="23"/>
  <c r="AQ20" i="23"/>
  <c r="AQ52" i="23"/>
  <c r="AQ84" i="23"/>
  <c r="AQ15" i="23"/>
  <c r="AQ47" i="23"/>
  <c r="AQ79" i="23"/>
  <c r="AQ22" i="23"/>
  <c r="AQ54" i="23"/>
  <c r="AQ17" i="23"/>
  <c r="AQ105" i="23"/>
  <c r="AQ72" i="23"/>
  <c r="AQ35" i="23"/>
  <c r="AQ98" i="23"/>
  <c r="AQ70" i="23"/>
  <c r="AQ60" i="23"/>
  <c r="AQ87" i="23"/>
  <c r="AQ16" i="23"/>
  <c r="AQ43" i="23"/>
  <c r="AQ10" i="23"/>
  <c r="AQ42" i="23"/>
  <c r="AQ74" i="23"/>
  <c r="AQ106" i="23"/>
  <c r="AQ37" i="23"/>
  <c r="AQ69" i="23"/>
  <c r="AQ101" i="23"/>
  <c r="AQ86" i="23"/>
  <c r="AQ41" i="23"/>
  <c r="AQ97" i="23"/>
  <c r="AQ36" i="23"/>
  <c r="AQ68" i="23"/>
  <c r="AQ100" i="23"/>
  <c r="AQ31" i="23"/>
  <c r="AQ63" i="23"/>
  <c r="AQ95" i="23"/>
  <c r="AQ38" i="23"/>
  <c r="AQ78" i="23"/>
  <c r="AQ49" i="23"/>
  <c r="AQ24" i="23"/>
  <c r="AQ56" i="23"/>
  <c r="AQ88" i="23"/>
  <c r="AQ19" i="23"/>
  <c r="AQ51" i="23"/>
  <c r="AQ83" i="23"/>
  <c r="AQ65" i="23"/>
  <c r="AQ45" i="23"/>
  <c r="AQ9" i="23"/>
  <c r="AQ94" i="23"/>
  <c r="AQ12" i="23"/>
  <c r="AQ44" i="23"/>
  <c r="AQ108" i="23"/>
  <c r="AQ39" i="23"/>
  <c r="AQ103" i="23"/>
  <c r="AQ46" i="23"/>
  <c r="AQ81" i="23"/>
  <c r="AQ32" i="23"/>
  <c r="AQ96" i="23"/>
  <c r="AQ27" i="23"/>
  <c r="AQ91" i="23"/>
  <c r="AQ104" i="23"/>
  <c r="AQ99" i="23"/>
  <c r="AQ66" i="23"/>
  <c r="AQ29" i="23"/>
  <c r="AQ93" i="23"/>
  <c r="AQ25" i="23"/>
  <c r="AQ28" i="23"/>
  <c r="AQ92" i="23"/>
  <c r="AQ55" i="23"/>
  <c r="AQ30" i="23"/>
  <c r="AQ33" i="23"/>
  <c r="AQ48" i="23"/>
  <c r="AQ11" i="23"/>
  <c r="AQ75" i="23"/>
  <c r="M9" i="23"/>
  <c r="M40" i="23"/>
  <c r="N40" i="23" s="1"/>
  <c r="M88" i="23"/>
  <c r="N88" i="23" s="1"/>
  <c r="M39" i="23"/>
  <c r="N39" i="23" s="1"/>
  <c r="M36" i="23"/>
  <c r="N36" i="23" s="1"/>
  <c r="M100" i="23"/>
  <c r="N100" i="23" s="1"/>
  <c r="M68" i="23"/>
  <c r="N68" i="23" s="1"/>
  <c r="M67" i="23"/>
  <c r="N67" i="23" s="1"/>
  <c r="M23" i="23"/>
  <c r="N23" i="23" s="1"/>
  <c r="M59" i="23"/>
  <c r="N59" i="23" s="1"/>
  <c r="M17" i="23"/>
  <c r="N17" i="23" s="1"/>
  <c r="M33" i="23"/>
  <c r="N33" i="23" s="1"/>
  <c r="M62" i="23"/>
  <c r="N62" i="23" s="1"/>
  <c r="M63" i="23"/>
  <c r="N63" i="23" s="1"/>
  <c r="M12" i="23"/>
  <c r="N12" i="23" s="1"/>
  <c r="M94" i="23"/>
  <c r="N94" i="23" s="1"/>
  <c r="M95" i="23"/>
  <c r="N95" i="23" s="1"/>
  <c r="M92" i="23"/>
  <c r="N92" i="23" s="1"/>
  <c r="M78" i="23"/>
  <c r="N78" i="23" s="1"/>
  <c r="M77" i="23"/>
  <c r="N77" i="23" s="1"/>
  <c r="M43" i="23"/>
  <c r="N43" i="23" s="1"/>
  <c r="M37" i="23"/>
  <c r="N37" i="23" s="1"/>
  <c r="M74" i="23"/>
  <c r="N74" i="23" s="1"/>
  <c r="M55" i="23"/>
  <c r="N55" i="23" s="1"/>
  <c r="M65" i="23"/>
  <c r="N65" i="23" s="1"/>
  <c r="M107" i="23"/>
  <c r="N107" i="23" s="1"/>
  <c r="M41" i="23"/>
  <c r="N41" i="23" s="1"/>
  <c r="M38" i="23"/>
  <c r="N38" i="23" s="1"/>
  <c r="M13" i="23"/>
  <c r="N13" i="23" s="1"/>
  <c r="M29" i="23"/>
  <c r="N29" i="23" s="1"/>
  <c r="M49" i="23"/>
  <c r="N49" i="23" s="1"/>
  <c r="M21" i="23"/>
  <c r="N21" i="23" s="1"/>
  <c r="M105" i="23"/>
  <c r="N105" i="23" s="1"/>
  <c r="M85" i="23"/>
  <c r="N85" i="23" s="1"/>
  <c r="M53" i="23"/>
  <c r="N53" i="23" s="1"/>
  <c r="M18" i="23"/>
  <c r="N18" i="23" s="1"/>
  <c r="M27" i="23"/>
  <c r="N27" i="23" s="1"/>
  <c r="M42" i="23"/>
  <c r="N42" i="23" s="1"/>
  <c r="M104" i="23"/>
  <c r="N104" i="23" s="1"/>
  <c r="M72" i="23"/>
  <c r="N72" i="23" s="1"/>
  <c r="M103" i="23"/>
  <c r="N103" i="23" s="1"/>
  <c r="M71" i="23"/>
  <c r="N71" i="23" s="1"/>
  <c r="M20" i="23"/>
  <c r="N20" i="23" s="1"/>
  <c r="M84" i="23"/>
  <c r="N84" i="23" s="1"/>
  <c r="M52" i="23"/>
  <c r="N52" i="23" s="1"/>
  <c r="M102" i="23"/>
  <c r="N102" i="23" s="1"/>
  <c r="M83" i="23"/>
  <c r="N83" i="23" s="1"/>
  <c r="M51" i="23"/>
  <c r="N51" i="23" s="1"/>
  <c r="M81" i="23"/>
  <c r="N81" i="23" s="1"/>
  <c r="M108" i="23"/>
  <c r="N108" i="23" s="1"/>
  <c r="M57" i="23"/>
  <c r="N57" i="23" s="1"/>
  <c r="M11" i="23"/>
  <c r="N11" i="23" s="1"/>
  <c r="M26" i="23"/>
  <c r="N26" i="23" s="1"/>
  <c r="M79" i="23"/>
  <c r="N79" i="23" s="1"/>
  <c r="M46" i="23"/>
  <c r="N46" i="23" s="1"/>
  <c r="M28" i="23"/>
  <c r="N28" i="23" s="1"/>
  <c r="M91" i="23"/>
  <c r="N91" i="23" s="1"/>
  <c r="M61" i="23"/>
  <c r="N61" i="23" s="1"/>
  <c r="M22" i="23"/>
  <c r="N22" i="23" s="1"/>
  <c r="M34" i="23"/>
  <c r="N34" i="23" s="1"/>
  <c r="M15" i="23"/>
  <c r="N15" i="23" s="1"/>
  <c r="M35" i="23"/>
  <c r="N35" i="23" s="1"/>
  <c r="M90" i="23"/>
  <c r="N90" i="23" s="1"/>
  <c r="M45" i="23"/>
  <c r="N45" i="23" s="1"/>
  <c r="M75" i="23"/>
  <c r="N75" i="23" s="1"/>
  <c r="M73" i="23"/>
  <c r="N73" i="23" s="1"/>
  <c r="M82" i="23"/>
  <c r="N82" i="23" s="1"/>
  <c r="M31" i="23"/>
  <c r="N31" i="23" s="1"/>
  <c r="M70" i="23"/>
  <c r="N70" i="23" s="1"/>
  <c r="M99" i="23"/>
  <c r="N99" i="23" s="1"/>
  <c r="M48" i="23"/>
  <c r="N48" i="23" s="1"/>
  <c r="M10" i="23"/>
  <c r="N10" i="23" s="1"/>
  <c r="M106" i="23"/>
  <c r="N106" i="23" s="1"/>
  <c r="M101" i="23"/>
  <c r="N101" i="23" s="1"/>
  <c r="M69" i="23"/>
  <c r="N69" i="23" s="1"/>
  <c r="M96" i="23"/>
  <c r="N96" i="23" s="1"/>
  <c r="M64" i="23"/>
  <c r="N64" i="23" s="1"/>
  <c r="M44" i="23"/>
  <c r="N44" i="23" s="1"/>
  <c r="G234" i="2"/>
  <c r="B58" i="21"/>
  <c r="AL9" i="21"/>
  <c r="B37" i="21"/>
  <c r="M9" i="21"/>
  <c r="N9" i="21" s="1"/>
  <c r="D52" i="2"/>
  <c r="D56" i="2" s="1"/>
  <c r="D192" i="2"/>
  <c r="B188" i="2"/>
  <c r="B187" i="2"/>
  <c r="B118" i="2"/>
  <c r="B37" i="2"/>
  <c r="D37" i="2"/>
  <c r="B68" i="23" s="1"/>
  <c r="B21" i="2"/>
  <c r="B388" i="2"/>
  <c r="B4" i="11"/>
  <c r="D4" i="11" s="1"/>
  <c r="B6" i="11" s="1"/>
  <c r="D6" i="11" s="1"/>
  <c r="B38" i="21"/>
  <c r="B20" i="21"/>
  <c r="B44" i="21"/>
  <c r="B40" i="21"/>
  <c r="B39" i="21"/>
  <c r="B77" i="21"/>
  <c r="AQ108" i="21"/>
  <c r="AQ104" i="21"/>
  <c r="AQ100" i="21"/>
  <c r="AQ96" i="21"/>
  <c r="AQ92" i="21"/>
  <c r="AQ88" i="21"/>
  <c r="AQ84" i="21"/>
  <c r="AQ80" i="21"/>
  <c r="AQ79" i="21"/>
  <c r="AQ73" i="21"/>
  <c r="AQ59" i="21"/>
  <c r="AQ52" i="21"/>
  <c r="AQ45" i="21"/>
  <c r="AQ37" i="21"/>
  <c r="AQ28" i="21"/>
  <c r="AQ69" i="21"/>
  <c r="AQ64" i="21"/>
  <c r="AQ60" i="21"/>
  <c r="AQ51" i="21"/>
  <c r="AQ42" i="21"/>
  <c r="AQ35" i="21"/>
  <c r="AQ27" i="21"/>
  <c r="AQ20" i="21"/>
  <c r="AQ16" i="21"/>
  <c r="AQ14" i="21"/>
  <c r="AQ12" i="21"/>
  <c r="AQ9" i="21"/>
  <c r="AQ109" i="21"/>
  <c r="AQ105" i="21"/>
  <c r="AQ101" i="21"/>
  <c r="AQ97" i="21"/>
  <c r="AQ93" i="21"/>
  <c r="AQ89" i="21"/>
  <c r="AQ85" i="21"/>
  <c r="AQ81" i="21"/>
  <c r="AQ72" i="21"/>
  <c r="AQ74" i="21"/>
  <c r="AQ68" i="21"/>
  <c r="AQ54" i="21"/>
  <c r="AQ47" i="21"/>
  <c r="AQ39" i="21"/>
  <c r="AQ29" i="21"/>
  <c r="AQ23" i="21"/>
  <c r="AQ65" i="21"/>
  <c r="AQ61" i="21"/>
  <c r="AQ53" i="21"/>
  <c r="AQ44" i="21"/>
  <c r="AQ36" i="21"/>
  <c r="AQ30" i="21"/>
  <c r="AQ21" i="21"/>
  <c r="AQ17" i="21"/>
  <c r="AQ106" i="21"/>
  <c r="AQ102" i="21"/>
  <c r="AQ98" i="21"/>
  <c r="AQ94" i="21"/>
  <c r="AQ90" i="21"/>
  <c r="AQ86" i="21"/>
  <c r="AQ82" i="21"/>
  <c r="AQ75" i="21"/>
  <c r="AQ76" i="21"/>
  <c r="AQ70" i="21"/>
  <c r="AQ56" i="21"/>
  <c r="AQ48" i="21"/>
  <c r="AQ41" i="21"/>
  <c r="AQ33" i="21"/>
  <c r="AQ25" i="21"/>
  <c r="AQ66" i="21"/>
  <c r="AQ62" i="21"/>
  <c r="AQ55" i="21"/>
  <c r="AQ46" i="21"/>
  <c r="AQ38" i="21"/>
  <c r="AQ31" i="21"/>
  <c r="AQ22" i="21"/>
  <c r="AQ19" i="21"/>
  <c r="AQ15" i="21"/>
  <c r="AQ13" i="21"/>
  <c r="AQ11" i="21"/>
  <c r="AQ107" i="21"/>
  <c r="AQ103" i="21"/>
  <c r="AQ99" i="21"/>
  <c r="AQ95" i="21"/>
  <c r="AQ91" i="21"/>
  <c r="AQ87" i="21"/>
  <c r="AQ83" i="21"/>
  <c r="AQ77" i="21"/>
  <c r="AQ78" i="21"/>
  <c r="AQ71" i="21"/>
  <c r="AQ57" i="21"/>
  <c r="AQ50" i="21"/>
  <c r="AQ43" i="21"/>
  <c r="AQ34" i="21"/>
  <c r="AQ26" i="21"/>
  <c r="AQ67" i="21"/>
  <c r="AQ63" i="21"/>
  <c r="AQ58" i="21"/>
  <c r="AQ49" i="21"/>
  <c r="AQ40" i="21"/>
  <c r="AQ32" i="21"/>
  <c r="AQ24" i="21"/>
  <c r="AQ18" i="21"/>
  <c r="AQ10" i="21"/>
  <c r="B59" i="21"/>
  <c r="B18" i="21"/>
  <c r="B12" i="21"/>
  <c r="AU9" i="21"/>
  <c r="AX8" i="21"/>
  <c r="L9" i="21"/>
  <c r="AW8" i="21"/>
  <c r="B25" i="21"/>
  <c r="B50" i="21"/>
  <c r="B23" i="21"/>
  <c r="B47" i="21"/>
  <c r="B46" i="21"/>
  <c r="AL105" i="21"/>
  <c r="B14" i="21"/>
  <c r="AL42" i="21"/>
  <c r="AL50" i="21"/>
  <c r="B22" i="21"/>
  <c r="C328" i="2"/>
  <c r="B351" i="2"/>
  <c r="A340" i="2"/>
  <c r="B340" i="2"/>
  <c r="B49" i="2"/>
  <c r="B239" i="2"/>
  <c r="N11" i="8" s="1"/>
  <c r="F3" i="8"/>
  <c r="F159" i="8" s="1"/>
  <c r="F158" i="8" s="1"/>
  <c r="F157" i="8" s="1"/>
  <c r="F156" i="8" s="1"/>
  <c r="F155" i="8" s="1"/>
  <c r="F154" i="8" s="1"/>
  <c r="F153" i="8" s="1"/>
  <c r="F152" i="8" s="1"/>
  <c r="F151" i="8" s="1"/>
  <c r="F150" i="8" s="1"/>
  <c r="F149" i="8" s="1"/>
  <c r="F148" i="8" s="1"/>
  <c r="F147" i="8" s="1"/>
  <c r="F146" i="8" s="1"/>
  <c r="F145" i="8" s="1"/>
  <c r="F144" i="8" s="1"/>
  <c r="F143" i="8" s="1"/>
  <c r="F142" i="8" s="1"/>
  <c r="F141" i="8" s="1"/>
  <c r="F140" i="8" s="1"/>
  <c r="F139" i="8" s="1"/>
  <c r="F138" i="8" s="1"/>
  <c r="F137" i="8" s="1"/>
  <c r="F136" i="8" s="1"/>
  <c r="F135" i="8" s="1"/>
  <c r="F134" i="8" s="1"/>
  <c r="F133" i="8" s="1"/>
  <c r="F132" i="8" s="1"/>
  <c r="F131" i="8" s="1"/>
  <c r="F130" i="8" s="1"/>
  <c r="F129" i="8" s="1"/>
  <c r="F128" i="8" s="1"/>
  <c r="F127" i="8" s="1"/>
  <c r="F126" i="8" s="1"/>
  <c r="F125" i="8" s="1"/>
  <c r="F124" i="8" s="1"/>
  <c r="F123" i="8" s="1"/>
  <c r="F122" i="8" s="1"/>
  <c r="F121" i="8" s="1"/>
  <c r="F120" i="8" s="1"/>
  <c r="F119" i="8" s="1"/>
  <c r="F118" i="8" s="1"/>
  <c r="F117" i="8" s="1"/>
  <c r="F116" i="8" s="1"/>
  <c r="F115" i="8" s="1"/>
  <c r="F114" i="8" s="1"/>
  <c r="F113" i="8" s="1"/>
  <c r="F112" i="8" s="1"/>
  <c r="F111" i="8" s="1"/>
  <c r="F110" i="8" s="1"/>
  <c r="F109" i="8" s="1"/>
  <c r="F108" i="8" s="1"/>
  <c r="F107" i="8" s="1"/>
  <c r="F106" i="8" s="1"/>
  <c r="F105" i="8" s="1"/>
  <c r="F104" i="8" s="1"/>
  <c r="F103" i="8" s="1"/>
  <c r="F102" i="8" s="1"/>
  <c r="F101" i="8" s="1"/>
  <c r="F100" i="8" s="1"/>
  <c r="F99" i="8" s="1"/>
  <c r="F98" i="8" s="1"/>
  <c r="F97" i="8" s="1"/>
  <c r="F96" i="8" s="1"/>
  <c r="F95" i="8" s="1"/>
  <c r="F94" i="8" s="1"/>
  <c r="F93" i="8" s="1"/>
  <c r="F92" i="8" s="1"/>
  <c r="F91" i="8" s="1"/>
  <c r="F90" i="8" s="1"/>
  <c r="F89" i="8" s="1"/>
  <c r="F88" i="8" s="1"/>
  <c r="F87" i="8" s="1"/>
  <c r="F86" i="8" s="1"/>
  <c r="F85" i="8" s="1"/>
  <c r="F84" i="8" s="1"/>
  <c r="F83" i="8" s="1"/>
  <c r="F82" i="8" s="1"/>
  <c r="F81" i="8" s="1"/>
  <c r="F80" i="8" s="1"/>
  <c r="F79" i="8" s="1"/>
  <c r="F78" i="8" s="1"/>
  <c r="F77" i="8" s="1"/>
  <c r="F76" i="8" s="1"/>
  <c r="F75" i="8" s="1"/>
  <c r="F74" i="8" s="1"/>
  <c r="F73" i="8" s="1"/>
  <c r="F72" i="8" s="1"/>
  <c r="F71" i="8" s="1"/>
  <c r="F70" i="8" s="1"/>
  <c r="F69" i="8" s="1"/>
  <c r="F68" i="8" s="1"/>
  <c r="F67" i="8" s="1"/>
  <c r="F66" i="8" s="1"/>
  <c r="F65" i="8" s="1"/>
  <c r="F64" i="8" s="1"/>
  <c r="F63" i="8" s="1"/>
  <c r="F62" i="8" s="1"/>
  <c r="F61" i="8" s="1"/>
  <c r="F60" i="8" s="1"/>
  <c r="F59" i="8" s="1"/>
  <c r="F58" i="8" s="1"/>
  <c r="F57" i="8" s="1"/>
  <c r="F56" i="8" s="1"/>
  <c r="F55" i="8" s="1"/>
  <c r="F54" i="8" s="1"/>
  <c r="F53" i="8" s="1"/>
  <c r="F52" i="8" s="1"/>
  <c r="F51" i="8" s="1"/>
  <c r="F50" i="8" s="1"/>
  <c r="F49" i="8" s="1"/>
  <c r="F48" i="8" s="1"/>
  <c r="F47" i="8" s="1"/>
  <c r="F46" i="8" s="1"/>
  <c r="F45" i="8" s="1"/>
  <c r="F44" i="8" s="1"/>
  <c r="F43" i="8" s="1"/>
  <c r="F42" i="8" s="1"/>
  <c r="F41" i="8" s="1"/>
  <c r="F40" i="8" s="1"/>
  <c r="F39" i="8" s="1"/>
  <c r="F38" i="8" s="1"/>
  <c r="F37" i="8" s="1"/>
  <c r="F36" i="8" s="1"/>
  <c r="F35" i="8" s="1"/>
  <c r="F34" i="8" s="1"/>
  <c r="F33" i="8" s="1"/>
  <c r="F32" i="8" s="1"/>
  <c r="F31" i="8" s="1"/>
  <c r="F30" i="8" s="1"/>
  <c r="F29" i="8" s="1"/>
  <c r="F28" i="8" s="1"/>
  <c r="F27" i="8" s="1"/>
  <c r="F26" i="8" s="1"/>
  <c r="F25" i="8" s="1"/>
  <c r="F24" i="8" s="1"/>
  <c r="F23" i="8" s="1"/>
  <c r="F22" i="8" s="1"/>
  <c r="F21" i="8" s="1"/>
  <c r="F20" i="8" s="1"/>
  <c r="F19" i="8" s="1"/>
  <c r="F18" i="8" s="1"/>
  <c r="F17" i="8" s="1"/>
  <c r="F16" i="8" s="1"/>
  <c r="F15" i="8" s="1"/>
  <c r="F14" i="8" s="1"/>
  <c r="F13" i="8" s="1"/>
  <c r="F12" i="8" s="1"/>
  <c r="F11" i="8" s="1"/>
  <c r="F10" i="8" s="1"/>
  <c r="F9" i="8" s="1"/>
  <c r="F8" i="8" s="1"/>
  <c r="F7" i="8" s="1"/>
  <c r="F6" i="8" s="1"/>
  <c r="F4" i="8" s="1"/>
  <c r="B206" i="2"/>
  <c r="B16" i="2"/>
  <c r="B34" i="2"/>
  <c r="B349" i="2"/>
  <c r="N4" i="8"/>
  <c r="O4" i="8" s="1"/>
  <c r="E13" i="1" s="1"/>
  <c r="O10" i="8"/>
  <c r="F66" i="1"/>
  <c r="B257" i="2"/>
  <c r="I159" i="8"/>
  <c r="I158" i="8" s="1"/>
  <c r="I157" i="8" s="1"/>
  <c r="I156" i="8" s="1"/>
  <c r="I155" i="8" s="1"/>
  <c r="I154" i="8" s="1"/>
  <c r="I153" i="8" s="1"/>
  <c r="I152" i="8" s="1"/>
  <c r="I151" i="8" s="1"/>
  <c r="I150" i="8" s="1"/>
  <c r="I149" i="8" s="1"/>
  <c r="I148" i="8" s="1"/>
  <c r="I147" i="8" s="1"/>
  <c r="I146" i="8" s="1"/>
  <c r="I145" i="8" s="1"/>
  <c r="I144" i="8" s="1"/>
  <c r="I143" i="8" s="1"/>
  <c r="I142" i="8" s="1"/>
  <c r="I141" i="8" s="1"/>
  <c r="I140" i="8" s="1"/>
  <c r="I139" i="8" s="1"/>
  <c r="I138" i="8" s="1"/>
  <c r="I137" i="8" s="1"/>
  <c r="I136" i="8" s="1"/>
  <c r="I135" i="8" s="1"/>
  <c r="I134" i="8" s="1"/>
  <c r="I133" i="8" s="1"/>
  <c r="I132" i="8" s="1"/>
  <c r="I131" i="8" s="1"/>
  <c r="I130" i="8" s="1"/>
  <c r="I129" i="8" s="1"/>
  <c r="I128" i="8" s="1"/>
  <c r="I127" i="8" s="1"/>
  <c r="I126" i="8" s="1"/>
  <c r="I125" i="8" s="1"/>
  <c r="I124" i="8" s="1"/>
  <c r="I123" i="8" s="1"/>
  <c r="I122" i="8" s="1"/>
  <c r="I121" i="8" s="1"/>
  <c r="I120" i="8" s="1"/>
  <c r="I119" i="8" s="1"/>
  <c r="I118" i="8" s="1"/>
  <c r="I117" i="8" s="1"/>
  <c r="I116" i="8" s="1"/>
  <c r="I115" i="8" s="1"/>
  <c r="I114" i="8" s="1"/>
  <c r="I113" i="8" s="1"/>
  <c r="I112" i="8" s="1"/>
  <c r="I111" i="8" s="1"/>
  <c r="I110" i="8" s="1"/>
  <c r="I109" i="8" s="1"/>
  <c r="I108" i="8" s="1"/>
  <c r="I107" i="8" s="1"/>
  <c r="I106" i="8" s="1"/>
  <c r="I105" i="8" s="1"/>
  <c r="I104" i="8" s="1"/>
  <c r="I103" i="8" s="1"/>
  <c r="I102" i="8" s="1"/>
  <c r="I101" i="8" s="1"/>
  <c r="I100" i="8" s="1"/>
  <c r="I99" i="8" s="1"/>
  <c r="I98" i="8" s="1"/>
  <c r="I97" i="8" s="1"/>
  <c r="I96" i="8" s="1"/>
  <c r="I95" i="8" s="1"/>
  <c r="I94" i="8" s="1"/>
  <c r="I93" i="8" s="1"/>
  <c r="I92" i="8" s="1"/>
  <c r="I91" i="8" s="1"/>
  <c r="I90" i="8" s="1"/>
  <c r="I89" i="8" s="1"/>
  <c r="I88" i="8" s="1"/>
  <c r="I87" i="8" s="1"/>
  <c r="I86" i="8" s="1"/>
  <c r="I85" i="8" s="1"/>
  <c r="I84" i="8" s="1"/>
  <c r="I83" i="8" s="1"/>
  <c r="I82" i="8" s="1"/>
  <c r="I81" i="8" s="1"/>
  <c r="I80" i="8" s="1"/>
  <c r="I79" i="8" s="1"/>
  <c r="I78" i="8" s="1"/>
  <c r="I77" i="8" s="1"/>
  <c r="I76" i="8" s="1"/>
  <c r="I75" i="8" s="1"/>
  <c r="I74" i="8" s="1"/>
  <c r="I73" i="8" s="1"/>
  <c r="I72" i="8" s="1"/>
  <c r="I71" i="8" s="1"/>
  <c r="I70" i="8" s="1"/>
  <c r="I69" i="8" s="1"/>
  <c r="I68" i="8" s="1"/>
  <c r="I67" i="8" s="1"/>
  <c r="I66" i="8" s="1"/>
  <c r="I65" i="8" s="1"/>
  <c r="I64" i="8" s="1"/>
  <c r="I63" i="8" s="1"/>
  <c r="I62" i="8" s="1"/>
  <c r="I61" i="8" s="1"/>
  <c r="I60" i="8" s="1"/>
  <c r="I59" i="8" s="1"/>
  <c r="I58" i="8" s="1"/>
  <c r="I57" i="8" s="1"/>
  <c r="I56" i="8" s="1"/>
  <c r="I55" i="8" s="1"/>
  <c r="I54" i="8" s="1"/>
  <c r="I53" i="8" s="1"/>
  <c r="I52" i="8" s="1"/>
  <c r="I51" i="8" s="1"/>
  <c r="I50" i="8" s="1"/>
  <c r="I49" i="8" s="1"/>
  <c r="I48" i="8" s="1"/>
  <c r="I47" i="8" s="1"/>
  <c r="I46" i="8" s="1"/>
  <c r="I45" i="8" s="1"/>
  <c r="I44" i="8" s="1"/>
  <c r="I43" i="8" s="1"/>
  <c r="I42" i="8" s="1"/>
  <c r="I41" i="8" s="1"/>
  <c r="I40" i="8" s="1"/>
  <c r="I39" i="8" s="1"/>
  <c r="I38" i="8" s="1"/>
  <c r="I37" i="8" s="1"/>
  <c r="I36" i="8" s="1"/>
  <c r="I35" i="8" s="1"/>
  <c r="I34" i="8" s="1"/>
  <c r="I33" i="8" s="1"/>
  <c r="I32" i="8" s="1"/>
  <c r="I31" i="8" s="1"/>
  <c r="I30" i="8" s="1"/>
  <c r="I29" i="8" s="1"/>
  <c r="I28" i="8" s="1"/>
  <c r="I27" i="8" s="1"/>
  <c r="I26" i="8" s="1"/>
  <c r="I25" i="8" s="1"/>
  <c r="I24" i="8" s="1"/>
  <c r="I23" i="8" s="1"/>
  <c r="I22" i="8" s="1"/>
  <c r="I21" i="8" s="1"/>
  <c r="I20" i="8" s="1"/>
  <c r="I19" i="8" s="1"/>
  <c r="I18" i="8" s="1"/>
  <c r="I17" i="8" s="1"/>
  <c r="I16" i="8" s="1"/>
  <c r="I15" i="8" s="1"/>
  <c r="I14" i="8" s="1"/>
  <c r="I13" i="8" s="1"/>
  <c r="I12" i="8" s="1"/>
  <c r="I11" i="8" s="1"/>
  <c r="I10" i="8" s="1"/>
  <c r="I9" i="8" s="1"/>
  <c r="I8" i="8" s="1"/>
  <c r="I7" i="8" s="1"/>
  <c r="I6" i="8" s="1"/>
  <c r="H159" i="8"/>
  <c r="H158" i="8" s="1"/>
  <c r="H157" i="8" s="1"/>
  <c r="H156" i="8" s="1"/>
  <c r="H155" i="8" s="1"/>
  <c r="H154" i="8" s="1"/>
  <c r="H153" i="8" s="1"/>
  <c r="H152" i="8" s="1"/>
  <c r="H151" i="8" s="1"/>
  <c r="H150" i="8" s="1"/>
  <c r="H149" i="8" s="1"/>
  <c r="H148" i="8" s="1"/>
  <c r="H147" i="8" s="1"/>
  <c r="H146" i="8" s="1"/>
  <c r="H145" i="8" s="1"/>
  <c r="H144" i="8" s="1"/>
  <c r="H143" i="8" s="1"/>
  <c r="H142" i="8" s="1"/>
  <c r="H141" i="8" s="1"/>
  <c r="H140" i="8" s="1"/>
  <c r="H139" i="8" s="1"/>
  <c r="H138" i="8" s="1"/>
  <c r="H137" i="8" s="1"/>
  <c r="H136" i="8" s="1"/>
  <c r="H135" i="8" s="1"/>
  <c r="H134" i="8" s="1"/>
  <c r="H133" i="8" s="1"/>
  <c r="H132" i="8" s="1"/>
  <c r="H131" i="8" s="1"/>
  <c r="H130" i="8" s="1"/>
  <c r="H129" i="8" s="1"/>
  <c r="H128" i="8" s="1"/>
  <c r="H127" i="8" s="1"/>
  <c r="H126" i="8" s="1"/>
  <c r="H125" i="8" s="1"/>
  <c r="H124" i="8" s="1"/>
  <c r="H123" i="8" s="1"/>
  <c r="H122" i="8" s="1"/>
  <c r="H121" i="8" s="1"/>
  <c r="H120" i="8" s="1"/>
  <c r="H119" i="8" s="1"/>
  <c r="H118" i="8" s="1"/>
  <c r="H117" i="8" s="1"/>
  <c r="H116" i="8" s="1"/>
  <c r="H115" i="8" s="1"/>
  <c r="H114" i="8" s="1"/>
  <c r="H113" i="8" s="1"/>
  <c r="H112" i="8" s="1"/>
  <c r="H111" i="8" s="1"/>
  <c r="H110" i="8" s="1"/>
  <c r="H109" i="8" s="1"/>
  <c r="H108" i="8" s="1"/>
  <c r="H107" i="8" s="1"/>
  <c r="H106" i="8" s="1"/>
  <c r="H105" i="8" s="1"/>
  <c r="H104" i="8" s="1"/>
  <c r="H103" i="8" s="1"/>
  <c r="H102" i="8" s="1"/>
  <c r="H101" i="8" s="1"/>
  <c r="H100" i="8" s="1"/>
  <c r="H99" i="8" s="1"/>
  <c r="H98" i="8" s="1"/>
  <c r="H97" i="8" s="1"/>
  <c r="H96" i="8" s="1"/>
  <c r="H95" i="8" s="1"/>
  <c r="H94" i="8" s="1"/>
  <c r="H93" i="8" s="1"/>
  <c r="H92" i="8" s="1"/>
  <c r="H91" i="8" s="1"/>
  <c r="H90" i="8" s="1"/>
  <c r="H89" i="8" s="1"/>
  <c r="H88" i="8" s="1"/>
  <c r="H87" i="8" s="1"/>
  <c r="H86" i="8" s="1"/>
  <c r="H85" i="8" s="1"/>
  <c r="H84" i="8" s="1"/>
  <c r="H83" i="8" s="1"/>
  <c r="H82" i="8" s="1"/>
  <c r="H81" i="8" s="1"/>
  <c r="H80" i="8" s="1"/>
  <c r="H79" i="8" s="1"/>
  <c r="H78" i="8" s="1"/>
  <c r="H77" i="8" s="1"/>
  <c r="H76" i="8" s="1"/>
  <c r="H75" i="8" s="1"/>
  <c r="H74" i="8" s="1"/>
  <c r="H73" i="8" s="1"/>
  <c r="H72" i="8" s="1"/>
  <c r="H71" i="8" s="1"/>
  <c r="H70" i="8" s="1"/>
  <c r="H69" i="8" s="1"/>
  <c r="H68" i="8" s="1"/>
  <c r="H67" i="8" s="1"/>
  <c r="H66" i="8" s="1"/>
  <c r="H65" i="8" s="1"/>
  <c r="H64" i="8" s="1"/>
  <c r="H63" i="8" s="1"/>
  <c r="H62" i="8" s="1"/>
  <c r="H61" i="8" s="1"/>
  <c r="H60" i="8" s="1"/>
  <c r="H59" i="8" s="1"/>
  <c r="H58" i="8" s="1"/>
  <c r="H57" i="8" s="1"/>
  <c r="H56" i="8" s="1"/>
  <c r="H55" i="8" s="1"/>
  <c r="H54" i="8" s="1"/>
  <c r="H53" i="8" s="1"/>
  <c r="H52" i="8" s="1"/>
  <c r="H51" i="8" s="1"/>
  <c r="H50" i="8" s="1"/>
  <c r="H49" i="8" s="1"/>
  <c r="H48" i="8" s="1"/>
  <c r="H47" i="8" s="1"/>
  <c r="H46" i="8" s="1"/>
  <c r="H45" i="8" s="1"/>
  <c r="H44" i="8" s="1"/>
  <c r="H43" i="8" s="1"/>
  <c r="H42" i="8" s="1"/>
  <c r="H41" i="8" s="1"/>
  <c r="H40" i="8" s="1"/>
  <c r="H39" i="8" s="1"/>
  <c r="H38" i="8" s="1"/>
  <c r="H37" i="8" s="1"/>
  <c r="H36" i="8" s="1"/>
  <c r="H35" i="8" s="1"/>
  <c r="H34" i="8" s="1"/>
  <c r="H33" i="8" s="1"/>
  <c r="H32" i="8" s="1"/>
  <c r="H31" i="8" s="1"/>
  <c r="H30" i="8" s="1"/>
  <c r="H29" i="8" s="1"/>
  <c r="H28" i="8" s="1"/>
  <c r="H27" i="8" s="1"/>
  <c r="H26" i="8" s="1"/>
  <c r="H25" i="8" s="1"/>
  <c r="H24" i="8" s="1"/>
  <c r="H23" i="8" s="1"/>
  <c r="H22" i="8" s="1"/>
  <c r="H21" i="8" s="1"/>
  <c r="H20" i="8" s="1"/>
  <c r="H19" i="8" s="1"/>
  <c r="H18" i="8" s="1"/>
  <c r="H17" i="8" s="1"/>
  <c r="H16" i="8" s="1"/>
  <c r="H15" i="8" s="1"/>
  <c r="H14" i="8" s="1"/>
  <c r="H13" i="8" s="1"/>
  <c r="H12" i="8" s="1"/>
  <c r="H11" i="8" s="1"/>
  <c r="H10" i="8" s="1"/>
  <c r="H9" i="8" s="1"/>
  <c r="H8" i="8" s="1"/>
  <c r="H7" i="8" s="1"/>
  <c r="H6" i="8" s="1"/>
  <c r="H4" i="8" s="1"/>
  <c r="O22" i="8" s="1"/>
  <c r="E56" i="1" s="1"/>
  <c r="J159" i="8"/>
  <c r="J158" i="8" s="1"/>
  <c r="J157" i="8" s="1"/>
  <c r="J156" i="8" s="1"/>
  <c r="J155" i="8" s="1"/>
  <c r="J154" i="8" s="1"/>
  <c r="J153" i="8" s="1"/>
  <c r="J152" i="8" s="1"/>
  <c r="J151" i="8" s="1"/>
  <c r="J150" i="8" s="1"/>
  <c r="J149" i="8" s="1"/>
  <c r="J148" i="8" s="1"/>
  <c r="J147" i="8" s="1"/>
  <c r="J146" i="8" s="1"/>
  <c r="J145" i="8" s="1"/>
  <c r="J144" i="8" s="1"/>
  <c r="J143" i="8" s="1"/>
  <c r="J142" i="8" s="1"/>
  <c r="J141" i="8" s="1"/>
  <c r="J140" i="8" s="1"/>
  <c r="J139" i="8" s="1"/>
  <c r="J138" i="8" s="1"/>
  <c r="J137" i="8" s="1"/>
  <c r="J136" i="8" s="1"/>
  <c r="J135" i="8" s="1"/>
  <c r="J134" i="8" s="1"/>
  <c r="J133" i="8" s="1"/>
  <c r="J132" i="8" s="1"/>
  <c r="J131" i="8" s="1"/>
  <c r="J130" i="8" s="1"/>
  <c r="J129" i="8" s="1"/>
  <c r="J128" i="8" s="1"/>
  <c r="J127" i="8" s="1"/>
  <c r="J126" i="8" s="1"/>
  <c r="J125" i="8" s="1"/>
  <c r="J124" i="8" s="1"/>
  <c r="J123" i="8" s="1"/>
  <c r="J122" i="8" s="1"/>
  <c r="J121" i="8" s="1"/>
  <c r="J120" i="8" s="1"/>
  <c r="J119" i="8" s="1"/>
  <c r="J118" i="8" s="1"/>
  <c r="J117" i="8" s="1"/>
  <c r="J116" i="8" s="1"/>
  <c r="J115" i="8" s="1"/>
  <c r="J114" i="8" s="1"/>
  <c r="J113" i="8" s="1"/>
  <c r="J112" i="8" s="1"/>
  <c r="J111" i="8" s="1"/>
  <c r="J110" i="8" s="1"/>
  <c r="J109" i="8" s="1"/>
  <c r="J108" i="8" s="1"/>
  <c r="J107" i="8" s="1"/>
  <c r="J106" i="8" s="1"/>
  <c r="J105" i="8" s="1"/>
  <c r="J104" i="8" s="1"/>
  <c r="J103" i="8" s="1"/>
  <c r="J102" i="8" s="1"/>
  <c r="J101" i="8" s="1"/>
  <c r="J100" i="8" s="1"/>
  <c r="J99" i="8" s="1"/>
  <c r="J98" i="8" s="1"/>
  <c r="J97" i="8" s="1"/>
  <c r="J96" i="8" s="1"/>
  <c r="J95" i="8" s="1"/>
  <c r="J94" i="8" s="1"/>
  <c r="J93" i="8" s="1"/>
  <c r="J92" i="8" s="1"/>
  <c r="J91" i="8" s="1"/>
  <c r="J90" i="8" s="1"/>
  <c r="J89" i="8" s="1"/>
  <c r="J88" i="8" s="1"/>
  <c r="J87" i="8" s="1"/>
  <c r="J86" i="8" s="1"/>
  <c r="J85" i="8" s="1"/>
  <c r="J84" i="8" s="1"/>
  <c r="J83" i="8" s="1"/>
  <c r="J82" i="8" s="1"/>
  <c r="J81" i="8" s="1"/>
  <c r="J80" i="8" s="1"/>
  <c r="J79" i="8" s="1"/>
  <c r="J78" i="8" s="1"/>
  <c r="J77" i="8" s="1"/>
  <c r="J76" i="8" s="1"/>
  <c r="J75" i="8" s="1"/>
  <c r="J74" i="8" s="1"/>
  <c r="J73" i="8" s="1"/>
  <c r="J72" i="8" s="1"/>
  <c r="J71" i="8" s="1"/>
  <c r="J70" i="8" s="1"/>
  <c r="J69" i="8" s="1"/>
  <c r="J68" i="8" s="1"/>
  <c r="J67" i="8" s="1"/>
  <c r="J66" i="8" s="1"/>
  <c r="J65" i="8" s="1"/>
  <c r="J64" i="8" s="1"/>
  <c r="J63" i="8" s="1"/>
  <c r="J62" i="8" s="1"/>
  <c r="J61" i="8" s="1"/>
  <c r="J60" i="8" s="1"/>
  <c r="J59" i="8" s="1"/>
  <c r="J58" i="8" s="1"/>
  <c r="J57" i="8" s="1"/>
  <c r="J56" i="8" s="1"/>
  <c r="J55" i="8" s="1"/>
  <c r="J54" i="8" s="1"/>
  <c r="J53" i="8" s="1"/>
  <c r="J52" i="8" s="1"/>
  <c r="J51" i="8" s="1"/>
  <c r="J50" i="8" s="1"/>
  <c r="J49" i="8" s="1"/>
  <c r="J48" i="8" s="1"/>
  <c r="J47" i="8" s="1"/>
  <c r="J46" i="8" s="1"/>
  <c r="J45" i="8" s="1"/>
  <c r="J44" i="8" s="1"/>
  <c r="J43" i="8" s="1"/>
  <c r="J42" i="8" s="1"/>
  <c r="J41" i="8" s="1"/>
  <c r="J40" i="8" s="1"/>
  <c r="J39" i="8" s="1"/>
  <c r="J38" i="8" s="1"/>
  <c r="J37" i="8" s="1"/>
  <c r="J36" i="8" s="1"/>
  <c r="J35" i="8" s="1"/>
  <c r="J34" i="8" s="1"/>
  <c r="J33" i="8" s="1"/>
  <c r="J32" i="8" s="1"/>
  <c r="J31" i="8" s="1"/>
  <c r="J30" i="8" s="1"/>
  <c r="J29" i="8" s="1"/>
  <c r="J28" i="8" s="1"/>
  <c r="J27" i="8" s="1"/>
  <c r="J26" i="8" s="1"/>
  <c r="J25" i="8" s="1"/>
  <c r="J24" i="8" s="1"/>
  <c r="J23" i="8" s="1"/>
  <c r="J22" i="8" s="1"/>
  <c r="J21" i="8" s="1"/>
  <c r="J20" i="8" s="1"/>
  <c r="J19" i="8" s="1"/>
  <c r="J18" i="8" s="1"/>
  <c r="J17" i="8" s="1"/>
  <c r="J16" i="8" s="1"/>
  <c r="J15" i="8" s="1"/>
  <c r="J14" i="8" s="1"/>
  <c r="J13" i="8" s="1"/>
  <c r="J12" i="8" s="1"/>
  <c r="J11" i="8" s="1"/>
  <c r="J10" i="8" s="1"/>
  <c r="J9" i="8" s="1"/>
  <c r="J8" i="8" s="1"/>
  <c r="J7" i="8" s="1"/>
  <c r="J6" i="8" s="1"/>
  <c r="J4" i="8" s="1"/>
  <c r="B4" i="6"/>
  <c r="B12" i="6" s="1"/>
  <c r="B13" i="6" s="1"/>
  <c r="B72" i="2"/>
  <c r="B221" i="2"/>
  <c r="B161" i="2"/>
  <c r="E3" i="8"/>
  <c r="E159" i="8" s="1"/>
  <c r="E158" i="8" s="1"/>
  <c r="E157" i="8" s="1"/>
  <c r="E156" i="8" s="1"/>
  <c r="E155" i="8" s="1"/>
  <c r="E154" i="8" s="1"/>
  <c r="E153" i="8" s="1"/>
  <c r="E152" i="8" s="1"/>
  <c r="E151" i="8" s="1"/>
  <c r="E150" i="8" s="1"/>
  <c r="E149" i="8" s="1"/>
  <c r="E148" i="8" s="1"/>
  <c r="E147" i="8" s="1"/>
  <c r="E146" i="8" s="1"/>
  <c r="E145" i="8" s="1"/>
  <c r="E144" i="8" s="1"/>
  <c r="E143" i="8" s="1"/>
  <c r="E142" i="8" s="1"/>
  <c r="E141" i="8" s="1"/>
  <c r="E140" i="8" s="1"/>
  <c r="E139" i="8" s="1"/>
  <c r="E138" i="8" s="1"/>
  <c r="E137" i="8" s="1"/>
  <c r="E136" i="8" s="1"/>
  <c r="E135" i="8" s="1"/>
  <c r="E134" i="8" s="1"/>
  <c r="E133" i="8" s="1"/>
  <c r="E132" i="8" s="1"/>
  <c r="E131" i="8" s="1"/>
  <c r="E130" i="8" s="1"/>
  <c r="E129" i="8" s="1"/>
  <c r="E128" i="8" s="1"/>
  <c r="E127" i="8" s="1"/>
  <c r="E126" i="8" s="1"/>
  <c r="E125" i="8" s="1"/>
  <c r="E124" i="8" s="1"/>
  <c r="E123" i="8" s="1"/>
  <c r="E122" i="8" s="1"/>
  <c r="E121" i="8" s="1"/>
  <c r="E120" i="8" s="1"/>
  <c r="E119" i="8" s="1"/>
  <c r="E118" i="8" s="1"/>
  <c r="E117" i="8" s="1"/>
  <c r="E116" i="8" s="1"/>
  <c r="E115" i="8" s="1"/>
  <c r="E114" i="8" s="1"/>
  <c r="E113" i="8" s="1"/>
  <c r="E112" i="8" s="1"/>
  <c r="E111" i="8" s="1"/>
  <c r="E110" i="8" s="1"/>
  <c r="E109" i="8" s="1"/>
  <c r="E108" i="8" s="1"/>
  <c r="E107" i="8" s="1"/>
  <c r="E106" i="8" s="1"/>
  <c r="E105" i="8" s="1"/>
  <c r="E104" i="8" s="1"/>
  <c r="E103" i="8" s="1"/>
  <c r="E102" i="8" s="1"/>
  <c r="E101" i="8" s="1"/>
  <c r="E100" i="8" s="1"/>
  <c r="E99" i="8" s="1"/>
  <c r="E98" i="8" s="1"/>
  <c r="E97" i="8" s="1"/>
  <c r="E96" i="8" s="1"/>
  <c r="E95" i="8" s="1"/>
  <c r="E94" i="8" s="1"/>
  <c r="E93" i="8" s="1"/>
  <c r="E92" i="8" s="1"/>
  <c r="E91" i="8" s="1"/>
  <c r="E90" i="8" s="1"/>
  <c r="E89" i="8" s="1"/>
  <c r="E88" i="8" s="1"/>
  <c r="E87" i="8" s="1"/>
  <c r="E86" i="8" s="1"/>
  <c r="E85" i="8" s="1"/>
  <c r="E84" i="8" s="1"/>
  <c r="E83" i="8" s="1"/>
  <c r="E82" i="8" s="1"/>
  <c r="E81" i="8" s="1"/>
  <c r="E80" i="8" s="1"/>
  <c r="E79" i="8" s="1"/>
  <c r="E78" i="8" s="1"/>
  <c r="E77" i="8" s="1"/>
  <c r="E76" i="8" s="1"/>
  <c r="E75" i="8" s="1"/>
  <c r="E74" i="8" s="1"/>
  <c r="E73" i="8" s="1"/>
  <c r="E72" i="8" s="1"/>
  <c r="E71" i="8" s="1"/>
  <c r="E70" i="8" s="1"/>
  <c r="E69" i="8" s="1"/>
  <c r="E68" i="8" s="1"/>
  <c r="E67" i="8" s="1"/>
  <c r="E66" i="8" s="1"/>
  <c r="E65" i="8" s="1"/>
  <c r="E64" i="8" s="1"/>
  <c r="E63" i="8" s="1"/>
  <c r="E62" i="8" s="1"/>
  <c r="E61" i="8" s="1"/>
  <c r="E60" i="8" s="1"/>
  <c r="E59" i="8" s="1"/>
  <c r="E58" i="8" s="1"/>
  <c r="E57" i="8" s="1"/>
  <c r="E56" i="8" s="1"/>
  <c r="E55" i="8" s="1"/>
  <c r="E54" i="8" s="1"/>
  <c r="E53" i="8" s="1"/>
  <c r="E52" i="8" s="1"/>
  <c r="E51" i="8" s="1"/>
  <c r="E50" i="8" s="1"/>
  <c r="E49" i="8" s="1"/>
  <c r="E48" i="8" s="1"/>
  <c r="E47" i="8" s="1"/>
  <c r="E46" i="8" s="1"/>
  <c r="E45" i="8" s="1"/>
  <c r="E44" i="8" s="1"/>
  <c r="E43" i="8" s="1"/>
  <c r="E42" i="8" s="1"/>
  <c r="E41" i="8" s="1"/>
  <c r="E40" i="8" s="1"/>
  <c r="E39" i="8" s="1"/>
  <c r="E38" i="8" s="1"/>
  <c r="E37" i="8" s="1"/>
  <c r="E36" i="8" s="1"/>
  <c r="E35" i="8" s="1"/>
  <c r="E34" i="8" s="1"/>
  <c r="E33" i="8" s="1"/>
  <c r="E32" i="8" s="1"/>
  <c r="E31" i="8" s="1"/>
  <c r="E30" i="8" s="1"/>
  <c r="E29" i="8" s="1"/>
  <c r="E28" i="8" s="1"/>
  <c r="E27" i="8" s="1"/>
  <c r="E26" i="8" s="1"/>
  <c r="E25" i="8" s="1"/>
  <c r="E24" i="8" s="1"/>
  <c r="E23" i="8" s="1"/>
  <c r="E22" i="8" s="1"/>
  <c r="E21" i="8" s="1"/>
  <c r="E20" i="8" s="1"/>
  <c r="E19" i="8" s="1"/>
  <c r="E18" i="8" s="1"/>
  <c r="E17" i="8" s="1"/>
  <c r="E16" i="8" s="1"/>
  <c r="E15" i="8" s="1"/>
  <c r="E14" i="8" s="1"/>
  <c r="E13" i="8" s="1"/>
  <c r="E12" i="8" s="1"/>
  <c r="E11" i="8" s="1"/>
  <c r="E10" i="8" s="1"/>
  <c r="E9" i="8" s="1"/>
  <c r="E8" i="8" s="1"/>
  <c r="E7" i="8" s="1"/>
  <c r="E6" i="8" s="1"/>
  <c r="E4" i="8" s="1"/>
  <c r="M50" i="23" l="1"/>
  <c r="N50" i="23" s="1"/>
  <c r="M25" i="23"/>
  <c r="N25" i="23" s="1"/>
  <c r="B53" i="2"/>
  <c r="B57" i="2" s="1"/>
  <c r="B68" i="2" s="1"/>
  <c r="M54" i="23"/>
  <c r="N54" i="23" s="1"/>
  <c r="O54" i="23" s="1"/>
  <c r="M66" i="23"/>
  <c r="N66" i="23" s="1"/>
  <c r="O66" i="23" s="1"/>
  <c r="M98" i="23"/>
  <c r="N98" i="23" s="1"/>
  <c r="O98" i="23" s="1"/>
  <c r="M80" i="23"/>
  <c r="N80" i="23" s="1"/>
  <c r="O80" i="23" s="1"/>
  <c r="M89" i="23"/>
  <c r="N89" i="23" s="1"/>
  <c r="P89" i="23" s="1"/>
  <c r="Q89" i="23" s="1"/>
  <c r="AE89" i="23" s="1"/>
  <c r="M24" i="23"/>
  <c r="N24" i="23" s="1"/>
  <c r="O24" i="23" s="1"/>
  <c r="M97" i="23"/>
  <c r="N97" i="23" s="1"/>
  <c r="O97" i="23" s="1"/>
  <c r="B52" i="2"/>
  <c r="B56" i="2" s="1"/>
  <c r="M60" i="23"/>
  <c r="N60" i="23" s="1"/>
  <c r="O60" i="23" s="1"/>
  <c r="M87" i="23"/>
  <c r="N87" i="23" s="1"/>
  <c r="AF87" i="23" s="1"/>
  <c r="B54" i="2"/>
  <c r="B58" i="2" s="1"/>
  <c r="B154" i="2" s="1"/>
  <c r="M16" i="23"/>
  <c r="N16" i="23" s="1"/>
  <c r="O16" i="23" s="1"/>
  <c r="M86" i="23"/>
  <c r="N86" i="23" s="1"/>
  <c r="P86" i="23" s="1"/>
  <c r="Q86" i="23" s="1"/>
  <c r="AE86" i="23" s="1"/>
  <c r="M93" i="23"/>
  <c r="N93" i="23" s="1"/>
  <c r="V93" i="23" s="1"/>
  <c r="M109" i="23"/>
  <c r="N109" i="23" s="1"/>
  <c r="P109" i="23" s="1"/>
  <c r="Q109" i="23" s="1"/>
  <c r="AE109" i="23" s="1"/>
  <c r="M76" i="23"/>
  <c r="N76" i="23" s="1"/>
  <c r="AF76" i="23" s="1"/>
  <c r="M58" i="23"/>
  <c r="N58" i="23" s="1"/>
  <c r="O58" i="23" s="1"/>
  <c r="M32" i="23"/>
  <c r="N32" i="23" s="1"/>
  <c r="P32" i="23" s="1"/>
  <c r="Q32" i="23" s="1"/>
  <c r="AE32" i="23" s="1"/>
  <c r="M14" i="23"/>
  <c r="N14" i="23" s="1"/>
  <c r="O14" i="23" s="1"/>
  <c r="M19" i="23"/>
  <c r="N19" i="23" s="1"/>
  <c r="O19" i="23" s="1"/>
  <c r="M47" i="23"/>
  <c r="N47" i="23" s="1"/>
  <c r="P47" i="23" s="1"/>
  <c r="Q47" i="23" s="1"/>
  <c r="AE47" i="23" s="1"/>
  <c r="M30" i="23"/>
  <c r="N30" i="23" s="1"/>
  <c r="O30" i="23" s="1"/>
  <c r="C65" i="16"/>
  <c r="D65" i="16" s="1"/>
  <c r="B95" i="2"/>
  <c r="E20" i="1" s="1"/>
  <c r="C64" i="16"/>
  <c r="B183" i="2"/>
  <c r="B192" i="2" s="1"/>
  <c r="B42" i="2"/>
  <c r="B44" i="2" s="1"/>
  <c r="E27" i="1" s="1"/>
  <c r="D63" i="2"/>
  <c r="D197" i="2"/>
  <c r="F6" i="25" s="1"/>
  <c r="D194" i="2"/>
  <c r="O48" i="23"/>
  <c r="P48" i="23"/>
  <c r="Q48" i="23" s="1"/>
  <c r="AE48" i="23" s="1"/>
  <c r="O18" i="23"/>
  <c r="P18" i="23"/>
  <c r="Q18" i="23" s="1"/>
  <c r="AE18" i="23" s="1"/>
  <c r="P92" i="23"/>
  <c r="Q92" i="23" s="1"/>
  <c r="AE92" i="23" s="1"/>
  <c r="O92" i="23"/>
  <c r="O64" i="23"/>
  <c r="P64" i="23"/>
  <c r="Q64" i="23" s="1"/>
  <c r="AE64" i="23" s="1"/>
  <c r="P90" i="23"/>
  <c r="Q90" i="23" s="1"/>
  <c r="AE90" i="23" s="1"/>
  <c r="O90" i="23"/>
  <c r="P28" i="23"/>
  <c r="Q28" i="23" s="1"/>
  <c r="AE28" i="23" s="1"/>
  <c r="O28" i="23"/>
  <c r="O81" i="23"/>
  <c r="P81" i="23"/>
  <c r="Q81" i="23" s="1"/>
  <c r="AE81" i="23" s="1"/>
  <c r="O71" i="23"/>
  <c r="P71" i="23"/>
  <c r="Q71" i="23" s="1"/>
  <c r="AE71" i="23" s="1"/>
  <c r="P53" i="23"/>
  <c r="Q53" i="23" s="1"/>
  <c r="AE53" i="23" s="1"/>
  <c r="O53" i="23"/>
  <c r="O13" i="23"/>
  <c r="P13" i="23"/>
  <c r="Q13" i="23" s="1"/>
  <c r="AE13" i="23" s="1"/>
  <c r="P74" i="23"/>
  <c r="Q74" i="23" s="1"/>
  <c r="AE74" i="23" s="1"/>
  <c r="O74" i="23"/>
  <c r="P95" i="23"/>
  <c r="Q95" i="23" s="1"/>
  <c r="AE95" i="23" s="1"/>
  <c r="O95" i="23"/>
  <c r="P33" i="23"/>
  <c r="Q33" i="23" s="1"/>
  <c r="AE33" i="23" s="1"/>
  <c r="O33" i="23"/>
  <c r="O68" i="23"/>
  <c r="P68" i="23"/>
  <c r="Q68" i="23" s="1"/>
  <c r="AE68" i="23" s="1"/>
  <c r="P40" i="23"/>
  <c r="Q40" i="23" s="1"/>
  <c r="AE40" i="23" s="1"/>
  <c r="O40" i="23"/>
  <c r="O75" i="23"/>
  <c r="P75" i="23"/>
  <c r="Q75" i="23" s="1"/>
  <c r="AE75" i="23" s="1"/>
  <c r="O108" i="23"/>
  <c r="P108" i="23"/>
  <c r="Q108" i="23" s="1"/>
  <c r="AE108" i="23" s="1"/>
  <c r="O67" i="23"/>
  <c r="P67" i="23"/>
  <c r="Q67" i="23" s="1"/>
  <c r="AE67" i="23" s="1"/>
  <c r="P99" i="23"/>
  <c r="Q99" i="23" s="1"/>
  <c r="AE99" i="23" s="1"/>
  <c r="O99" i="23"/>
  <c r="P96" i="23"/>
  <c r="Q96" i="23" s="1"/>
  <c r="AE96" i="23" s="1"/>
  <c r="O96" i="23"/>
  <c r="O70" i="23"/>
  <c r="P70" i="23"/>
  <c r="Q70" i="23" s="1"/>
  <c r="AE70" i="23" s="1"/>
  <c r="O35" i="23"/>
  <c r="P35" i="23"/>
  <c r="Q35" i="23" s="1"/>
  <c r="AE35" i="23" s="1"/>
  <c r="P46" i="23"/>
  <c r="Q46" i="23" s="1"/>
  <c r="AE46" i="23" s="1"/>
  <c r="O46" i="23"/>
  <c r="O51" i="23"/>
  <c r="P51" i="23"/>
  <c r="Q51" i="23" s="1"/>
  <c r="AE51" i="23" s="1"/>
  <c r="O103" i="23"/>
  <c r="P103" i="23"/>
  <c r="Q103" i="23" s="1"/>
  <c r="AE103" i="23" s="1"/>
  <c r="P85" i="23"/>
  <c r="Q85" i="23" s="1"/>
  <c r="AE85" i="23" s="1"/>
  <c r="O85" i="23"/>
  <c r="O38" i="23"/>
  <c r="P38" i="23"/>
  <c r="Q38" i="23" s="1"/>
  <c r="AE38" i="23" s="1"/>
  <c r="O37" i="23"/>
  <c r="P37" i="23"/>
  <c r="Q37" i="23" s="1"/>
  <c r="AE37" i="23" s="1"/>
  <c r="O94" i="23"/>
  <c r="P94" i="23"/>
  <c r="Q94" i="23" s="1"/>
  <c r="AE94" i="23" s="1"/>
  <c r="O17" i="23"/>
  <c r="P17" i="23"/>
  <c r="Q17" i="23" s="1"/>
  <c r="AE17" i="23" s="1"/>
  <c r="O100" i="23"/>
  <c r="P100" i="23"/>
  <c r="Q100" i="23" s="1"/>
  <c r="AE100" i="23" s="1"/>
  <c r="O50" i="23"/>
  <c r="P50" i="23"/>
  <c r="Q50" i="23" s="1"/>
  <c r="AE50" i="23" s="1"/>
  <c r="O10" i="23"/>
  <c r="P10" i="23"/>
  <c r="Q10" i="23" s="1"/>
  <c r="AE10" i="23" s="1"/>
  <c r="O91" i="23"/>
  <c r="P91" i="23"/>
  <c r="Q91" i="23" s="1"/>
  <c r="AE91" i="23" s="1"/>
  <c r="O88" i="23"/>
  <c r="P88" i="23"/>
  <c r="Q88" i="23" s="1"/>
  <c r="AE88" i="23" s="1"/>
  <c r="P15" i="23"/>
  <c r="Q15" i="23" s="1"/>
  <c r="AE15" i="23" s="1"/>
  <c r="O15" i="23"/>
  <c r="O72" i="23"/>
  <c r="P72" i="23"/>
  <c r="Q72" i="23" s="1"/>
  <c r="AE72" i="23" s="1"/>
  <c r="P54" i="23"/>
  <c r="Q54" i="23" s="1"/>
  <c r="AE54" i="23" s="1"/>
  <c r="P98" i="23"/>
  <c r="Q98" i="23" s="1"/>
  <c r="AE98" i="23" s="1"/>
  <c r="P44" i="23"/>
  <c r="Q44" i="23" s="1"/>
  <c r="AE44" i="23" s="1"/>
  <c r="O44" i="23"/>
  <c r="O20" i="23"/>
  <c r="P20" i="23"/>
  <c r="Q20" i="23" s="1"/>
  <c r="AE20" i="23" s="1"/>
  <c r="P62" i="23"/>
  <c r="Q62" i="23" s="1"/>
  <c r="AE62" i="23" s="1"/>
  <c r="O62" i="23"/>
  <c r="O31" i="23"/>
  <c r="P31" i="23"/>
  <c r="Q31" i="23" s="1"/>
  <c r="AE31" i="23" s="1"/>
  <c r="O83" i="23"/>
  <c r="P83" i="23"/>
  <c r="Q83" i="23" s="1"/>
  <c r="AE83" i="23" s="1"/>
  <c r="O101" i="23"/>
  <c r="P101" i="23"/>
  <c r="Q101" i="23" s="1"/>
  <c r="AE101" i="23" s="1"/>
  <c r="O82" i="23"/>
  <c r="P82" i="23"/>
  <c r="Q82" i="23" s="1"/>
  <c r="AE82" i="23" s="1"/>
  <c r="O34" i="23"/>
  <c r="P34" i="23"/>
  <c r="Q34" i="23" s="1"/>
  <c r="AE34" i="23" s="1"/>
  <c r="O26" i="23"/>
  <c r="P26" i="23"/>
  <c r="Q26" i="23" s="1"/>
  <c r="AE26" i="23" s="1"/>
  <c r="O102" i="23"/>
  <c r="P102" i="23"/>
  <c r="Q102" i="23" s="1"/>
  <c r="AE102" i="23" s="1"/>
  <c r="P104" i="23"/>
  <c r="Q104" i="23" s="1"/>
  <c r="AE104" i="23" s="1"/>
  <c r="O104" i="23"/>
  <c r="O105" i="23"/>
  <c r="P105" i="23"/>
  <c r="Q105" i="23" s="1"/>
  <c r="AE105" i="23" s="1"/>
  <c r="P41" i="23"/>
  <c r="Q41" i="23" s="1"/>
  <c r="AE41" i="23" s="1"/>
  <c r="O41" i="23"/>
  <c r="O43" i="23"/>
  <c r="P43" i="23"/>
  <c r="Q43" i="23" s="1"/>
  <c r="AE43" i="23" s="1"/>
  <c r="O12" i="23"/>
  <c r="P12" i="23"/>
  <c r="Q12" i="23" s="1"/>
  <c r="AE12" i="23" s="1"/>
  <c r="O59" i="23"/>
  <c r="P59" i="23"/>
  <c r="Q59" i="23" s="1"/>
  <c r="AE59" i="23" s="1"/>
  <c r="O36" i="23"/>
  <c r="P36" i="23"/>
  <c r="Q36" i="23" s="1"/>
  <c r="AE36" i="23" s="1"/>
  <c r="P45" i="23"/>
  <c r="Q45" i="23" s="1"/>
  <c r="AE45" i="23" s="1"/>
  <c r="O45" i="23"/>
  <c r="O29" i="23"/>
  <c r="P29" i="23"/>
  <c r="Q29" i="23" s="1"/>
  <c r="AE29" i="23" s="1"/>
  <c r="O55" i="23"/>
  <c r="P55" i="23"/>
  <c r="Q55" i="23" s="1"/>
  <c r="AE55" i="23" s="1"/>
  <c r="O69" i="23"/>
  <c r="P69" i="23"/>
  <c r="Q69" i="23" s="1"/>
  <c r="AE69" i="23" s="1"/>
  <c r="P79" i="23"/>
  <c r="Q79" i="23" s="1"/>
  <c r="AE79" i="23" s="1"/>
  <c r="O79" i="23"/>
  <c r="O106" i="23"/>
  <c r="P106" i="23"/>
  <c r="Q106" i="23" s="1"/>
  <c r="AE106" i="23" s="1"/>
  <c r="O73" i="23"/>
  <c r="P73" i="23"/>
  <c r="Q73" i="23" s="1"/>
  <c r="AE73" i="23" s="1"/>
  <c r="P22" i="23"/>
  <c r="Q22" i="23" s="1"/>
  <c r="AE22" i="23" s="1"/>
  <c r="O22" i="23"/>
  <c r="O11" i="23"/>
  <c r="P11" i="23"/>
  <c r="Q11" i="23" s="1"/>
  <c r="AE11" i="23" s="1"/>
  <c r="O52" i="23"/>
  <c r="P52" i="23"/>
  <c r="Q52" i="23" s="1"/>
  <c r="AE52" i="23" s="1"/>
  <c r="O42" i="23"/>
  <c r="P42" i="23"/>
  <c r="Q42" i="23" s="1"/>
  <c r="AE42" i="23" s="1"/>
  <c r="P21" i="23"/>
  <c r="Q21" i="23" s="1"/>
  <c r="AE21" i="23" s="1"/>
  <c r="O21" i="23"/>
  <c r="O107" i="23"/>
  <c r="P107" i="23"/>
  <c r="Q107" i="23" s="1"/>
  <c r="AE107" i="23" s="1"/>
  <c r="P77" i="23"/>
  <c r="Q77" i="23" s="1"/>
  <c r="AE77" i="23" s="1"/>
  <c r="O77" i="23"/>
  <c r="O25" i="23"/>
  <c r="P25" i="23"/>
  <c r="Q25" i="23" s="1"/>
  <c r="AE25" i="23" s="1"/>
  <c r="P61" i="23"/>
  <c r="Q61" i="23" s="1"/>
  <c r="AE61" i="23" s="1"/>
  <c r="O61" i="23"/>
  <c r="P57" i="23"/>
  <c r="Q57" i="23" s="1"/>
  <c r="AE57" i="23" s="1"/>
  <c r="O57" i="23"/>
  <c r="O84" i="23"/>
  <c r="P84" i="23"/>
  <c r="Q84" i="23" s="1"/>
  <c r="AE84" i="23" s="1"/>
  <c r="P27" i="23"/>
  <c r="Q27" i="23" s="1"/>
  <c r="AE27" i="23" s="1"/>
  <c r="O27" i="23"/>
  <c r="P49" i="23"/>
  <c r="Q49" i="23" s="1"/>
  <c r="AE49" i="23" s="1"/>
  <c r="O49" i="23"/>
  <c r="O65" i="23"/>
  <c r="P65" i="23"/>
  <c r="Q65" i="23" s="1"/>
  <c r="AE65" i="23" s="1"/>
  <c r="O78" i="23"/>
  <c r="P78" i="23"/>
  <c r="Q78" i="23" s="1"/>
  <c r="AE78" i="23" s="1"/>
  <c r="P63" i="23"/>
  <c r="Q63" i="23" s="1"/>
  <c r="AE63" i="23" s="1"/>
  <c r="O63" i="23"/>
  <c r="O23" i="23"/>
  <c r="P23" i="23"/>
  <c r="Q23" i="23" s="1"/>
  <c r="AE23" i="23" s="1"/>
  <c r="P39" i="23"/>
  <c r="Q39" i="23" s="1"/>
  <c r="AE39" i="23" s="1"/>
  <c r="O39" i="23"/>
  <c r="O32" i="23"/>
  <c r="P14" i="23"/>
  <c r="Q14" i="23" s="1"/>
  <c r="AE14" i="23" s="1"/>
  <c r="O56" i="23"/>
  <c r="P56" i="23"/>
  <c r="Q56" i="23" s="1"/>
  <c r="AE56" i="23" s="1"/>
  <c r="M131" i="2"/>
  <c r="D131" i="2"/>
  <c r="K131" i="2"/>
  <c r="K134" i="2" s="1"/>
  <c r="P9" i="21"/>
  <c r="Q9" i="21" s="1"/>
  <c r="AE9" i="21" s="1"/>
  <c r="O9" i="21"/>
  <c r="B323" i="2"/>
  <c r="B324" i="2" s="1"/>
  <c r="E104" i="1" s="1"/>
  <c r="E103" i="1"/>
  <c r="F613" i="25"/>
  <c r="F611" i="25"/>
  <c r="C633" i="25"/>
  <c r="E613" i="25"/>
  <c r="E611" i="25"/>
  <c r="E609" i="25"/>
  <c r="A623" i="25"/>
  <c r="E612" i="25"/>
  <c r="E610" i="25"/>
  <c r="E608" i="25"/>
  <c r="E605" i="25"/>
  <c r="E603" i="25"/>
  <c r="E601" i="25"/>
  <c r="E599" i="25"/>
  <c r="E597" i="25"/>
  <c r="F610" i="25"/>
  <c r="F608" i="25"/>
  <c r="F607" i="25"/>
  <c r="F606" i="25"/>
  <c r="F604" i="25"/>
  <c r="F602" i="25"/>
  <c r="F600" i="25"/>
  <c r="F598" i="25"/>
  <c r="F605" i="25"/>
  <c r="F603" i="25"/>
  <c r="F601" i="25"/>
  <c r="F599" i="25"/>
  <c r="F597" i="25"/>
  <c r="F595" i="25"/>
  <c r="F593" i="25"/>
  <c r="E607" i="25"/>
  <c r="E604" i="25"/>
  <c r="E594" i="25"/>
  <c r="F592" i="25"/>
  <c r="F590" i="25"/>
  <c r="F588" i="25"/>
  <c r="F586" i="25"/>
  <c r="F612" i="25"/>
  <c r="E606" i="25"/>
  <c r="E598" i="25"/>
  <c r="E592" i="25"/>
  <c r="E590" i="25"/>
  <c r="E588" i="25"/>
  <c r="E586" i="25"/>
  <c r="E584" i="25"/>
  <c r="E602" i="25"/>
  <c r="E596" i="25"/>
  <c r="F594" i="25"/>
  <c r="E593" i="25"/>
  <c r="E591" i="25"/>
  <c r="E589" i="25"/>
  <c r="E587" i="25"/>
  <c r="E585" i="25"/>
  <c r="E583" i="25"/>
  <c r="E581" i="25"/>
  <c r="E579" i="25"/>
  <c r="F609" i="25"/>
  <c r="E600" i="25"/>
  <c r="F591" i="25"/>
  <c r="E582" i="25"/>
  <c r="F581" i="25"/>
  <c r="F580" i="25"/>
  <c r="E577" i="25"/>
  <c r="E575" i="25"/>
  <c r="E573" i="25"/>
  <c r="E571" i="25"/>
  <c r="E569" i="25"/>
  <c r="E567" i="25"/>
  <c r="E565" i="25"/>
  <c r="E563" i="25"/>
  <c r="E561" i="25"/>
  <c r="E559" i="25"/>
  <c r="E557" i="25"/>
  <c r="F585" i="25"/>
  <c r="E580" i="25"/>
  <c r="F579" i="25"/>
  <c r="F578" i="25"/>
  <c r="F576" i="25"/>
  <c r="F574" i="25"/>
  <c r="F572" i="25"/>
  <c r="F570" i="25"/>
  <c r="F568" i="25"/>
  <c r="F566" i="25"/>
  <c r="F596" i="25"/>
  <c r="E595" i="25"/>
  <c r="F589" i="25"/>
  <c r="F584" i="25"/>
  <c r="F583" i="25"/>
  <c r="F582" i="25"/>
  <c r="F577" i="25"/>
  <c r="F575" i="25"/>
  <c r="F573" i="25"/>
  <c r="F571" i="25"/>
  <c r="F569" i="25"/>
  <c r="F567" i="25"/>
  <c r="E576" i="25"/>
  <c r="E568" i="25"/>
  <c r="F565" i="25"/>
  <c r="E560" i="25"/>
  <c r="F559" i="25"/>
  <c r="F558" i="25"/>
  <c r="E556" i="25"/>
  <c r="E554" i="25"/>
  <c r="E552" i="25"/>
  <c r="E550" i="25"/>
  <c r="E548" i="25"/>
  <c r="E546" i="25"/>
  <c r="E544" i="25"/>
  <c r="E542" i="25"/>
  <c r="E540" i="25"/>
  <c r="E538" i="25"/>
  <c r="E536" i="25"/>
  <c r="E534" i="25"/>
  <c r="E532" i="25"/>
  <c r="E530" i="25"/>
  <c r="E528" i="25"/>
  <c r="E526" i="25"/>
  <c r="E570" i="25"/>
  <c r="F564" i="25"/>
  <c r="E558" i="25"/>
  <c r="F557" i="25"/>
  <c r="F555" i="25"/>
  <c r="F553" i="25"/>
  <c r="F551" i="25"/>
  <c r="F549" i="25"/>
  <c r="F547" i="25"/>
  <c r="F545" i="25"/>
  <c r="F543" i="25"/>
  <c r="F541" i="25"/>
  <c r="F539" i="25"/>
  <c r="E578" i="25"/>
  <c r="E574" i="25"/>
  <c r="E566" i="25"/>
  <c r="E562" i="25"/>
  <c r="F561" i="25"/>
  <c r="F560" i="25"/>
  <c r="F556" i="25"/>
  <c r="F554" i="25"/>
  <c r="F552" i="25"/>
  <c r="F550" i="25"/>
  <c r="F548" i="25"/>
  <c r="F546" i="25"/>
  <c r="F544" i="25"/>
  <c r="F542" i="25"/>
  <c r="F540" i="25"/>
  <c r="E572" i="25"/>
  <c r="E549" i="25"/>
  <c r="E541" i="25"/>
  <c r="F538" i="25"/>
  <c r="F537" i="25"/>
  <c r="E531" i="25"/>
  <c r="F530" i="25"/>
  <c r="F529" i="25"/>
  <c r="E564" i="25"/>
  <c r="F563" i="25"/>
  <c r="F562" i="25"/>
  <c r="E551" i="25"/>
  <c r="E543" i="25"/>
  <c r="E537" i="25"/>
  <c r="F536" i="25"/>
  <c r="F535" i="25"/>
  <c r="E529" i="25"/>
  <c r="F528" i="25"/>
  <c r="F527" i="25"/>
  <c r="E524" i="25"/>
  <c r="E555" i="25"/>
  <c r="E547" i="25"/>
  <c r="E539" i="25"/>
  <c r="E533" i="25"/>
  <c r="F532" i="25"/>
  <c r="F531" i="25"/>
  <c r="E525" i="25"/>
  <c r="E523" i="25"/>
  <c r="E521" i="25"/>
  <c r="E519" i="25"/>
  <c r="E517" i="25"/>
  <c r="E515" i="25"/>
  <c r="E513" i="25"/>
  <c r="E553" i="25"/>
  <c r="E527" i="25"/>
  <c r="F526" i="25"/>
  <c r="F525" i="25"/>
  <c r="E518" i="25"/>
  <c r="F517" i="25"/>
  <c r="F516" i="25"/>
  <c r="E510" i="25"/>
  <c r="E508" i="25"/>
  <c r="E506" i="25"/>
  <c r="E504" i="25"/>
  <c r="E502" i="25"/>
  <c r="E500" i="25"/>
  <c r="E498" i="25"/>
  <c r="E496" i="25"/>
  <c r="E494" i="25"/>
  <c r="E492" i="25"/>
  <c r="E490" i="25"/>
  <c r="E488" i="25"/>
  <c r="E486" i="25"/>
  <c r="E484" i="25"/>
  <c r="E482" i="25"/>
  <c r="E480" i="25"/>
  <c r="E478" i="25"/>
  <c r="E476" i="25"/>
  <c r="E474" i="25"/>
  <c r="E472" i="25"/>
  <c r="E470" i="25"/>
  <c r="E468" i="25"/>
  <c r="E466" i="25"/>
  <c r="F587" i="25"/>
  <c r="F524" i="25"/>
  <c r="F523" i="25"/>
  <c r="F522" i="25"/>
  <c r="E516" i="25"/>
  <c r="F515" i="25"/>
  <c r="F514" i="25"/>
  <c r="F511" i="25"/>
  <c r="F509" i="25"/>
  <c r="F507" i="25"/>
  <c r="F505" i="25"/>
  <c r="F503" i="25"/>
  <c r="F501" i="25"/>
  <c r="F499" i="25"/>
  <c r="F497" i="25"/>
  <c r="F495" i="25"/>
  <c r="F493" i="25"/>
  <c r="F491" i="25"/>
  <c r="F489" i="25"/>
  <c r="F487" i="25"/>
  <c r="F485" i="25"/>
  <c r="F483" i="25"/>
  <c r="E545" i="25"/>
  <c r="E535" i="25"/>
  <c r="F534" i="25"/>
  <c r="F533" i="25"/>
  <c r="E520" i="25"/>
  <c r="F519" i="25"/>
  <c r="F518" i="25"/>
  <c r="E512" i="25"/>
  <c r="F510" i="25"/>
  <c r="F508" i="25"/>
  <c r="F506" i="25"/>
  <c r="F504" i="25"/>
  <c r="F502" i="25"/>
  <c r="F500" i="25"/>
  <c r="F498" i="25"/>
  <c r="F496" i="25"/>
  <c r="F494" i="25"/>
  <c r="F492" i="25"/>
  <c r="F490" i="25"/>
  <c r="F488" i="25"/>
  <c r="F486" i="25"/>
  <c r="E509" i="25"/>
  <c r="E501" i="25"/>
  <c r="E493" i="25"/>
  <c r="E485" i="25"/>
  <c r="F482" i="25"/>
  <c r="F481" i="25"/>
  <c r="E475" i="25"/>
  <c r="F474" i="25"/>
  <c r="F473" i="25"/>
  <c r="E467" i="25"/>
  <c r="F466" i="25"/>
  <c r="F465" i="25"/>
  <c r="F463" i="25"/>
  <c r="F461" i="25"/>
  <c r="F459" i="25"/>
  <c r="F457" i="25"/>
  <c r="F455" i="25"/>
  <c r="F453" i="25"/>
  <c r="F451" i="25"/>
  <c r="F449" i="25"/>
  <c r="F447" i="25"/>
  <c r="F445" i="25"/>
  <c r="F443" i="25"/>
  <c r="F441" i="25"/>
  <c r="F439" i="25"/>
  <c r="F437" i="25"/>
  <c r="F435" i="25"/>
  <c r="F433" i="25"/>
  <c r="F431" i="25"/>
  <c r="F429" i="25"/>
  <c r="F427" i="25"/>
  <c r="F425" i="25"/>
  <c r="F423" i="25"/>
  <c r="F421" i="25"/>
  <c r="F419" i="25"/>
  <c r="F417" i="25"/>
  <c r="F415" i="25"/>
  <c r="F413" i="25"/>
  <c r="F411" i="25"/>
  <c r="F409" i="25"/>
  <c r="F407" i="25"/>
  <c r="F405" i="25"/>
  <c r="F403" i="25"/>
  <c r="F401" i="25"/>
  <c r="E511" i="25"/>
  <c r="E503" i="25"/>
  <c r="E495" i="25"/>
  <c r="E487" i="25"/>
  <c r="F484" i="25"/>
  <c r="E481" i="25"/>
  <c r="F480" i="25"/>
  <c r="F479" i="25"/>
  <c r="E473" i="25"/>
  <c r="F472" i="25"/>
  <c r="F471" i="25"/>
  <c r="E465" i="25"/>
  <c r="E463" i="25"/>
  <c r="E461" i="25"/>
  <c r="E459" i="25"/>
  <c r="E457" i="25"/>
  <c r="E455" i="25"/>
  <c r="E453" i="25"/>
  <c r="E451" i="25"/>
  <c r="E449" i="25"/>
  <c r="E447" i="25"/>
  <c r="E445" i="25"/>
  <c r="E443" i="25"/>
  <c r="E441" i="25"/>
  <c r="E439" i="25"/>
  <c r="E437" i="25"/>
  <c r="E435" i="25"/>
  <c r="E433" i="25"/>
  <c r="E431" i="25"/>
  <c r="E429" i="25"/>
  <c r="E514" i="25"/>
  <c r="F513" i="25"/>
  <c r="F512" i="25"/>
  <c r="E507" i="25"/>
  <c r="E499" i="25"/>
  <c r="E491" i="25"/>
  <c r="E483" i="25"/>
  <c r="E477" i="25"/>
  <c r="F476" i="25"/>
  <c r="F475" i="25"/>
  <c r="E469" i="25"/>
  <c r="F468" i="25"/>
  <c r="F467" i="25"/>
  <c r="E464" i="25"/>
  <c r="E462" i="25"/>
  <c r="E460" i="25"/>
  <c r="E458" i="25"/>
  <c r="E456" i="25"/>
  <c r="E454" i="25"/>
  <c r="E452" i="25"/>
  <c r="E450" i="25"/>
  <c r="E448" i="25"/>
  <c r="E446" i="25"/>
  <c r="E444" i="25"/>
  <c r="E442" i="25"/>
  <c r="E440" i="25"/>
  <c r="E438" i="25"/>
  <c r="E436" i="25"/>
  <c r="E434" i="25"/>
  <c r="E432" i="25"/>
  <c r="E430" i="25"/>
  <c r="E522" i="25"/>
  <c r="F520" i="25"/>
  <c r="E497" i="25"/>
  <c r="E479" i="25"/>
  <c r="F478" i="25"/>
  <c r="F477" i="25"/>
  <c r="F462" i="25"/>
  <c r="F454" i="25"/>
  <c r="F446" i="25"/>
  <c r="F438" i="25"/>
  <c r="F430" i="25"/>
  <c r="E424" i="25"/>
  <c r="F422" i="25"/>
  <c r="E421" i="25"/>
  <c r="E416" i="25"/>
  <c r="F414" i="25"/>
  <c r="E413" i="25"/>
  <c r="E408" i="25"/>
  <c r="F406" i="25"/>
  <c r="E405" i="25"/>
  <c r="E505" i="25"/>
  <c r="E471" i="25"/>
  <c r="F470" i="25"/>
  <c r="F469" i="25"/>
  <c r="F464" i="25"/>
  <c r="F456" i="25"/>
  <c r="F448" i="25"/>
  <c r="F440" i="25"/>
  <c r="F432" i="25"/>
  <c r="E427" i="25"/>
  <c r="E422" i="25"/>
  <c r="F420" i="25"/>
  <c r="E419" i="25"/>
  <c r="E414" i="25"/>
  <c r="F412" i="25"/>
  <c r="E411" i="25"/>
  <c r="E406" i="25"/>
  <c r="F404" i="25"/>
  <c r="E403" i="25"/>
  <c r="E489" i="25"/>
  <c r="F460" i="25"/>
  <c r="F452" i="25"/>
  <c r="F444" i="25"/>
  <c r="F436" i="25"/>
  <c r="E428" i="25"/>
  <c r="E426" i="25"/>
  <c r="F424" i="25"/>
  <c r="E423" i="25"/>
  <c r="E418" i="25"/>
  <c r="F416" i="25"/>
  <c r="E415" i="25"/>
  <c r="E410" i="25"/>
  <c r="F408" i="25"/>
  <c r="E407" i="25"/>
  <c r="E402" i="25"/>
  <c r="F400" i="25"/>
  <c r="F398" i="25"/>
  <c r="F396" i="25"/>
  <c r="F394" i="25"/>
  <c r="F392" i="25"/>
  <c r="F390" i="25"/>
  <c r="F388" i="25"/>
  <c r="F386" i="25"/>
  <c r="F384" i="25"/>
  <c r="F382" i="25"/>
  <c r="F380" i="25"/>
  <c r="F378" i="25"/>
  <c r="F376" i="25"/>
  <c r="F434" i="25"/>
  <c r="F418" i="25"/>
  <c r="E417" i="25"/>
  <c r="E412" i="25"/>
  <c r="E397" i="25"/>
  <c r="F395" i="25"/>
  <c r="E394" i="25"/>
  <c r="E389" i="25"/>
  <c r="F387" i="25"/>
  <c r="E386" i="25"/>
  <c r="E381" i="25"/>
  <c r="F379" i="25"/>
  <c r="E378" i="25"/>
  <c r="F374" i="25"/>
  <c r="F372" i="25"/>
  <c r="F370" i="25"/>
  <c r="F368" i="25"/>
  <c r="F366" i="25"/>
  <c r="F364" i="25"/>
  <c r="F362" i="25"/>
  <c r="F360" i="25"/>
  <c r="F358" i="25"/>
  <c r="F356" i="25"/>
  <c r="F354" i="25"/>
  <c r="F352" i="25"/>
  <c r="F350" i="25"/>
  <c r="F348" i="25"/>
  <c r="F346" i="25"/>
  <c r="F344" i="25"/>
  <c r="F342" i="25"/>
  <c r="F340" i="25"/>
  <c r="F338" i="25"/>
  <c r="F336" i="25"/>
  <c r="F334" i="25"/>
  <c r="F332" i="25"/>
  <c r="F330" i="25"/>
  <c r="F328" i="25"/>
  <c r="F326" i="25"/>
  <c r="F324" i="25"/>
  <c r="F322" i="25"/>
  <c r="F320" i="25"/>
  <c r="F318" i="25"/>
  <c r="F316" i="25"/>
  <c r="F314" i="25"/>
  <c r="F312" i="25"/>
  <c r="F310" i="25"/>
  <c r="F308" i="25"/>
  <c r="F306" i="25"/>
  <c r="F304" i="25"/>
  <c r="F302" i="25"/>
  <c r="F300" i="25"/>
  <c r="F298" i="25"/>
  <c r="F296" i="25"/>
  <c r="F294" i="25"/>
  <c r="F292" i="25"/>
  <c r="F290" i="25"/>
  <c r="F288" i="25"/>
  <c r="F286" i="25"/>
  <c r="F284" i="25"/>
  <c r="F282" i="25"/>
  <c r="F280" i="25"/>
  <c r="F521" i="25"/>
  <c r="F442" i="25"/>
  <c r="F410" i="25"/>
  <c r="E409" i="25"/>
  <c r="E404" i="25"/>
  <c r="E400" i="25"/>
  <c r="E395" i="25"/>
  <c r="F393" i="25"/>
  <c r="E392" i="25"/>
  <c r="E387" i="25"/>
  <c r="F385" i="25"/>
  <c r="E384" i="25"/>
  <c r="E379" i="25"/>
  <c r="F377" i="25"/>
  <c r="E376" i="25"/>
  <c r="E374" i="25"/>
  <c r="E372" i="25"/>
  <c r="E370" i="25"/>
  <c r="E368" i="25"/>
  <c r="E366" i="25"/>
  <c r="F458" i="25"/>
  <c r="F426" i="25"/>
  <c r="E425" i="25"/>
  <c r="E420" i="25"/>
  <c r="E399" i="25"/>
  <c r="F397" i="25"/>
  <c r="E396" i="25"/>
  <c r="E391" i="25"/>
  <c r="F389" i="25"/>
  <c r="E388" i="25"/>
  <c r="E383" i="25"/>
  <c r="F381" i="25"/>
  <c r="E380" i="25"/>
  <c r="E375" i="25"/>
  <c r="E373" i="25"/>
  <c r="E371" i="25"/>
  <c r="E369" i="25"/>
  <c r="E367" i="25"/>
  <c r="E365" i="25"/>
  <c r="E363" i="25"/>
  <c r="E361" i="25"/>
  <c r="E359" i="25"/>
  <c r="E357" i="25"/>
  <c r="E355" i="25"/>
  <c r="E353" i="25"/>
  <c r="E351" i="25"/>
  <c r="E349" i="25"/>
  <c r="E347" i="25"/>
  <c r="E345" i="25"/>
  <c r="F450" i="25"/>
  <c r="F391" i="25"/>
  <c r="E390" i="25"/>
  <c r="E385" i="25"/>
  <c r="F371" i="25"/>
  <c r="E364" i="25"/>
  <c r="F363" i="25"/>
  <c r="E360" i="25"/>
  <c r="F359" i="25"/>
  <c r="E356" i="25"/>
  <c r="F355" i="25"/>
  <c r="E352" i="25"/>
  <c r="F351" i="25"/>
  <c r="E348" i="25"/>
  <c r="F347" i="25"/>
  <c r="E344" i="25"/>
  <c r="E339" i="25"/>
  <c r="F337" i="25"/>
  <c r="E336" i="25"/>
  <c r="E331" i="25"/>
  <c r="F329" i="25"/>
  <c r="E328" i="25"/>
  <c r="E323" i="25"/>
  <c r="F321" i="25"/>
  <c r="E320" i="25"/>
  <c r="E315" i="25"/>
  <c r="F313" i="25"/>
  <c r="E312" i="25"/>
  <c r="E307" i="25"/>
  <c r="F305" i="25"/>
  <c r="E304" i="25"/>
  <c r="E299" i="25"/>
  <c r="F297" i="25"/>
  <c r="E296" i="25"/>
  <c r="E291" i="25"/>
  <c r="F289" i="25"/>
  <c r="E288" i="25"/>
  <c r="E283" i="25"/>
  <c r="F281" i="25"/>
  <c r="E280" i="25"/>
  <c r="F277" i="25"/>
  <c r="F275" i="25"/>
  <c r="F273" i="25"/>
  <c r="F271" i="25"/>
  <c r="F269" i="25"/>
  <c r="F267" i="25"/>
  <c r="F265" i="25"/>
  <c r="F402" i="25"/>
  <c r="F383" i="25"/>
  <c r="E382" i="25"/>
  <c r="E377" i="25"/>
  <c r="F373" i="25"/>
  <c r="F365" i="25"/>
  <c r="F343" i="25"/>
  <c r="E342" i="25"/>
  <c r="E337" i="25"/>
  <c r="F335" i="25"/>
  <c r="E334" i="25"/>
  <c r="E329" i="25"/>
  <c r="F327" i="25"/>
  <c r="E326" i="25"/>
  <c r="E321" i="25"/>
  <c r="F319" i="25"/>
  <c r="E318" i="25"/>
  <c r="E313" i="25"/>
  <c r="F311" i="25"/>
  <c r="E310" i="25"/>
  <c r="E305" i="25"/>
  <c r="F303" i="25"/>
  <c r="E302" i="25"/>
  <c r="E297" i="25"/>
  <c r="F295" i="25"/>
  <c r="E294" i="25"/>
  <c r="E289" i="25"/>
  <c r="F287" i="25"/>
  <c r="E286" i="25"/>
  <c r="E281" i="25"/>
  <c r="F279" i="25"/>
  <c r="E277" i="25"/>
  <c r="E275" i="25"/>
  <c r="E273" i="25"/>
  <c r="E271" i="25"/>
  <c r="E269" i="25"/>
  <c r="E267" i="25"/>
  <c r="E265" i="25"/>
  <c r="F428" i="25"/>
  <c r="E401" i="25"/>
  <c r="F399" i="25"/>
  <c r="E398" i="25"/>
  <c r="E393" i="25"/>
  <c r="F369" i="25"/>
  <c r="E341" i="25"/>
  <c r="F339" i="25"/>
  <c r="E338" i="25"/>
  <c r="E333" i="25"/>
  <c r="F331" i="25"/>
  <c r="E330" i="25"/>
  <c r="E325" i="25"/>
  <c r="F323" i="25"/>
  <c r="E322" i="25"/>
  <c r="E317" i="25"/>
  <c r="F315" i="25"/>
  <c r="E314" i="25"/>
  <c r="E309" i="25"/>
  <c r="F307" i="25"/>
  <c r="E306" i="25"/>
  <c r="E301" i="25"/>
  <c r="F299" i="25"/>
  <c r="E298" i="25"/>
  <c r="E293" i="25"/>
  <c r="F291" i="25"/>
  <c r="E290" i="25"/>
  <c r="E285" i="25"/>
  <c r="F283" i="25"/>
  <c r="E282" i="25"/>
  <c r="E278" i="25"/>
  <c r="E276" i="25"/>
  <c r="E274" i="25"/>
  <c r="E272" i="25"/>
  <c r="E270" i="25"/>
  <c r="E268" i="25"/>
  <c r="E266" i="25"/>
  <c r="E264" i="25"/>
  <c r="E262" i="25"/>
  <c r="E260" i="25"/>
  <c r="E258" i="25"/>
  <c r="E256" i="25"/>
  <c r="E254" i="25"/>
  <c r="E252" i="25"/>
  <c r="E250" i="25"/>
  <c r="E248" i="25"/>
  <c r="E246" i="25"/>
  <c r="E244" i="25"/>
  <c r="E242" i="25"/>
  <c r="E240" i="25"/>
  <c r="E238" i="25"/>
  <c r="E236" i="25"/>
  <c r="E234" i="25"/>
  <c r="E232" i="25"/>
  <c r="E230" i="25"/>
  <c r="E228" i="25"/>
  <c r="E226" i="25"/>
  <c r="F375" i="25"/>
  <c r="E362" i="25"/>
  <c r="F361" i="25"/>
  <c r="E346" i="25"/>
  <c r="F345" i="25"/>
  <c r="E343" i="25"/>
  <c r="F317" i="25"/>
  <c r="E316" i="25"/>
  <c r="E311" i="25"/>
  <c r="F285" i="25"/>
  <c r="E284" i="25"/>
  <c r="E279" i="25"/>
  <c r="F274" i="25"/>
  <c r="F266" i="25"/>
  <c r="F264" i="25"/>
  <c r="F263" i="25"/>
  <c r="E257" i="25"/>
  <c r="F256" i="25"/>
  <c r="F255" i="25"/>
  <c r="E249" i="25"/>
  <c r="F248" i="25"/>
  <c r="F247" i="25"/>
  <c r="E241" i="25"/>
  <c r="F240" i="25"/>
  <c r="F239" i="25"/>
  <c r="E233" i="25"/>
  <c r="F232" i="25"/>
  <c r="F231" i="25"/>
  <c r="E224" i="25"/>
  <c r="E222" i="25"/>
  <c r="E220" i="25"/>
  <c r="E218" i="25"/>
  <c r="E216" i="25"/>
  <c r="E214" i="25"/>
  <c r="E212" i="25"/>
  <c r="E210" i="25"/>
  <c r="E208" i="25"/>
  <c r="E206" i="25"/>
  <c r="E204" i="25"/>
  <c r="E202" i="25"/>
  <c r="E200" i="25"/>
  <c r="E198" i="25"/>
  <c r="E196" i="25"/>
  <c r="E194" i="25"/>
  <c r="E192" i="25"/>
  <c r="E190" i="25"/>
  <c r="E188" i="25"/>
  <c r="E186" i="25"/>
  <c r="E184" i="25"/>
  <c r="E182" i="25"/>
  <c r="E180" i="25"/>
  <c r="E178" i="25"/>
  <c r="E176" i="25"/>
  <c r="E174" i="25"/>
  <c r="E172" i="25"/>
  <c r="E170" i="25"/>
  <c r="E168" i="25"/>
  <c r="E166" i="25"/>
  <c r="E164" i="25"/>
  <c r="E162" i="25"/>
  <c r="E160" i="25"/>
  <c r="E158" i="25"/>
  <c r="E156" i="25"/>
  <c r="E154" i="25"/>
  <c r="E152" i="25"/>
  <c r="E150" i="25"/>
  <c r="E148" i="25"/>
  <c r="E146" i="25"/>
  <c r="E144" i="25"/>
  <c r="E142" i="25"/>
  <c r="E140" i="25"/>
  <c r="E138" i="25"/>
  <c r="E136" i="25"/>
  <c r="E134" i="25"/>
  <c r="E132" i="25"/>
  <c r="E130" i="25"/>
  <c r="E128" i="25"/>
  <c r="E126" i="25"/>
  <c r="E124" i="25"/>
  <c r="E122" i="25"/>
  <c r="E120" i="25"/>
  <c r="E350" i="25"/>
  <c r="F349" i="25"/>
  <c r="F341" i="25"/>
  <c r="E340" i="25"/>
  <c r="E335" i="25"/>
  <c r="F309" i="25"/>
  <c r="E308" i="25"/>
  <c r="E303" i="25"/>
  <c r="F276" i="25"/>
  <c r="F268" i="25"/>
  <c r="E263" i="25"/>
  <c r="F262" i="25"/>
  <c r="F261" i="25"/>
  <c r="E255" i="25"/>
  <c r="F254" i="25"/>
  <c r="F253" i="25"/>
  <c r="E247" i="25"/>
  <c r="F246" i="25"/>
  <c r="F245" i="25"/>
  <c r="E239" i="25"/>
  <c r="F238" i="25"/>
  <c r="F237" i="25"/>
  <c r="E231" i="25"/>
  <c r="F230" i="25"/>
  <c r="F229" i="25"/>
  <c r="F225" i="25"/>
  <c r="F223" i="25"/>
  <c r="F221" i="25"/>
  <c r="F367" i="25"/>
  <c r="E358" i="25"/>
  <c r="F357" i="25"/>
  <c r="F325" i="25"/>
  <c r="E324" i="25"/>
  <c r="E319" i="25"/>
  <c r="F293" i="25"/>
  <c r="E292" i="25"/>
  <c r="E287" i="25"/>
  <c r="F272" i="25"/>
  <c r="E259" i="25"/>
  <c r="F258" i="25"/>
  <c r="F257" i="25"/>
  <c r="E251" i="25"/>
  <c r="F250" i="25"/>
  <c r="F249" i="25"/>
  <c r="E243" i="25"/>
  <c r="F242" i="25"/>
  <c r="F241" i="25"/>
  <c r="E235" i="25"/>
  <c r="F234" i="25"/>
  <c r="F233" i="25"/>
  <c r="E227" i="25"/>
  <c r="F226" i="25"/>
  <c r="F224" i="25"/>
  <c r="F222" i="25"/>
  <c r="F220" i="25"/>
  <c r="F218" i="25"/>
  <c r="F216" i="25"/>
  <c r="F214" i="25"/>
  <c r="F212" i="25"/>
  <c r="F210" i="25"/>
  <c r="F208" i="25"/>
  <c r="F206" i="25"/>
  <c r="F204" i="25"/>
  <c r="F202" i="25"/>
  <c r="F200" i="25"/>
  <c r="F198" i="25"/>
  <c r="F196" i="25"/>
  <c r="F194" i="25"/>
  <c r="F192" i="25"/>
  <c r="F190" i="25"/>
  <c r="F188" i="25"/>
  <c r="F186" i="25"/>
  <c r="F184" i="25"/>
  <c r="F182" i="25"/>
  <c r="F180" i="25"/>
  <c r="F178" i="25"/>
  <c r="F176" i="25"/>
  <c r="F174" i="25"/>
  <c r="F172" i="25"/>
  <c r="F170" i="25"/>
  <c r="F168" i="25"/>
  <c r="F166" i="25"/>
  <c r="F164" i="25"/>
  <c r="F162" i="25"/>
  <c r="F160" i="25"/>
  <c r="F158" i="25"/>
  <c r="F156" i="25"/>
  <c r="F154" i="25"/>
  <c r="F152" i="25"/>
  <c r="F150" i="25"/>
  <c r="F148" i="25"/>
  <c r="F146" i="25"/>
  <c r="F144" i="25"/>
  <c r="F142" i="25"/>
  <c r="F140" i="25"/>
  <c r="F138" i="25"/>
  <c r="F136" i="25"/>
  <c r="F134" i="25"/>
  <c r="F132" i="25"/>
  <c r="F130" i="25"/>
  <c r="F128" i="25"/>
  <c r="F126" i="25"/>
  <c r="F124" i="25"/>
  <c r="F122" i="25"/>
  <c r="F120" i="25"/>
  <c r="F118" i="25"/>
  <c r="F116" i="25"/>
  <c r="F114" i="25"/>
  <c r="F112" i="25"/>
  <c r="F110" i="25"/>
  <c r="F108" i="25"/>
  <c r="F106" i="25"/>
  <c r="F104" i="25"/>
  <c r="F102" i="25"/>
  <c r="F100" i="25"/>
  <c r="F98" i="25"/>
  <c r="F96" i="25"/>
  <c r="F94" i="25"/>
  <c r="F92" i="25"/>
  <c r="F90" i="25"/>
  <c r="F88" i="25"/>
  <c r="F86" i="25"/>
  <c r="F84" i="25"/>
  <c r="F82" i="25"/>
  <c r="F80" i="25"/>
  <c r="F78" i="25"/>
  <c r="F76" i="25"/>
  <c r="F74" i="25"/>
  <c r="F72" i="25"/>
  <c r="F70" i="25"/>
  <c r="F68" i="25"/>
  <c r="F66" i="25"/>
  <c r="F64" i="25"/>
  <c r="F62" i="25"/>
  <c r="F60" i="25"/>
  <c r="F58" i="25"/>
  <c r="F56" i="25"/>
  <c r="F54" i="25"/>
  <c r="F52" i="25"/>
  <c r="F50" i="25"/>
  <c r="F48" i="25"/>
  <c r="F46" i="25"/>
  <c r="F44" i="25"/>
  <c r="F42" i="25"/>
  <c r="F40" i="25"/>
  <c r="F38" i="25"/>
  <c r="F36" i="25"/>
  <c r="F34" i="25"/>
  <c r="F32" i="25"/>
  <c r="F30" i="25"/>
  <c r="F353" i="25"/>
  <c r="F333" i="25"/>
  <c r="E295" i="25"/>
  <c r="E237" i="25"/>
  <c r="F236" i="25"/>
  <c r="F235" i="25"/>
  <c r="E221" i="25"/>
  <c r="E217" i="25"/>
  <c r="E213" i="25"/>
  <c r="E209" i="25"/>
  <c r="E205" i="25"/>
  <c r="E201" i="25"/>
  <c r="E197" i="25"/>
  <c r="E193" i="25"/>
  <c r="E189" i="25"/>
  <c r="E185" i="25"/>
  <c r="E181" i="25"/>
  <c r="E177" i="25"/>
  <c r="E173" i="25"/>
  <c r="E169" i="25"/>
  <c r="E165" i="25"/>
  <c r="E161" i="25"/>
  <c r="E157" i="25"/>
  <c r="E153" i="25"/>
  <c r="E149" i="25"/>
  <c r="E145" i="25"/>
  <c r="E141" i="25"/>
  <c r="E137" i="25"/>
  <c r="E133" i="25"/>
  <c r="E129" i="25"/>
  <c r="E125" i="25"/>
  <c r="E121" i="25"/>
  <c r="F119" i="25"/>
  <c r="E118" i="25"/>
  <c r="E113" i="25"/>
  <c r="F111" i="25"/>
  <c r="E110" i="25"/>
  <c r="E105" i="25"/>
  <c r="F103" i="25"/>
  <c r="E102" i="25"/>
  <c r="E97" i="25"/>
  <c r="F95" i="25"/>
  <c r="E94" i="25"/>
  <c r="E89" i="25"/>
  <c r="F87" i="25"/>
  <c r="E86" i="25"/>
  <c r="E81" i="25"/>
  <c r="F79" i="25"/>
  <c r="E78" i="25"/>
  <c r="E73" i="25"/>
  <c r="F71" i="25"/>
  <c r="E70" i="25"/>
  <c r="E65" i="25"/>
  <c r="F63" i="25"/>
  <c r="E62" i="25"/>
  <c r="E57" i="25"/>
  <c r="E38" i="25"/>
  <c r="F31" i="25"/>
  <c r="F301" i="25"/>
  <c r="E261" i="25"/>
  <c r="F260" i="25"/>
  <c r="F259" i="25"/>
  <c r="E229" i="25"/>
  <c r="F228" i="25"/>
  <c r="F227" i="25"/>
  <c r="E223" i="25"/>
  <c r="F219" i="25"/>
  <c r="F215" i="25"/>
  <c r="F211" i="25"/>
  <c r="F207" i="25"/>
  <c r="F203" i="25"/>
  <c r="F199" i="25"/>
  <c r="F195" i="25"/>
  <c r="F191" i="25"/>
  <c r="F187" i="25"/>
  <c r="F183" i="25"/>
  <c r="F179" i="25"/>
  <c r="F175" i="25"/>
  <c r="F171" i="25"/>
  <c r="F167" i="25"/>
  <c r="F163" i="25"/>
  <c r="F159" i="25"/>
  <c r="F155" i="25"/>
  <c r="F151" i="25"/>
  <c r="F147" i="25"/>
  <c r="F143" i="25"/>
  <c r="F139" i="25"/>
  <c r="F135" i="25"/>
  <c r="F131" i="25"/>
  <c r="F127" i="25"/>
  <c r="F123" i="25"/>
  <c r="E119" i="25"/>
  <c r="F117" i="25"/>
  <c r="E116" i="25"/>
  <c r="E111" i="25"/>
  <c r="F109" i="25"/>
  <c r="E108" i="25"/>
  <c r="E103" i="25"/>
  <c r="F101" i="25"/>
  <c r="E100" i="25"/>
  <c r="E95" i="25"/>
  <c r="F93" i="25"/>
  <c r="E92" i="25"/>
  <c r="E87" i="25"/>
  <c r="F85" i="25"/>
  <c r="E84" i="25"/>
  <c r="E79" i="25"/>
  <c r="F77" i="25"/>
  <c r="E76" i="25"/>
  <c r="E71" i="25"/>
  <c r="F69" i="25"/>
  <c r="E68" i="25"/>
  <c r="E63" i="25"/>
  <c r="F61" i="25"/>
  <c r="E60" i="25"/>
  <c r="E55" i="25"/>
  <c r="F53" i="25"/>
  <c r="E52" i="25"/>
  <c r="E47" i="25"/>
  <c r="F45" i="25"/>
  <c r="E44" i="25"/>
  <c r="E327" i="25"/>
  <c r="E300" i="25"/>
  <c r="F278" i="25"/>
  <c r="E245" i="25"/>
  <c r="F244" i="25"/>
  <c r="F243" i="25"/>
  <c r="F217" i="25"/>
  <c r="F213" i="25"/>
  <c r="F209" i="25"/>
  <c r="F205" i="25"/>
  <c r="F201" i="25"/>
  <c r="F197" i="25"/>
  <c r="F193" i="25"/>
  <c r="F189" i="25"/>
  <c r="F185" i="25"/>
  <c r="F181" i="25"/>
  <c r="F177" i="25"/>
  <c r="F173" i="25"/>
  <c r="F169" i="25"/>
  <c r="F165" i="25"/>
  <c r="F161" i="25"/>
  <c r="F157" i="25"/>
  <c r="F153" i="25"/>
  <c r="F149" i="25"/>
  <c r="F145" i="25"/>
  <c r="F141" i="25"/>
  <c r="F137" i="25"/>
  <c r="F133" i="25"/>
  <c r="F129" i="25"/>
  <c r="F125" i="25"/>
  <c r="F121" i="25"/>
  <c r="E115" i="25"/>
  <c r="F113" i="25"/>
  <c r="E112" i="25"/>
  <c r="E107" i="25"/>
  <c r="F105" i="25"/>
  <c r="E104" i="25"/>
  <c r="E99" i="25"/>
  <c r="F97" i="25"/>
  <c r="E96" i="25"/>
  <c r="E91" i="25"/>
  <c r="F89" i="25"/>
  <c r="E88" i="25"/>
  <c r="E83" i="25"/>
  <c r="F81" i="25"/>
  <c r="E80" i="25"/>
  <c r="E75" i="25"/>
  <c r="F73" i="25"/>
  <c r="E72" i="25"/>
  <c r="E67" i="25"/>
  <c r="F65" i="25"/>
  <c r="E64" i="25"/>
  <c r="E59" i="25"/>
  <c r="F57" i="25"/>
  <c r="E56" i="25"/>
  <c r="E51" i="25"/>
  <c r="F49" i="25"/>
  <c r="E48" i="25"/>
  <c r="E43" i="25"/>
  <c r="F41" i="25"/>
  <c r="E40" i="25"/>
  <c r="E35" i="25"/>
  <c r="F33" i="25"/>
  <c r="E32" i="25"/>
  <c r="F28" i="25"/>
  <c r="F26" i="25"/>
  <c r="F24" i="25"/>
  <c r="F22" i="25"/>
  <c r="F20" i="25"/>
  <c r="F18" i="25"/>
  <c r="F16" i="25"/>
  <c r="F14" i="25"/>
  <c r="F55" i="25"/>
  <c r="E54" i="25"/>
  <c r="E49" i="25"/>
  <c r="F47" i="25"/>
  <c r="E46" i="25"/>
  <c r="E41" i="25"/>
  <c r="F39" i="25"/>
  <c r="E33" i="25"/>
  <c r="E30" i="25"/>
  <c r="E28" i="25"/>
  <c r="E26" i="25"/>
  <c r="F270" i="25"/>
  <c r="E253" i="25"/>
  <c r="F251" i="25"/>
  <c r="E225" i="25"/>
  <c r="E215" i="25"/>
  <c r="E199" i="25"/>
  <c r="E183" i="25"/>
  <c r="E167" i="25"/>
  <c r="E151" i="25"/>
  <c r="E135" i="25"/>
  <c r="F99" i="25"/>
  <c r="E98" i="25"/>
  <c r="E93" i="25"/>
  <c r="F67" i="25"/>
  <c r="E66" i="25"/>
  <c r="E61" i="25"/>
  <c r="E39" i="25"/>
  <c r="F35" i="25"/>
  <c r="F29" i="25"/>
  <c r="F27" i="25"/>
  <c r="E23" i="25"/>
  <c r="F21" i="25"/>
  <c r="E15" i="25"/>
  <c r="F13" i="25"/>
  <c r="E13" i="25"/>
  <c r="F83" i="25"/>
  <c r="E50" i="25"/>
  <c r="F37" i="25"/>
  <c r="F25" i="25"/>
  <c r="F17" i="25"/>
  <c r="E16" i="25"/>
  <c r="E354" i="25"/>
  <c r="E332" i="25"/>
  <c r="E219" i="25"/>
  <c r="E203" i="25"/>
  <c r="E187" i="25"/>
  <c r="E171" i="25"/>
  <c r="E155" i="25"/>
  <c r="E139" i="25"/>
  <c r="E123" i="25"/>
  <c r="E117" i="25"/>
  <c r="F91" i="25"/>
  <c r="E90" i="25"/>
  <c r="E85" i="25"/>
  <c r="F59" i="25"/>
  <c r="E58" i="25"/>
  <c r="E53" i="25"/>
  <c r="E29" i="25"/>
  <c r="E27" i="25"/>
  <c r="E21" i="25"/>
  <c r="F19" i="25"/>
  <c r="E18" i="25"/>
  <c r="E207" i="25"/>
  <c r="E114" i="25"/>
  <c r="E109" i="25"/>
  <c r="E82" i="25"/>
  <c r="E77" i="25"/>
  <c r="E45" i="25"/>
  <c r="E24" i="25"/>
  <c r="E211" i="25"/>
  <c r="E195" i="25"/>
  <c r="E179" i="25"/>
  <c r="E163" i="25"/>
  <c r="E147" i="25"/>
  <c r="E131" i="25"/>
  <c r="F107" i="25"/>
  <c r="E106" i="25"/>
  <c r="E101" i="25"/>
  <c r="F75" i="25"/>
  <c r="E74" i="25"/>
  <c r="E69" i="25"/>
  <c r="F43" i="25"/>
  <c r="E42" i="25"/>
  <c r="E37" i="25"/>
  <c r="E36" i="25"/>
  <c r="E34" i="25"/>
  <c r="E25" i="25"/>
  <c r="F23" i="25"/>
  <c r="E22" i="25"/>
  <c r="E17" i="25"/>
  <c r="F15" i="25"/>
  <c r="E14" i="25"/>
  <c r="E20" i="25"/>
  <c r="F252" i="25"/>
  <c r="E191" i="25"/>
  <c r="E175" i="25"/>
  <c r="E159" i="25"/>
  <c r="E143" i="25"/>
  <c r="E127" i="25"/>
  <c r="F115" i="25"/>
  <c r="F51" i="25"/>
  <c r="E31" i="25"/>
  <c r="E19" i="25"/>
  <c r="E626" i="25"/>
  <c r="F626" i="25"/>
  <c r="E628" i="25"/>
  <c r="F628" i="25"/>
  <c r="AJ64" i="23"/>
  <c r="AF64" i="23"/>
  <c r="AJ106" i="23"/>
  <c r="AF106" i="23"/>
  <c r="AJ99" i="23"/>
  <c r="AF99" i="23"/>
  <c r="AF73" i="23"/>
  <c r="AJ73" i="23"/>
  <c r="AJ90" i="23"/>
  <c r="AF90" i="23"/>
  <c r="AF22" i="23"/>
  <c r="AJ22" i="23"/>
  <c r="AF28" i="23"/>
  <c r="AJ28" i="23"/>
  <c r="AF11" i="23"/>
  <c r="AJ11" i="23"/>
  <c r="AJ81" i="23"/>
  <c r="AF81" i="23"/>
  <c r="AJ52" i="23"/>
  <c r="AF52" i="23"/>
  <c r="AF71" i="23"/>
  <c r="AJ71" i="23"/>
  <c r="AF42" i="23"/>
  <c r="AJ42" i="23"/>
  <c r="AF53" i="23"/>
  <c r="AJ53" i="23"/>
  <c r="AJ21" i="23"/>
  <c r="AF21" i="23"/>
  <c r="AF13" i="23"/>
  <c r="AJ13" i="23"/>
  <c r="AF107" i="23"/>
  <c r="AJ107" i="23"/>
  <c r="AJ74" i="23"/>
  <c r="AF74" i="23"/>
  <c r="AF77" i="23"/>
  <c r="AJ77" i="23"/>
  <c r="AJ95" i="23"/>
  <c r="AF95" i="23"/>
  <c r="AJ25" i="23"/>
  <c r="AF25" i="23"/>
  <c r="AJ33" i="23"/>
  <c r="AF33" i="23"/>
  <c r="AF60" i="23"/>
  <c r="AJ60" i="23"/>
  <c r="AF68" i="23"/>
  <c r="AJ68" i="23"/>
  <c r="AF40" i="23"/>
  <c r="AJ40" i="23"/>
  <c r="AF96" i="23"/>
  <c r="AJ96" i="23"/>
  <c r="AJ10" i="23"/>
  <c r="AF10" i="23"/>
  <c r="AF70" i="23"/>
  <c r="AJ70" i="23"/>
  <c r="AJ75" i="23"/>
  <c r="AF75" i="23"/>
  <c r="AJ35" i="23"/>
  <c r="AF35" i="23"/>
  <c r="AJ61" i="23"/>
  <c r="AF61" i="23"/>
  <c r="AF46" i="23"/>
  <c r="AJ46" i="23"/>
  <c r="AJ57" i="23"/>
  <c r="AF57" i="23"/>
  <c r="AJ51" i="23"/>
  <c r="AF51" i="23"/>
  <c r="AJ84" i="23"/>
  <c r="AF84" i="23"/>
  <c r="AJ103" i="23"/>
  <c r="AF103" i="23"/>
  <c r="AJ27" i="23"/>
  <c r="AF27" i="23"/>
  <c r="AJ85" i="23"/>
  <c r="AF85" i="23"/>
  <c r="AF49" i="23"/>
  <c r="AJ49" i="23"/>
  <c r="AJ38" i="23"/>
  <c r="AF38" i="23"/>
  <c r="AJ65" i="23"/>
  <c r="AF65" i="23"/>
  <c r="AJ37" i="23"/>
  <c r="AF37" i="23"/>
  <c r="AF78" i="23"/>
  <c r="AJ78" i="23"/>
  <c r="AJ94" i="23"/>
  <c r="AF94" i="23"/>
  <c r="AJ63" i="23"/>
  <c r="AF63" i="23"/>
  <c r="AF17" i="23"/>
  <c r="AJ17" i="23"/>
  <c r="AF23" i="23"/>
  <c r="AJ23" i="23"/>
  <c r="AJ100" i="23"/>
  <c r="AF100" i="23"/>
  <c r="AF39" i="23"/>
  <c r="AJ39" i="23"/>
  <c r="AJ50" i="23"/>
  <c r="AF50" i="23"/>
  <c r="AJ69" i="23"/>
  <c r="AF69" i="23"/>
  <c r="AJ31" i="23"/>
  <c r="AF31" i="23"/>
  <c r="AF15" i="23"/>
  <c r="AJ15" i="23"/>
  <c r="AJ79" i="23"/>
  <c r="AF79" i="23"/>
  <c r="AF83" i="23"/>
  <c r="AJ83" i="23"/>
  <c r="AJ72" i="23"/>
  <c r="AF72" i="23"/>
  <c r="AF54" i="23"/>
  <c r="AJ54" i="23"/>
  <c r="AJ32" i="23"/>
  <c r="AF32" i="23"/>
  <c r="AJ66" i="23"/>
  <c r="AF66" i="23"/>
  <c r="AJ14" i="23"/>
  <c r="AF14" i="23"/>
  <c r="AF98" i="23"/>
  <c r="AJ98" i="23"/>
  <c r="AF19" i="23"/>
  <c r="AJ19" i="23"/>
  <c r="AF80" i="23"/>
  <c r="AJ80" i="23"/>
  <c r="AJ56" i="23"/>
  <c r="AF56" i="23"/>
  <c r="AJ44" i="23"/>
  <c r="AF44" i="23"/>
  <c r="AF101" i="23"/>
  <c r="AJ101" i="23"/>
  <c r="AF48" i="23"/>
  <c r="AJ48" i="23"/>
  <c r="AF82" i="23"/>
  <c r="AJ82" i="23"/>
  <c r="AJ45" i="23"/>
  <c r="AF45" i="23"/>
  <c r="AJ34" i="23"/>
  <c r="AF34" i="23"/>
  <c r="AF91" i="23"/>
  <c r="AJ91" i="23"/>
  <c r="AJ26" i="23"/>
  <c r="AF26" i="23"/>
  <c r="AJ108" i="23"/>
  <c r="AF108" i="23"/>
  <c r="AJ102" i="23"/>
  <c r="AF102" i="23"/>
  <c r="AJ20" i="23"/>
  <c r="AF20" i="23"/>
  <c r="AF104" i="23"/>
  <c r="AJ104" i="23"/>
  <c r="AJ18" i="23"/>
  <c r="AF18" i="23"/>
  <c r="AJ105" i="23"/>
  <c r="AF105" i="23"/>
  <c r="AJ29" i="23"/>
  <c r="AF29" i="23"/>
  <c r="AJ41" i="23"/>
  <c r="AF41" i="23"/>
  <c r="AF55" i="23"/>
  <c r="AJ55" i="23"/>
  <c r="AJ43" i="23"/>
  <c r="AF43" i="23"/>
  <c r="AF92" i="23"/>
  <c r="AJ92" i="23"/>
  <c r="AJ12" i="23"/>
  <c r="AF12" i="23"/>
  <c r="AJ62" i="23"/>
  <c r="AF62" i="23"/>
  <c r="AF59" i="23"/>
  <c r="AJ59" i="23"/>
  <c r="AJ67" i="23"/>
  <c r="AF67" i="23"/>
  <c r="AF36" i="23"/>
  <c r="AJ36" i="23"/>
  <c r="AF88" i="23"/>
  <c r="AJ88" i="23"/>
  <c r="N9" i="23"/>
  <c r="AL70" i="21"/>
  <c r="AL54" i="21"/>
  <c r="AL10" i="21"/>
  <c r="AL95" i="21"/>
  <c r="AL79" i="21"/>
  <c r="AL63" i="21"/>
  <c r="AL31" i="21"/>
  <c r="V17" i="23"/>
  <c r="V59" i="23"/>
  <c r="V80" i="23"/>
  <c r="AL84" i="21"/>
  <c r="AL68" i="21"/>
  <c r="AL52" i="21"/>
  <c r="AL20" i="21"/>
  <c r="AL109" i="21"/>
  <c r="AL93" i="21"/>
  <c r="AL77" i="21"/>
  <c r="AL61" i="21"/>
  <c r="AL45" i="21"/>
  <c r="AL21" i="21"/>
  <c r="B69" i="23"/>
  <c r="B68" i="21"/>
  <c r="B69" i="21" s="1"/>
  <c r="V36" i="23"/>
  <c r="V18" i="23"/>
  <c r="V34" i="23"/>
  <c r="V72" i="23"/>
  <c r="V83" i="23"/>
  <c r="V88" i="23"/>
  <c r="V102" i="23"/>
  <c r="AL98" i="21"/>
  <c r="AL90" i="21"/>
  <c r="AL82" i="21"/>
  <c r="AL74" i="21"/>
  <c r="AL66" i="21"/>
  <c r="AL58" i="21"/>
  <c r="AL34" i="21"/>
  <c r="AL18" i="21"/>
  <c r="AL99" i="21"/>
  <c r="AL91" i="21"/>
  <c r="AL83" i="21"/>
  <c r="AL75" i="21"/>
  <c r="AL67" i="21"/>
  <c r="AL59" i="21"/>
  <c r="AL35" i="21"/>
  <c r="AL27" i="21"/>
  <c r="AL38" i="21"/>
  <c r="V29" i="23"/>
  <c r="V64" i="23"/>
  <c r="V91" i="23"/>
  <c r="V107" i="23"/>
  <c r="AL78" i="21"/>
  <c r="AL62" i="21"/>
  <c r="AL46" i="21"/>
  <c r="AL30" i="21"/>
  <c r="AL14" i="21"/>
  <c r="AL103" i="21"/>
  <c r="AL87" i="21"/>
  <c r="AL71" i="21"/>
  <c r="AL55" i="21"/>
  <c r="AL39" i="21"/>
  <c r="AL15" i="21"/>
  <c r="AL108" i="21"/>
  <c r="AL60" i="21"/>
  <c r="AL44" i="21"/>
  <c r="AL85" i="21"/>
  <c r="AL69" i="21"/>
  <c r="AL13" i="21"/>
  <c r="V10" i="23"/>
  <c r="V101" i="23"/>
  <c r="V82" i="23"/>
  <c r="V100" i="23"/>
  <c r="AL88" i="21"/>
  <c r="AL80" i="21"/>
  <c r="AL72" i="21"/>
  <c r="AL56" i="21"/>
  <c r="AL24" i="21"/>
  <c r="AL16" i="21"/>
  <c r="AL97" i="21"/>
  <c r="AL89" i="21"/>
  <c r="AL81" i="21"/>
  <c r="AL73" i="21"/>
  <c r="AL33" i="21"/>
  <c r="AL25" i="21"/>
  <c r="AL17" i="21"/>
  <c r="B80" i="23"/>
  <c r="AL104" i="21"/>
  <c r="AL11" i="21"/>
  <c r="V43" i="23"/>
  <c r="V75" i="23"/>
  <c r="V105" i="23"/>
  <c r="AL19" i="21"/>
  <c r="AL94" i="21"/>
  <c r="AL40" i="21"/>
  <c r="AL41" i="21"/>
  <c r="AL48" i="21"/>
  <c r="AL49" i="21"/>
  <c r="AL106" i="21"/>
  <c r="AL102" i="21"/>
  <c r="AL107" i="21"/>
  <c r="AL100" i="21"/>
  <c r="AL36" i="21"/>
  <c r="AL101" i="21"/>
  <c r="AL37" i="21"/>
  <c r="AL92" i="21"/>
  <c r="AL28" i="21"/>
  <c r="AL29" i="21"/>
  <c r="AL51" i="21"/>
  <c r="AL47" i="21"/>
  <c r="AL57" i="21"/>
  <c r="AL23" i="21"/>
  <c r="AL53" i="21"/>
  <c r="AL43" i="21"/>
  <c r="AL64" i="21"/>
  <c r="AL65" i="21"/>
  <c r="AL26" i="21"/>
  <c r="AL86" i="21"/>
  <c r="AL22" i="21"/>
  <c r="AL96" i="21"/>
  <c r="AL32" i="21"/>
  <c r="AL76" i="21"/>
  <c r="AL12" i="21"/>
  <c r="AF9" i="21"/>
  <c r="V9" i="21"/>
  <c r="R9" i="21"/>
  <c r="AN9" i="21" s="1"/>
  <c r="AJ9" i="21"/>
  <c r="AB9" i="21"/>
  <c r="AH9" i="21"/>
  <c r="Y9" i="21"/>
  <c r="M94" i="21"/>
  <c r="N94" i="21" s="1"/>
  <c r="M62" i="21"/>
  <c r="N62" i="21" s="1"/>
  <c r="M38" i="21"/>
  <c r="M14" i="21"/>
  <c r="M103" i="21"/>
  <c r="M87" i="21"/>
  <c r="N87" i="21" s="1"/>
  <c r="M71" i="21"/>
  <c r="N71" i="21" s="1"/>
  <c r="M47" i="21"/>
  <c r="M31" i="21"/>
  <c r="M15" i="21"/>
  <c r="N15" i="21" s="1"/>
  <c r="M11" i="21"/>
  <c r="N11" i="21" s="1"/>
  <c r="M104" i="21"/>
  <c r="N104" i="21" s="1"/>
  <c r="M96" i="21"/>
  <c r="N96" i="21" s="1"/>
  <c r="M88" i="21"/>
  <c r="N88" i="21" s="1"/>
  <c r="M80" i="21"/>
  <c r="M72" i="21"/>
  <c r="N72" i="21" s="1"/>
  <c r="M64" i="21"/>
  <c r="N64" i="21" s="1"/>
  <c r="M56" i="21"/>
  <c r="N56" i="21" s="1"/>
  <c r="M48" i="21"/>
  <c r="N48" i="21" s="1"/>
  <c r="M40" i="21"/>
  <c r="N40" i="21" s="1"/>
  <c r="M32" i="21"/>
  <c r="N32" i="21" s="1"/>
  <c r="M24" i="21"/>
  <c r="N24" i="21" s="1"/>
  <c r="M16" i="21"/>
  <c r="M105" i="21"/>
  <c r="M97" i="21"/>
  <c r="N97" i="21" s="1"/>
  <c r="M89" i="21"/>
  <c r="N89" i="21" s="1"/>
  <c r="M81" i="21"/>
  <c r="N81" i="21" s="1"/>
  <c r="M73" i="21"/>
  <c r="N73" i="21" s="1"/>
  <c r="M65" i="21"/>
  <c r="N65" i="21" s="1"/>
  <c r="M57" i="21"/>
  <c r="N57" i="21" s="1"/>
  <c r="M49" i="21"/>
  <c r="M41" i="21"/>
  <c r="N41" i="21" s="1"/>
  <c r="M33" i="21"/>
  <c r="N33" i="21" s="1"/>
  <c r="M25" i="21"/>
  <c r="N25" i="21" s="1"/>
  <c r="M17" i="21"/>
  <c r="M12" i="21"/>
  <c r="N12" i="21" s="1"/>
  <c r="M86" i="21"/>
  <c r="N86" i="21" s="1"/>
  <c r="M70" i="21"/>
  <c r="N70" i="21" s="1"/>
  <c r="M46" i="21"/>
  <c r="M22" i="21"/>
  <c r="M10" i="21"/>
  <c r="N10" i="21" s="1"/>
  <c r="M95" i="21"/>
  <c r="N95" i="21" s="1"/>
  <c r="M79" i="21"/>
  <c r="N79" i="21" s="1"/>
  <c r="M55" i="21"/>
  <c r="N55" i="21" s="1"/>
  <c r="M39" i="21"/>
  <c r="M23" i="21"/>
  <c r="N23" i="21" s="1"/>
  <c r="M108" i="21"/>
  <c r="M100" i="21"/>
  <c r="N100" i="21" s="1"/>
  <c r="M92" i="21"/>
  <c r="N92" i="21" s="1"/>
  <c r="M84" i="21"/>
  <c r="N84" i="21" s="1"/>
  <c r="M76" i="21"/>
  <c r="M68" i="21"/>
  <c r="N68" i="21" s="1"/>
  <c r="M60" i="21"/>
  <c r="N60" i="21" s="1"/>
  <c r="M52" i="21"/>
  <c r="N52" i="21" s="1"/>
  <c r="M44" i="21"/>
  <c r="N44" i="21" s="1"/>
  <c r="M36" i="21"/>
  <c r="N36" i="21" s="1"/>
  <c r="M28" i="21"/>
  <c r="N28" i="21" s="1"/>
  <c r="M20" i="21"/>
  <c r="N20" i="21" s="1"/>
  <c r="M109" i="21"/>
  <c r="M101" i="21"/>
  <c r="N101" i="21" s="1"/>
  <c r="M93" i="21"/>
  <c r="N93" i="21" s="1"/>
  <c r="M85" i="21"/>
  <c r="N85" i="21" s="1"/>
  <c r="M77" i="21"/>
  <c r="M69" i="21"/>
  <c r="N69" i="21" s="1"/>
  <c r="M61" i="21"/>
  <c r="N61" i="21" s="1"/>
  <c r="M53" i="21"/>
  <c r="N53" i="21" s="1"/>
  <c r="M45" i="21"/>
  <c r="N45" i="21" s="1"/>
  <c r="M37" i="21"/>
  <c r="M29" i="21"/>
  <c r="N29" i="21" s="1"/>
  <c r="M21" i="21"/>
  <c r="N21" i="21" s="1"/>
  <c r="M13" i="21"/>
  <c r="N13" i="21" s="1"/>
  <c r="M102" i="21"/>
  <c r="M78" i="21"/>
  <c r="N78" i="21" s="1"/>
  <c r="M54" i="21"/>
  <c r="N54" i="21" s="1"/>
  <c r="M30" i="21"/>
  <c r="N30" i="21" s="1"/>
  <c r="M63" i="21"/>
  <c r="N63" i="21" s="1"/>
  <c r="M106" i="21"/>
  <c r="N106" i="21" s="1"/>
  <c r="M98" i="21"/>
  <c r="N98" i="21" s="1"/>
  <c r="M90" i="21"/>
  <c r="N90" i="21" s="1"/>
  <c r="M82" i="21"/>
  <c r="M74" i="21"/>
  <c r="N74" i="21" s="1"/>
  <c r="M66" i="21"/>
  <c r="N66" i="21" s="1"/>
  <c r="M58" i="21"/>
  <c r="N58" i="21" s="1"/>
  <c r="M50" i="21"/>
  <c r="N50" i="21" s="1"/>
  <c r="M42" i="21"/>
  <c r="N42" i="21" s="1"/>
  <c r="M34" i="21"/>
  <c r="N34" i="21" s="1"/>
  <c r="M26" i="21"/>
  <c r="M18" i="21"/>
  <c r="M107" i="21"/>
  <c r="N107" i="21" s="1"/>
  <c r="M99" i="21"/>
  <c r="N99" i="21" s="1"/>
  <c r="M91" i="21"/>
  <c r="N91" i="21" s="1"/>
  <c r="M83" i="21"/>
  <c r="N83" i="21" s="1"/>
  <c r="M75" i="21"/>
  <c r="M67" i="21"/>
  <c r="N67" i="21" s="1"/>
  <c r="M59" i="21"/>
  <c r="N59" i="21" s="1"/>
  <c r="M51" i="21"/>
  <c r="N51" i="21" s="1"/>
  <c r="M43" i="21"/>
  <c r="M35" i="21"/>
  <c r="N35" i="21" s="1"/>
  <c r="M27" i="21"/>
  <c r="N27" i="21" s="1"/>
  <c r="M19" i="21"/>
  <c r="N19" i="21" s="1"/>
  <c r="O36" i="8"/>
  <c r="C75" i="1" s="1"/>
  <c r="N36" i="8"/>
  <c r="I4" i="8"/>
  <c r="D191" i="2"/>
  <c r="K3" i="17"/>
  <c r="E563" i="17" s="1"/>
  <c r="B9" i="8"/>
  <c r="B8" i="8" s="1"/>
  <c r="B7" i="8" s="1"/>
  <c r="B6" i="8" s="1"/>
  <c r="B4" i="8" s="1"/>
  <c r="D111" i="2"/>
  <c r="D114" i="2" s="1"/>
  <c r="J39" i="1" s="1"/>
  <c r="J34" i="1"/>
  <c r="D125" i="2"/>
  <c r="J36" i="1" s="1"/>
  <c r="AU12" i="21"/>
  <c r="L12" i="21"/>
  <c r="AU106" i="21"/>
  <c r="L106" i="21"/>
  <c r="AU102" i="21"/>
  <c r="L102" i="21"/>
  <c r="AU98" i="21"/>
  <c r="L98" i="21"/>
  <c r="AU94" i="21"/>
  <c r="L94" i="21"/>
  <c r="AU90" i="21"/>
  <c r="L90" i="21"/>
  <c r="AU86" i="21"/>
  <c r="L86" i="21"/>
  <c r="AU82" i="21"/>
  <c r="L82" i="21"/>
  <c r="AU78" i="21"/>
  <c r="L78" i="21"/>
  <c r="AU74" i="21"/>
  <c r="L74" i="21"/>
  <c r="AU70" i="21"/>
  <c r="L70" i="21"/>
  <c r="AU66" i="21"/>
  <c r="L66" i="21"/>
  <c r="AU62" i="21"/>
  <c r="L62" i="21"/>
  <c r="AU58" i="21"/>
  <c r="L58" i="21"/>
  <c r="AU54" i="21"/>
  <c r="L54" i="21"/>
  <c r="AU50" i="21"/>
  <c r="L50" i="21"/>
  <c r="AU46" i="21"/>
  <c r="L46" i="21"/>
  <c r="AU42" i="21"/>
  <c r="L42" i="21"/>
  <c r="AU38" i="21"/>
  <c r="L38" i="21"/>
  <c r="AU34" i="21"/>
  <c r="L34" i="21"/>
  <c r="AU30" i="21"/>
  <c r="L30" i="21"/>
  <c r="AU26" i="21"/>
  <c r="L26" i="21"/>
  <c r="AU22" i="21"/>
  <c r="L22" i="21"/>
  <c r="AU18" i="21"/>
  <c r="L18" i="21"/>
  <c r="AU14" i="21"/>
  <c r="L14" i="21"/>
  <c r="AU10" i="21"/>
  <c r="L10" i="21"/>
  <c r="AU107" i="21"/>
  <c r="L107" i="21"/>
  <c r="AU103" i="21"/>
  <c r="L103" i="21"/>
  <c r="AU99" i="21"/>
  <c r="L99" i="21"/>
  <c r="AU95" i="21"/>
  <c r="L95" i="21"/>
  <c r="AU91" i="21"/>
  <c r="L91" i="21"/>
  <c r="AU87" i="21"/>
  <c r="L87" i="21"/>
  <c r="AU83" i="21"/>
  <c r="L83" i="21"/>
  <c r="AU79" i="21"/>
  <c r="L79" i="21"/>
  <c r="AU75" i="21"/>
  <c r="L75" i="21"/>
  <c r="AU71" i="21"/>
  <c r="L71" i="21"/>
  <c r="AU67" i="21"/>
  <c r="L67" i="21"/>
  <c r="AU63" i="21"/>
  <c r="L63" i="21"/>
  <c r="AU59" i="21"/>
  <c r="L59" i="21"/>
  <c r="AU55" i="21"/>
  <c r="L55" i="21"/>
  <c r="AU51" i="21"/>
  <c r="L51" i="21"/>
  <c r="AU47" i="21"/>
  <c r="L47" i="21"/>
  <c r="AU43" i="21"/>
  <c r="L43" i="21"/>
  <c r="AU39" i="21"/>
  <c r="L39" i="21"/>
  <c r="AU35" i="21"/>
  <c r="L35" i="21"/>
  <c r="AU31" i="21"/>
  <c r="L31" i="21"/>
  <c r="AU27" i="21"/>
  <c r="L27" i="21"/>
  <c r="AU23" i="21"/>
  <c r="L23" i="21"/>
  <c r="AU19" i="21"/>
  <c r="L19" i="21"/>
  <c r="AU15" i="21"/>
  <c r="L15" i="21"/>
  <c r="AU11" i="21"/>
  <c r="L11" i="21"/>
  <c r="AU108" i="21"/>
  <c r="L108" i="21"/>
  <c r="AU104" i="21"/>
  <c r="L104" i="21"/>
  <c r="AU100" i="21"/>
  <c r="L100" i="21"/>
  <c r="AU96" i="21"/>
  <c r="L96" i="21"/>
  <c r="AU92" i="21"/>
  <c r="L92" i="21"/>
  <c r="AU88" i="21"/>
  <c r="L88" i="21"/>
  <c r="AU84" i="21"/>
  <c r="L84" i="21"/>
  <c r="AU80" i="21"/>
  <c r="L80" i="21"/>
  <c r="AU76" i="21"/>
  <c r="L76" i="21"/>
  <c r="AU72" i="21"/>
  <c r="L72" i="21"/>
  <c r="AU68" i="21"/>
  <c r="L68" i="21"/>
  <c r="AU64" i="21"/>
  <c r="L64" i="21"/>
  <c r="AU60" i="21"/>
  <c r="L60" i="21"/>
  <c r="AU56" i="21"/>
  <c r="L56" i="21"/>
  <c r="AU52" i="21"/>
  <c r="L52" i="21"/>
  <c r="AU48" i="21"/>
  <c r="L48" i="21"/>
  <c r="AU44" i="21"/>
  <c r="L44" i="21"/>
  <c r="AU40" i="21"/>
  <c r="L40" i="21"/>
  <c r="AU36" i="21"/>
  <c r="L36" i="21"/>
  <c r="AU32" i="21"/>
  <c r="L32" i="21"/>
  <c r="AU28" i="21"/>
  <c r="L28" i="21"/>
  <c r="AU24" i="21"/>
  <c r="L24" i="21"/>
  <c r="AU20" i="21"/>
  <c r="L20" i="21"/>
  <c r="AU16" i="21"/>
  <c r="L16" i="21"/>
  <c r="AU109" i="21"/>
  <c r="L109" i="21"/>
  <c r="AU105" i="21"/>
  <c r="L105" i="21"/>
  <c r="AU101" i="21"/>
  <c r="L101" i="21"/>
  <c r="AU97" i="21"/>
  <c r="L97" i="21"/>
  <c r="AU93" i="21"/>
  <c r="L93" i="21"/>
  <c r="AU89" i="21"/>
  <c r="L89" i="21"/>
  <c r="AU85" i="21"/>
  <c r="L85" i="21"/>
  <c r="AU81" i="21"/>
  <c r="L81" i="21"/>
  <c r="AU77" i="21"/>
  <c r="L77" i="21"/>
  <c r="AU73" i="21"/>
  <c r="L73" i="21"/>
  <c r="AU69" i="21"/>
  <c r="L69" i="21"/>
  <c r="AU65" i="21"/>
  <c r="L65" i="21"/>
  <c r="AU61" i="21"/>
  <c r="L61" i="21"/>
  <c r="AU57" i="21"/>
  <c r="L57" i="21"/>
  <c r="AU53" i="21"/>
  <c r="L53" i="21"/>
  <c r="AU49" i="21"/>
  <c r="L49" i="21"/>
  <c r="AU45" i="21"/>
  <c r="L45" i="21"/>
  <c r="AU41" i="21"/>
  <c r="L41" i="21"/>
  <c r="AU37" i="21"/>
  <c r="L37" i="21"/>
  <c r="AU33" i="21"/>
  <c r="L33" i="21"/>
  <c r="AU29" i="21"/>
  <c r="L29" i="21"/>
  <c r="AU25" i="21"/>
  <c r="L25" i="21"/>
  <c r="AU21" i="21"/>
  <c r="L21" i="21"/>
  <c r="AU17" i="21"/>
  <c r="L17" i="21"/>
  <c r="AU13" i="21"/>
  <c r="L13" i="21"/>
  <c r="B73" i="21"/>
  <c r="B45" i="21"/>
  <c r="B72" i="21"/>
  <c r="B318" i="2"/>
  <c r="B177" i="2"/>
  <c r="B362" i="2" s="1"/>
  <c r="B319" i="2"/>
  <c r="B214" i="2"/>
  <c r="C3" i="17"/>
  <c r="B25" i="2"/>
  <c r="B23" i="2"/>
  <c r="B24" i="2"/>
  <c r="G159" i="8"/>
  <c r="G158" i="8" s="1"/>
  <c r="G157" i="8" s="1"/>
  <c r="G156" i="8" s="1"/>
  <c r="G155" i="8" s="1"/>
  <c r="G154" i="8" s="1"/>
  <c r="G153" i="8" s="1"/>
  <c r="G152" i="8" s="1"/>
  <c r="G151" i="8" s="1"/>
  <c r="G150" i="8" s="1"/>
  <c r="G149" i="8" s="1"/>
  <c r="G148" i="8" s="1"/>
  <c r="G147" i="8" s="1"/>
  <c r="G146" i="8" s="1"/>
  <c r="G145" i="8" s="1"/>
  <c r="G144" i="8" s="1"/>
  <c r="G143" i="8" s="1"/>
  <c r="G142" i="8" s="1"/>
  <c r="G141" i="8" s="1"/>
  <c r="G140" i="8" s="1"/>
  <c r="G139" i="8" s="1"/>
  <c r="G138" i="8" s="1"/>
  <c r="G137" i="8" s="1"/>
  <c r="G136" i="8" s="1"/>
  <c r="G135" i="8" s="1"/>
  <c r="G134" i="8" s="1"/>
  <c r="G133" i="8" s="1"/>
  <c r="G132" i="8" s="1"/>
  <c r="G131" i="8" s="1"/>
  <c r="G130" i="8" s="1"/>
  <c r="G129" i="8" s="1"/>
  <c r="G128" i="8" s="1"/>
  <c r="G127" i="8" s="1"/>
  <c r="G126" i="8" s="1"/>
  <c r="G125" i="8" s="1"/>
  <c r="G124" i="8" s="1"/>
  <c r="G123" i="8" s="1"/>
  <c r="G122" i="8" s="1"/>
  <c r="G121" i="8" s="1"/>
  <c r="G120" i="8" s="1"/>
  <c r="G119" i="8" s="1"/>
  <c r="G118" i="8" s="1"/>
  <c r="G117" i="8" s="1"/>
  <c r="G116" i="8" s="1"/>
  <c r="G115" i="8" s="1"/>
  <c r="G114" i="8" s="1"/>
  <c r="G113" i="8" s="1"/>
  <c r="G112" i="8" s="1"/>
  <c r="G111" i="8" s="1"/>
  <c r="G110" i="8" s="1"/>
  <c r="G109" i="8" s="1"/>
  <c r="G108" i="8" s="1"/>
  <c r="G107" i="8" s="1"/>
  <c r="G106" i="8" s="1"/>
  <c r="G105" i="8" s="1"/>
  <c r="G104" i="8" s="1"/>
  <c r="G103" i="8" s="1"/>
  <c r="G102" i="8" s="1"/>
  <c r="G101" i="8" s="1"/>
  <c r="G100" i="8" s="1"/>
  <c r="G99" i="8" s="1"/>
  <c r="G98" i="8" s="1"/>
  <c r="G97" i="8" s="1"/>
  <c r="G96" i="8" s="1"/>
  <c r="G95" i="8" s="1"/>
  <c r="G94" i="8" s="1"/>
  <c r="G93" i="8" s="1"/>
  <c r="G92" i="8" s="1"/>
  <c r="G91" i="8" s="1"/>
  <c r="G90" i="8" s="1"/>
  <c r="G89" i="8" s="1"/>
  <c r="G88" i="8" s="1"/>
  <c r="G87" i="8" s="1"/>
  <c r="G86" i="8" s="1"/>
  <c r="G85" i="8" s="1"/>
  <c r="G84" i="8" s="1"/>
  <c r="G83" i="8" s="1"/>
  <c r="G82" i="8" s="1"/>
  <c r="G81" i="8" s="1"/>
  <c r="G80" i="8" s="1"/>
  <c r="G79" i="8" s="1"/>
  <c r="G78" i="8" s="1"/>
  <c r="G77" i="8" s="1"/>
  <c r="G76" i="8" s="1"/>
  <c r="G75" i="8" s="1"/>
  <c r="G74" i="8" s="1"/>
  <c r="G73" i="8" s="1"/>
  <c r="G72" i="8" s="1"/>
  <c r="G71" i="8" s="1"/>
  <c r="G70" i="8" s="1"/>
  <c r="G69" i="8" s="1"/>
  <c r="G68" i="8" s="1"/>
  <c r="G67" i="8" s="1"/>
  <c r="G66" i="8" s="1"/>
  <c r="G65" i="8" s="1"/>
  <c r="G64" i="8" s="1"/>
  <c r="G63" i="8" s="1"/>
  <c r="G62" i="8" s="1"/>
  <c r="G61" i="8" s="1"/>
  <c r="G60" i="8" s="1"/>
  <c r="G59" i="8" s="1"/>
  <c r="G58" i="8" s="1"/>
  <c r="G57" i="8" s="1"/>
  <c r="G56" i="8" s="1"/>
  <c r="G55" i="8" s="1"/>
  <c r="G54" i="8" s="1"/>
  <c r="G53" i="8" s="1"/>
  <c r="G52" i="8" s="1"/>
  <c r="G51" i="8" s="1"/>
  <c r="G50" i="8" s="1"/>
  <c r="G49" i="8" s="1"/>
  <c r="G48" i="8" s="1"/>
  <c r="G47" i="8" s="1"/>
  <c r="G46" i="8" s="1"/>
  <c r="G45" i="8" s="1"/>
  <c r="G44" i="8" s="1"/>
  <c r="G43" i="8" s="1"/>
  <c r="G42" i="8" s="1"/>
  <c r="G41" i="8" s="1"/>
  <c r="G40" i="8" s="1"/>
  <c r="G39" i="8" s="1"/>
  <c r="G38" i="8" s="1"/>
  <c r="G37" i="8" s="1"/>
  <c r="G36" i="8" s="1"/>
  <c r="G35" i="8" s="1"/>
  <c r="G34" i="8" s="1"/>
  <c r="G33" i="8" s="1"/>
  <c r="G32" i="8" s="1"/>
  <c r="G31" i="8" s="1"/>
  <c r="G30" i="8" s="1"/>
  <c r="G29" i="8" s="1"/>
  <c r="G28" i="8" s="1"/>
  <c r="G27" i="8" s="1"/>
  <c r="G26" i="8" s="1"/>
  <c r="G25" i="8" s="1"/>
  <c r="G24" i="8" s="1"/>
  <c r="G23" i="8" s="1"/>
  <c r="G22" i="8" s="1"/>
  <c r="G21" i="8" s="1"/>
  <c r="G20" i="8" s="1"/>
  <c r="G19" i="8" s="1"/>
  <c r="G18" i="8" s="1"/>
  <c r="G17" i="8" s="1"/>
  <c r="G16" i="8" s="1"/>
  <c r="G15" i="8" s="1"/>
  <c r="G14" i="8" s="1"/>
  <c r="G13" i="8" s="1"/>
  <c r="G12" i="8" s="1"/>
  <c r="G11" i="8" s="1"/>
  <c r="G10" i="8" s="1"/>
  <c r="G9" i="8" s="1"/>
  <c r="G8" i="8" s="1"/>
  <c r="G7" i="8" s="1"/>
  <c r="G6" i="8" s="1"/>
  <c r="B35" i="2"/>
  <c r="B380" i="2"/>
  <c r="O11" i="8"/>
  <c r="B240" i="2" s="1"/>
  <c r="C66" i="16"/>
  <c r="D66" i="16" s="1"/>
  <c r="B50" i="2"/>
  <c r="E62" i="1"/>
  <c r="AF16" i="23" l="1"/>
  <c r="AJ16" i="23"/>
  <c r="B113" i="2"/>
  <c r="P66" i="23"/>
  <c r="Q66" i="23" s="1"/>
  <c r="AE66" i="23" s="1"/>
  <c r="O87" i="23"/>
  <c r="P87" i="23"/>
  <c r="Q87" i="23" s="1"/>
  <c r="AE87" i="23" s="1"/>
  <c r="AJ87" i="23"/>
  <c r="V87" i="23"/>
  <c r="W87" i="23" s="1"/>
  <c r="X87" i="23" s="1"/>
  <c r="AF47" i="23"/>
  <c r="AJ89" i="23"/>
  <c r="AJ47" i="23"/>
  <c r="AF86" i="23"/>
  <c r="AJ58" i="23"/>
  <c r="AF58" i="23"/>
  <c r="P80" i="23"/>
  <c r="Q80" i="23" s="1"/>
  <c r="AE80" i="23" s="1"/>
  <c r="O86" i="23"/>
  <c r="O47" i="23"/>
  <c r="P19" i="23"/>
  <c r="Q19" i="23" s="1"/>
  <c r="AE19" i="23" s="1"/>
  <c r="P16" i="23"/>
  <c r="Q16" i="23" s="1"/>
  <c r="AE16" i="23" s="1"/>
  <c r="P60" i="23"/>
  <c r="Q60" i="23" s="1"/>
  <c r="AE60" i="23" s="1"/>
  <c r="AJ86" i="23"/>
  <c r="V89" i="23"/>
  <c r="W89" i="23" s="1"/>
  <c r="X89" i="23" s="1"/>
  <c r="AF89" i="23"/>
  <c r="P97" i="23"/>
  <c r="Q97" i="23" s="1"/>
  <c r="AE97" i="23" s="1"/>
  <c r="P58" i="23"/>
  <c r="Q58" i="23" s="1"/>
  <c r="AE58" i="23" s="1"/>
  <c r="AF97" i="23"/>
  <c r="AJ97" i="23"/>
  <c r="O109" i="23"/>
  <c r="AJ109" i="23"/>
  <c r="AF109" i="23"/>
  <c r="AJ93" i="23"/>
  <c r="V24" i="23"/>
  <c r="W24" i="23" s="1"/>
  <c r="X24" i="23" s="1"/>
  <c r="AF24" i="23"/>
  <c r="O89" i="23"/>
  <c r="O76" i="23"/>
  <c r="AJ24" i="23"/>
  <c r="AF93" i="23"/>
  <c r="AJ30" i="23"/>
  <c r="P93" i="23"/>
  <c r="Q93" i="23" s="1"/>
  <c r="AE93" i="23" s="1"/>
  <c r="P24" i="23"/>
  <c r="Q24" i="23" s="1"/>
  <c r="AE24" i="23" s="1"/>
  <c r="AF30" i="23"/>
  <c r="P30" i="23"/>
  <c r="Q30" i="23" s="1"/>
  <c r="AE30" i="23" s="1"/>
  <c r="O93" i="23"/>
  <c r="AJ76" i="23"/>
  <c r="P76" i="23"/>
  <c r="Q76" i="23" s="1"/>
  <c r="AE76" i="23" s="1"/>
  <c r="B131" i="2"/>
  <c r="B211" i="2"/>
  <c r="B207" i="2"/>
  <c r="F3" i="17" s="1"/>
  <c r="B186" i="2"/>
  <c r="B191" i="2"/>
  <c r="B225" i="2"/>
  <c r="D97" i="2"/>
  <c r="D101" i="2" s="1"/>
  <c r="D105" i="2" s="1"/>
  <c r="J21" i="1" s="1"/>
  <c r="D65" i="2"/>
  <c r="D60" i="2"/>
  <c r="D67" i="2"/>
  <c r="D79" i="2"/>
  <c r="D88" i="2" s="1"/>
  <c r="J18" i="1" s="1"/>
  <c r="P9" i="23"/>
  <c r="Q9" i="23" s="1"/>
  <c r="AE9" i="23" s="1"/>
  <c r="O9" i="23"/>
  <c r="AB9" i="23"/>
  <c r="AC9" i="23" s="1"/>
  <c r="B153" i="2"/>
  <c r="B69" i="2"/>
  <c r="B148" i="2"/>
  <c r="B147" i="2"/>
  <c r="B62" i="2"/>
  <c r="B99" i="2"/>
  <c r="B103" i="2" s="1"/>
  <c r="B112" i="2"/>
  <c r="B133" i="2"/>
  <c r="B80" i="2"/>
  <c r="B61" i="2"/>
  <c r="B132" i="2"/>
  <c r="B127" i="2"/>
  <c r="E38" i="1" s="1"/>
  <c r="B123" i="2"/>
  <c r="B120" i="2"/>
  <c r="B121" i="2" s="1"/>
  <c r="B79" i="21"/>
  <c r="B81" i="2"/>
  <c r="B70" i="21"/>
  <c r="B98" i="2"/>
  <c r="B102" i="2" s="1"/>
  <c r="V81" i="21"/>
  <c r="O81" i="21"/>
  <c r="P81" i="21"/>
  <c r="Q81" i="21" s="1"/>
  <c r="AE81" i="21" s="1"/>
  <c r="V35" i="21"/>
  <c r="O35" i="21"/>
  <c r="P35" i="21"/>
  <c r="Q35" i="21" s="1"/>
  <c r="AE35" i="21" s="1"/>
  <c r="AF99" i="21"/>
  <c r="O99" i="21"/>
  <c r="P99" i="21"/>
  <c r="Q99" i="21" s="1"/>
  <c r="AE99" i="21" s="1"/>
  <c r="V66" i="21"/>
  <c r="P66" i="21"/>
  <c r="Q66" i="21" s="1"/>
  <c r="AE66" i="21" s="1"/>
  <c r="O66" i="21"/>
  <c r="AF54" i="21"/>
  <c r="P54" i="21"/>
  <c r="Q54" i="21" s="1"/>
  <c r="AE54" i="21" s="1"/>
  <c r="O54" i="21"/>
  <c r="AF53" i="21"/>
  <c r="O53" i="21"/>
  <c r="P53" i="21"/>
  <c r="Q53" i="21" s="1"/>
  <c r="AE53" i="21" s="1"/>
  <c r="AF20" i="21"/>
  <c r="O20" i="21"/>
  <c r="P20" i="21"/>
  <c r="Q20" i="21" s="1"/>
  <c r="AE20" i="21" s="1"/>
  <c r="V84" i="21"/>
  <c r="O84" i="21"/>
  <c r="P84" i="21"/>
  <c r="Q84" i="21" s="1"/>
  <c r="AE84" i="21" s="1"/>
  <c r="AF95" i="21"/>
  <c r="P95" i="21"/>
  <c r="Q95" i="21" s="1"/>
  <c r="AE95" i="21" s="1"/>
  <c r="O95" i="21"/>
  <c r="V25" i="21"/>
  <c r="O25" i="21"/>
  <c r="P25" i="21"/>
  <c r="Q25" i="21" s="1"/>
  <c r="AE25" i="21" s="1"/>
  <c r="AF89" i="21"/>
  <c r="O89" i="21"/>
  <c r="P89" i="21"/>
  <c r="Q89" i="21" s="1"/>
  <c r="AE89" i="21" s="1"/>
  <c r="AF56" i="21"/>
  <c r="P56" i="21"/>
  <c r="Q56" i="21" s="1"/>
  <c r="AE56" i="21" s="1"/>
  <c r="O56" i="21"/>
  <c r="AF15" i="21"/>
  <c r="P15" i="21"/>
  <c r="Q15" i="21" s="1"/>
  <c r="AE15" i="21" s="1"/>
  <c r="O15" i="21"/>
  <c r="V62" i="21"/>
  <c r="P62" i="21"/>
  <c r="Q62" i="21" s="1"/>
  <c r="AE62" i="21" s="1"/>
  <c r="O62" i="21"/>
  <c r="AF58" i="21"/>
  <c r="P58" i="21"/>
  <c r="Q58" i="21" s="1"/>
  <c r="AE58" i="21" s="1"/>
  <c r="O58" i="21"/>
  <c r="AF30" i="21"/>
  <c r="P30" i="21"/>
  <c r="Q30" i="21" s="1"/>
  <c r="AE30" i="21" s="1"/>
  <c r="O30" i="21"/>
  <c r="V107" i="21"/>
  <c r="O107" i="21"/>
  <c r="P107" i="21"/>
  <c r="Q107" i="21" s="1"/>
  <c r="AE107" i="21" s="1"/>
  <c r="AF74" i="21"/>
  <c r="P74" i="21"/>
  <c r="Q74" i="21" s="1"/>
  <c r="AE74" i="21" s="1"/>
  <c r="O74" i="21"/>
  <c r="V78" i="21"/>
  <c r="P78" i="21"/>
  <c r="Q78" i="21" s="1"/>
  <c r="AE78" i="21" s="1"/>
  <c r="O78" i="21"/>
  <c r="AF61" i="21"/>
  <c r="O61" i="21"/>
  <c r="P61" i="21"/>
  <c r="Q61" i="21" s="1"/>
  <c r="AE61" i="21" s="1"/>
  <c r="AF28" i="21"/>
  <c r="O28" i="21"/>
  <c r="P28" i="21"/>
  <c r="Q28" i="21" s="1"/>
  <c r="AE28" i="21" s="1"/>
  <c r="AF92" i="21"/>
  <c r="O92" i="21"/>
  <c r="P92" i="21"/>
  <c r="Q92" i="21" s="1"/>
  <c r="AE92" i="21" s="1"/>
  <c r="V10" i="21"/>
  <c r="O10" i="21"/>
  <c r="P10" i="21"/>
  <c r="Q10" i="21" s="1"/>
  <c r="AE10" i="21" s="1"/>
  <c r="AF33" i="21"/>
  <c r="O33" i="21"/>
  <c r="P33" i="21"/>
  <c r="Q33" i="21" s="1"/>
  <c r="AE33" i="21" s="1"/>
  <c r="AF97" i="21"/>
  <c r="P97" i="21"/>
  <c r="Q97" i="21" s="1"/>
  <c r="AE97" i="21" s="1"/>
  <c r="O97" i="21"/>
  <c r="AF64" i="21"/>
  <c r="P64" i="21"/>
  <c r="Q64" i="21" s="1"/>
  <c r="AE64" i="21" s="1"/>
  <c r="O64" i="21"/>
  <c r="V94" i="21"/>
  <c r="P94" i="21"/>
  <c r="Q94" i="21" s="1"/>
  <c r="AE94" i="21" s="1"/>
  <c r="O94" i="21"/>
  <c r="AF27" i="21"/>
  <c r="O27" i="21"/>
  <c r="P27" i="21"/>
  <c r="Q27" i="21" s="1"/>
  <c r="AE27" i="21" s="1"/>
  <c r="R51" i="21"/>
  <c r="O51" i="21"/>
  <c r="P51" i="21"/>
  <c r="Q51" i="21" s="1"/>
  <c r="AE51" i="21" s="1"/>
  <c r="V69" i="21"/>
  <c r="O69" i="21"/>
  <c r="P69" i="21"/>
  <c r="Q69" i="21" s="1"/>
  <c r="AE69" i="21" s="1"/>
  <c r="V36" i="21"/>
  <c r="O36" i="21"/>
  <c r="P36" i="21"/>
  <c r="Q36" i="21" s="1"/>
  <c r="AE36" i="21" s="1"/>
  <c r="V100" i="21"/>
  <c r="O100" i="21"/>
  <c r="P100" i="21"/>
  <c r="Q100" i="21" s="1"/>
  <c r="AE100" i="21" s="1"/>
  <c r="V41" i="21"/>
  <c r="O41" i="21"/>
  <c r="P41" i="21"/>
  <c r="Q41" i="21" s="1"/>
  <c r="AE41" i="21" s="1"/>
  <c r="V72" i="21"/>
  <c r="P72" i="21"/>
  <c r="Q72" i="21" s="1"/>
  <c r="AE72" i="21" s="1"/>
  <c r="O72" i="21"/>
  <c r="AF48" i="21"/>
  <c r="P48" i="21"/>
  <c r="Q48" i="21" s="1"/>
  <c r="AE48" i="21" s="1"/>
  <c r="O48" i="21"/>
  <c r="AF59" i="21"/>
  <c r="O59" i="21"/>
  <c r="P59" i="21"/>
  <c r="Q59" i="21" s="1"/>
  <c r="AE59" i="21" s="1"/>
  <c r="AF90" i="21"/>
  <c r="O90" i="21"/>
  <c r="P90" i="21"/>
  <c r="Q90" i="21" s="1"/>
  <c r="AE90" i="21" s="1"/>
  <c r="V13" i="21"/>
  <c r="O13" i="21"/>
  <c r="P13" i="21"/>
  <c r="Q13" i="21" s="1"/>
  <c r="AE13" i="21" s="1"/>
  <c r="AF44" i="21"/>
  <c r="O44" i="21"/>
  <c r="P44" i="21"/>
  <c r="Q44" i="21" s="1"/>
  <c r="AE44" i="21" s="1"/>
  <c r="V71" i="21"/>
  <c r="P71" i="21"/>
  <c r="Q71" i="21" s="1"/>
  <c r="AE71" i="21" s="1"/>
  <c r="O71" i="21"/>
  <c r="V79" i="21"/>
  <c r="O79" i="21"/>
  <c r="P79" i="21"/>
  <c r="Q79" i="21" s="1"/>
  <c r="AE79" i="21" s="1"/>
  <c r="AF67" i="21"/>
  <c r="O67" i="21"/>
  <c r="P67" i="21"/>
  <c r="Q67" i="21" s="1"/>
  <c r="AE67" i="21" s="1"/>
  <c r="V34" i="21"/>
  <c r="O34" i="21"/>
  <c r="P34" i="21"/>
  <c r="Q34" i="21" s="1"/>
  <c r="AE34" i="21" s="1"/>
  <c r="V98" i="21"/>
  <c r="P98" i="21"/>
  <c r="Q98" i="21" s="1"/>
  <c r="AE98" i="21" s="1"/>
  <c r="O98" i="21"/>
  <c r="AF21" i="21"/>
  <c r="O21" i="21"/>
  <c r="P21" i="21"/>
  <c r="Q21" i="21" s="1"/>
  <c r="AE21" i="21" s="1"/>
  <c r="AF85" i="21"/>
  <c r="O85" i="21"/>
  <c r="P85" i="21"/>
  <c r="Q85" i="21" s="1"/>
  <c r="AE85" i="21" s="1"/>
  <c r="AF52" i="21"/>
  <c r="O52" i="21"/>
  <c r="P52" i="21"/>
  <c r="Q52" i="21" s="1"/>
  <c r="AE52" i="21" s="1"/>
  <c r="AF23" i="21"/>
  <c r="O23" i="21"/>
  <c r="P23" i="21"/>
  <c r="Q23" i="21" s="1"/>
  <c r="AE23" i="21" s="1"/>
  <c r="V70" i="21"/>
  <c r="P70" i="21"/>
  <c r="Q70" i="21" s="1"/>
  <c r="AE70" i="21" s="1"/>
  <c r="O70" i="21"/>
  <c r="AF57" i="21"/>
  <c r="O57" i="21"/>
  <c r="P57" i="21"/>
  <c r="Q57" i="21" s="1"/>
  <c r="AE57" i="21" s="1"/>
  <c r="V24" i="21"/>
  <c r="P24" i="21"/>
  <c r="Q24" i="21" s="1"/>
  <c r="AE24" i="21" s="1"/>
  <c r="O24" i="21"/>
  <c r="AF88" i="21"/>
  <c r="P88" i="21"/>
  <c r="Q88" i="21" s="1"/>
  <c r="AE88" i="21" s="1"/>
  <c r="O88" i="21"/>
  <c r="AF87" i="21"/>
  <c r="P87" i="21"/>
  <c r="Q87" i="21" s="1"/>
  <c r="AE87" i="21" s="1"/>
  <c r="O87" i="21"/>
  <c r="AF91" i="21"/>
  <c r="O91" i="21"/>
  <c r="P91" i="21"/>
  <c r="Q91" i="21" s="1"/>
  <c r="AE91" i="21" s="1"/>
  <c r="V45" i="21"/>
  <c r="O45" i="21"/>
  <c r="P45" i="21"/>
  <c r="Q45" i="21" s="1"/>
  <c r="AE45" i="21" s="1"/>
  <c r="AF42" i="21"/>
  <c r="P42" i="21"/>
  <c r="Q42" i="21" s="1"/>
  <c r="AE42" i="21" s="1"/>
  <c r="O42" i="21"/>
  <c r="V106" i="21"/>
  <c r="P106" i="21"/>
  <c r="Q106" i="21" s="1"/>
  <c r="AE106" i="21" s="1"/>
  <c r="O106" i="21"/>
  <c r="V29" i="21"/>
  <c r="O29" i="21"/>
  <c r="P29" i="21"/>
  <c r="Q29" i="21" s="1"/>
  <c r="AE29" i="21" s="1"/>
  <c r="AF93" i="21"/>
  <c r="O93" i="21"/>
  <c r="P93" i="21"/>
  <c r="Q93" i="21" s="1"/>
  <c r="AE93" i="21" s="1"/>
  <c r="AF60" i="21"/>
  <c r="O60" i="21"/>
  <c r="P60" i="21"/>
  <c r="Q60" i="21" s="1"/>
  <c r="AE60" i="21" s="1"/>
  <c r="V86" i="21"/>
  <c r="P86" i="21"/>
  <c r="Q86" i="21" s="1"/>
  <c r="AE86" i="21" s="1"/>
  <c r="O86" i="21"/>
  <c r="AF65" i="21"/>
  <c r="O65" i="21"/>
  <c r="P65" i="21"/>
  <c r="Q65" i="21" s="1"/>
  <c r="AE65" i="21" s="1"/>
  <c r="V32" i="21"/>
  <c r="P32" i="21"/>
  <c r="Q32" i="21" s="1"/>
  <c r="AE32" i="21" s="1"/>
  <c r="O32" i="21"/>
  <c r="AF96" i="21"/>
  <c r="P96" i="21"/>
  <c r="Q96" i="21" s="1"/>
  <c r="AE96" i="21" s="1"/>
  <c r="O96" i="21"/>
  <c r="V11" i="21"/>
  <c r="O11" i="21"/>
  <c r="P11" i="21"/>
  <c r="Q11" i="21" s="1"/>
  <c r="AE11" i="21" s="1"/>
  <c r="AF19" i="21"/>
  <c r="O19" i="21"/>
  <c r="P19" i="21"/>
  <c r="Q19" i="21" s="1"/>
  <c r="AE19" i="21" s="1"/>
  <c r="R83" i="21"/>
  <c r="O83" i="21"/>
  <c r="P83" i="21"/>
  <c r="Q83" i="21" s="1"/>
  <c r="AE83" i="21" s="1"/>
  <c r="V50" i="21"/>
  <c r="O50" i="21"/>
  <c r="P50" i="21"/>
  <c r="Q50" i="21" s="1"/>
  <c r="AE50" i="21" s="1"/>
  <c r="AF63" i="21"/>
  <c r="P63" i="21"/>
  <c r="Q63" i="21" s="1"/>
  <c r="AE63" i="21" s="1"/>
  <c r="O63" i="21"/>
  <c r="V101" i="21"/>
  <c r="P101" i="21"/>
  <c r="Q101" i="21" s="1"/>
  <c r="AE101" i="21" s="1"/>
  <c r="O101" i="21"/>
  <c r="V68" i="21"/>
  <c r="O68" i="21"/>
  <c r="P68" i="21"/>
  <c r="Q68" i="21" s="1"/>
  <c r="AE68" i="21" s="1"/>
  <c r="AF55" i="21"/>
  <c r="O55" i="21"/>
  <c r="P55" i="21"/>
  <c r="Q55" i="21" s="1"/>
  <c r="AE55" i="21" s="1"/>
  <c r="V12" i="21"/>
  <c r="O12" i="21"/>
  <c r="P12" i="21"/>
  <c r="Q12" i="21" s="1"/>
  <c r="AE12" i="21" s="1"/>
  <c r="AF73" i="21"/>
  <c r="O73" i="21"/>
  <c r="P73" i="21"/>
  <c r="Q73" i="21" s="1"/>
  <c r="AE73" i="21" s="1"/>
  <c r="V40" i="21"/>
  <c r="P40" i="21"/>
  <c r="Q40" i="21" s="1"/>
  <c r="AE40" i="21" s="1"/>
  <c r="O40" i="21"/>
  <c r="V104" i="21"/>
  <c r="P104" i="21"/>
  <c r="Q104" i="21" s="1"/>
  <c r="AE104" i="21" s="1"/>
  <c r="O104" i="21"/>
  <c r="B382" i="2"/>
  <c r="B381" i="2"/>
  <c r="B97" i="2"/>
  <c r="B101" i="2" s="1"/>
  <c r="B60" i="2"/>
  <c r="B67" i="2"/>
  <c r="B79" i="2"/>
  <c r="E623" i="25"/>
  <c r="F623" i="25"/>
  <c r="S9" i="21"/>
  <c r="B111" i="2"/>
  <c r="E110" i="17"/>
  <c r="F329" i="17"/>
  <c r="E203" i="17"/>
  <c r="Y9" i="23"/>
  <c r="Z9" i="23" s="1"/>
  <c r="AA9" i="23" s="1"/>
  <c r="AF72" i="21"/>
  <c r="AF62" i="21"/>
  <c r="AF107" i="21"/>
  <c r="AF100" i="21"/>
  <c r="AH9" i="23"/>
  <c r="AI9" i="23" s="1"/>
  <c r="AF41" i="21"/>
  <c r="AF69" i="21"/>
  <c r="AF101" i="21"/>
  <c r="AF12" i="21"/>
  <c r="AF68" i="21"/>
  <c r="AF86" i="21"/>
  <c r="AF25" i="21"/>
  <c r="AF40" i="21"/>
  <c r="AF104" i="21"/>
  <c r="AF36" i="21"/>
  <c r="AF24" i="21"/>
  <c r="AF94" i="21"/>
  <c r="AF106" i="21"/>
  <c r="AJ9" i="23"/>
  <c r="AF9" i="23"/>
  <c r="V9" i="23"/>
  <c r="W9" i="23" s="1"/>
  <c r="X9" i="23" s="1"/>
  <c r="R9" i="23"/>
  <c r="W82" i="23"/>
  <c r="X82" i="23" s="1"/>
  <c r="W75" i="23"/>
  <c r="X75" i="23" s="1"/>
  <c r="W107" i="23"/>
  <c r="X107" i="23" s="1"/>
  <c r="W59" i="23"/>
  <c r="X59" i="23" s="1"/>
  <c r="W43" i="23"/>
  <c r="X43" i="23" s="1"/>
  <c r="W100" i="23"/>
  <c r="X100" i="23" s="1"/>
  <c r="W10" i="23"/>
  <c r="X10" i="23" s="1"/>
  <c r="W102" i="23"/>
  <c r="X102" i="23" s="1"/>
  <c r="W83" i="23"/>
  <c r="X83" i="23" s="1"/>
  <c r="W36" i="23"/>
  <c r="X36" i="23" s="1"/>
  <c r="W105" i="23"/>
  <c r="X105" i="23" s="1"/>
  <c r="W88" i="23"/>
  <c r="X88" i="23" s="1"/>
  <c r="W34" i="23"/>
  <c r="X34" i="23" s="1"/>
  <c r="W17" i="23"/>
  <c r="X17" i="23" s="1"/>
  <c r="W101" i="23"/>
  <c r="X101" i="23" s="1"/>
  <c r="W91" i="23"/>
  <c r="X91" i="23" s="1"/>
  <c r="W64" i="23"/>
  <c r="X64" i="23" s="1"/>
  <c r="W72" i="23"/>
  <c r="X72" i="23" s="1"/>
  <c r="W80" i="23"/>
  <c r="X80" i="23" s="1"/>
  <c r="W93" i="23"/>
  <c r="X93" i="23" s="1"/>
  <c r="W29" i="23"/>
  <c r="X29" i="23" s="1"/>
  <c r="W18" i="23"/>
  <c r="X18" i="23" s="1"/>
  <c r="V71" i="23"/>
  <c r="V77" i="23"/>
  <c r="V60" i="23"/>
  <c r="V28" i="23"/>
  <c r="V20" i="23"/>
  <c r="V61" i="23"/>
  <c r="R61" i="23"/>
  <c r="V70" i="23"/>
  <c r="V79" i="23"/>
  <c r="V47" i="23"/>
  <c r="V57" i="23"/>
  <c r="V62" i="23"/>
  <c r="R62" i="23"/>
  <c r="V26" i="23"/>
  <c r="V84" i="23"/>
  <c r="V97" i="23"/>
  <c r="R24" i="23"/>
  <c r="AH52" i="23"/>
  <c r="AI52" i="23" s="1"/>
  <c r="AK52" i="23" s="1"/>
  <c r="AH11" i="23"/>
  <c r="AI11" i="23" s="1"/>
  <c r="AK11" i="23" s="1"/>
  <c r="AH99" i="23"/>
  <c r="AI99" i="23" s="1"/>
  <c r="AK99" i="23" s="1"/>
  <c r="AF13" i="21"/>
  <c r="AF71" i="21"/>
  <c r="AH90" i="23"/>
  <c r="AI90" i="23" s="1"/>
  <c r="AK90" i="23" s="1"/>
  <c r="AH39" i="23"/>
  <c r="AI39" i="23" s="1"/>
  <c r="AK39" i="23" s="1"/>
  <c r="AB39" i="23"/>
  <c r="AC39" i="23" s="1"/>
  <c r="Y103" i="23"/>
  <c r="Z103" i="23" s="1"/>
  <c r="AA103" i="23" s="1"/>
  <c r="Y63" i="23"/>
  <c r="Z63" i="23" s="1"/>
  <c r="AA63" i="23" s="1"/>
  <c r="AH105" i="23"/>
  <c r="AI105" i="23" s="1"/>
  <c r="Y105" i="23"/>
  <c r="Z105" i="23" s="1"/>
  <c r="AA105" i="23" s="1"/>
  <c r="AB105" i="23"/>
  <c r="AC105" i="23" s="1"/>
  <c r="R105" i="23"/>
  <c r="R89" i="23"/>
  <c r="AH75" i="23"/>
  <c r="AI75" i="23" s="1"/>
  <c r="AK75" i="23" s="1"/>
  <c r="Y75" i="23"/>
  <c r="Z75" i="23" s="1"/>
  <c r="AA75" i="23" s="1"/>
  <c r="AB75" i="23"/>
  <c r="AC75" i="23" s="1"/>
  <c r="R75" i="23"/>
  <c r="AB86" i="23"/>
  <c r="AC86" i="23" s="1"/>
  <c r="AB68" i="23"/>
  <c r="AC68" i="23" s="1"/>
  <c r="AH68" i="23"/>
  <c r="AI68" i="23" s="1"/>
  <c r="AK68" i="23" s="1"/>
  <c r="AH43" i="23"/>
  <c r="AI43" i="23" s="1"/>
  <c r="AK43" i="23" s="1"/>
  <c r="Y43" i="23"/>
  <c r="Z43" i="23" s="1"/>
  <c r="AA43" i="23" s="1"/>
  <c r="AB43" i="23"/>
  <c r="AC43" i="23" s="1"/>
  <c r="R43" i="23"/>
  <c r="AH41" i="23"/>
  <c r="AI41" i="23" s="1"/>
  <c r="AK41" i="23" s="1"/>
  <c r="AB71" i="23"/>
  <c r="AC71" i="23" s="1"/>
  <c r="AH71" i="23"/>
  <c r="AI71" i="23" s="1"/>
  <c r="AK71" i="23" s="1"/>
  <c r="Y71" i="23"/>
  <c r="Z71" i="23" s="1"/>
  <c r="AA71" i="23" s="1"/>
  <c r="R101" i="23"/>
  <c r="AB54" i="23"/>
  <c r="AC54" i="23" s="1"/>
  <c r="AH22" i="23"/>
  <c r="AI22" i="23" s="1"/>
  <c r="AK22" i="23" s="1"/>
  <c r="R10" i="23"/>
  <c r="Y106" i="23"/>
  <c r="Z106" i="23" s="1"/>
  <c r="AA106" i="23" s="1"/>
  <c r="AB107" i="23"/>
  <c r="AC107" i="23" s="1"/>
  <c r="AH107" i="23"/>
  <c r="AI107" i="23" s="1"/>
  <c r="AK107" i="23" s="1"/>
  <c r="Y107" i="23"/>
  <c r="Z107" i="23" s="1"/>
  <c r="AA107" i="23" s="1"/>
  <c r="AB78" i="23"/>
  <c r="AC78" i="23" s="1"/>
  <c r="AH55" i="23"/>
  <c r="AI55" i="23" s="1"/>
  <c r="AK55" i="23" s="1"/>
  <c r="AH64" i="23"/>
  <c r="AI64" i="23" s="1"/>
  <c r="AK64" i="23" s="1"/>
  <c r="Y64" i="23"/>
  <c r="Z64" i="23" s="1"/>
  <c r="AA64" i="23" s="1"/>
  <c r="AB64" i="23"/>
  <c r="AC64" i="23" s="1"/>
  <c r="R64" i="23"/>
  <c r="AH23" i="23"/>
  <c r="AI23" i="23" s="1"/>
  <c r="AK23" i="23" s="1"/>
  <c r="AB12" i="23"/>
  <c r="AC12" i="23" s="1"/>
  <c r="AH13" i="23"/>
  <c r="AI13" i="23" s="1"/>
  <c r="AK13" i="23" s="1"/>
  <c r="R29" i="23"/>
  <c r="AH102" i="23"/>
  <c r="AI102" i="23" s="1"/>
  <c r="AK102" i="23" s="1"/>
  <c r="Y102" i="23"/>
  <c r="Z102" i="23" s="1"/>
  <c r="AA102" i="23" s="1"/>
  <c r="AB102" i="23"/>
  <c r="AC102" i="23" s="1"/>
  <c r="R102" i="23"/>
  <c r="AH88" i="23"/>
  <c r="AI88" i="23" s="1"/>
  <c r="AK88" i="23" s="1"/>
  <c r="Y88" i="23"/>
  <c r="Z88" i="23" s="1"/>
  <c r="AA88" i="23" s="1"/>
  <c r="AB88" i="23"/>
  <c r="AC88" i="23" s="1"/>
  <c r="R88" i="23"/>
  <c r="R83" i="23"/>
  <c r="AF45" i="21"/>
  <c r="AH63" i="23"/>
  <c r="AI63" i="23" s="1"/>
  <c r="AK63" i="23" s="1"/>
  <c r="Y73" i="23"/>
  <c r="Z73" i="23" s="1"/>
  <c r="AA73" i="23" s="1"/>
  <c r="AH21" i="23"/>
  <c r="AI21" i="23" s="1"/>
  <c r="AK21" i="23" s="1"/>
  <c r="AB98" i="23"/>
  <c r="AC98" i="23" s="1"/>
  <c r="Y86" i="23"/>
  <c r="Z86" i="23" s="1"/>
  <c r="AA86" i="23" s="1"/>
  <c r="Y56" i="23"/>
  <c r="Z56" i="23" s="1"/>
  <c r="AA56" i="23" s="1"/>
  <c r="AH48" i="23"/>
  <c r="AI48" i="23" s="1"/>
  <c r="AK48" i="23" s="1"/>
  <c r="AH58" i="23"/>
  <c r="AI58" i="23" s="1"/>
  <c r="AH16" i="23"/>
  <c r="AI16" i="23" s="1"/>
  <c r="AK16" i="23" s="1"/>
  <c r="R26" i="23"/>
  <c r="R71" i="23"/>
  <c r="AF81" i="21"/>
  <c r="AF32" i="21"/>
  <c r="AF11" i="21"/>
  <c r="AB82" i="23"/>
  <c r="AC82" i="23" s="1"/>
  <c r="Y82" i="23"/>
  <c r="Z82" i="23" s="1"/>
  <c r="AA82" i="23" s="1"/>
  <c r="AH82" i="23"/>
  <c r="AI82" i="23" s="1"/>
  <c r="AK82" i="23" s="1"/>
  <c r="AH47" i="23"/>
  <c r="AI47" i="23" s="1"/>
  <c r="AK47" i="23" s="1"/>
  <c r="Y47" i="23"/>
  <c r="Z47" i="23" s="1"/>
  <c r="AA47" i="23" s="1"/>
  <c r="AB47" i="23"/>
  <c r="AC47" i="23" s="1"/>
  <c r="R47" i="23"/>
  <c r="AH10" i="23"/>
  <c r="AI10" i="23" s="1"/>
  <c r="AK10" i="23" s="1"/>
  <c r="Y10" i="23"/>
  <c r="Z10" i="23" s="1"/>
  <c r="AA10" i="23" s="1"/>
  <c r="AB10" i="23"/>
  <c r="AC10" i="23" s="1"/>
  <c r="AF29" i="21"/>
  <c r="AF78" i="21"/>
  <c r="Y65" i="23"/>
  <c r="Z65" i="23" s="1"/>
  <c r="AA65" i="23" s="1"/>
  <c r="AH57" i="23"/>
  <c r="AI57" i="23" s="1"/>
  <c r="AK57" i="23" s="1"/>
  <c r="Y57" i="23"/>
  <c r="Z57" i="23" s="1"/>
  <c r="AA57" i="23" s="1"/>
  <c r="AB57" i="23"/>
  <c r="AC57" i="23" s="1"/>
  <c r="R57" i="23"/>
  <c r="AH66" i="23"/>
  <c r="AI66" i="23" s="1"/>
  <c r="AK66" i="23" s="1"/>
  <c r="AB66" i="23"/>
  <c r="AC66" i="23" s="1"/>
  <c r="Y66" i="23"/>
  <c r="Z66" i="23" s="1"/>
  <c r="AA66" i="23" s="1"/>
  <c r="AB29" i="23"/>
  <c r="AC29" i="23" s="1"/>
  <c r="Y29" i="23"/>
  <c r="Z29" i="23" s="1"/>
  <c r="AA29" i="23" s="1"/>
  <c r="AH29" i="23"/>
  <c r="AI29" i="23" s="1"/>
  <c r="AK29" i="23" s="1"/>
  <c r="AH83" i="23"/>
  <c r="AI83" i="23" s="1"/>
  <c r="AK83" i="23" s="1"/>
  <c r="Y83" i="23"/>
  <c r="Z83" i="23" s="1"/>
  <c r="AA83" i="23" s="1"/>
  <c r="AB83" i="23"/>
  <c r="AC83" i="23" s="1"/>
  <c r="AB72" i="23"/>
  <c r="AC72" i="23" s="1"/>
  <c r="AH72" i="23"/>
  <c r="AI72" i="23" s="1"/>
  <c r="AK72" i="23" s="1"/>
  <c r="Y72" i="23"/>
  <c r="Z72" i="23" s="1"/>
  <c r="AA72" i="23" s="1"/>
  <c r="R72" i="23"/>
  <c r="AH34" i="23"/>
  <c r="AI34" i="23" s="1"/>
  <c r="AK34" i="23" s="1"/>
  <c r="AB34" i="23"/>
  <c r="AC34" i="23" s="1"/>
  <c r="Y34" i="23"/>
  <c r="Z34" i="23" s="1"/>
  <c r="AA34" i="23" s="1"/>
  <c r="Y32" i="23"/>
  <c r="Z32" i="23" s="1"/>
  <c r="AA32" i="23" s="1"/>
  <c r="R36" i="23"/>
  <c r="AH94" i="23"/>
  <c r="AI94" i="23" s="1"/>
  <c r="AK94" i="23" s="1"/>
  <c r="AB94" i="23"/>
  <c r="AC94" i="23" s="1"/>
  <c r="AH84" i="23"/>
  <c r="AI84" i="23" s="1"/>
  <c r="AK84" i="23" s="1"/>
  <c r="Y84" i="23"/>
  <c r="Z84" i="23" s="1"/>
  <c r="AA84" i="23" s="1"/>
  <c r="AB84" i="23"/>
  <c r="AC84" i="23" s="1"/>
  <c r="R84" i="23"/>
  <c r="AB80" i="23"/>
  <c r="AC80" i="23" s="1"/>
  <c r="Y80" i="23"/>
  <c r="Z80" i="23" s="1"/>
  <c r="AA80" i="23" s="1"/>
  <c r="AH80" i="23"/>
  <c r="AI80" i="23" s="1"/>
  <c r="AK80" i="23" s="1"/>
  <c r="R80" i="23"/>
  <c r="AH87" i="23"/>
  <c r="Y87" i="23"/>
  <c r="Z87" i="23" s="1"/>
  <c r="AA87" i="23" s="1"/>
  <c r="AB87" i="23"/>
  <c r="AC87" i="23" s="1"/>
  <c r="AB59" i="23"/>
  <c r="AC59" i="23" s="1"/>
  <c r="Y59" i="23"/>
  <c r="Z59" i="23" s="1"/>
  <c r="AA59" i="23" s="1"/>
  <c r="AH59" i="23"/>
  <c r="AI59" i="23" s="1"/>
  <c r="AK59" i="23" s="1"/>
  <c r="R59" i="23"/>
  <c r="AB67" i="23"/>
  <c r="AC67" i="23" s="1"/>
  <c r="AH25" i="23"/>
  <c r="AI25" i="23" s="1"/>
  <c r="AK25" i="23" s="1"/>
  <c r="Y27" i="23"/>
  <c r="Z27" i="23" s="1"/>
  <c r="AA27" i="23" s="1"/>
  <c r="AH17" i="23"/>
  <c r="Y17" i="23"/>
  <c r="Z17" i="23" s="1"/>
  <c r="AA17" i="23" s="1"/>
  <c r="AB17" i="23"/>
  <c r="AC17" i="23" s="1"/>
  <c r="R17" i="23"/>
  <c r="AF79" i="21"/>
  <c r="AF10" i="21"/>
  <c r="AF70" i="21"/>
  <c r="F64" i="17"/>
  <c r="AH93" i="23"/>
  <c r="Y93" i="23"/>
  <c r="Z93" i="23" s="1"/>
  <c r="AA93" i="23" s="1"/>
  <c r="AB93" i="23"/>
  <c r="AC93" i="23" s="1"/>
  <c r="R93" i="23"/>
  <c r="AB89" i="23"/>
  <c r="AC89" i="23" s="1"/>
  <c r="AH89" i="23"/>
  <c r="AI89" i="23" s="1"/>
  <c r="AK89" i="23" s="1"/>
  <c r="Y89" i="23"/>
  <c r="Z89" i="23" s="1"/>
  <c r="AA89" i="23" s="1"/>
  <c r="AH95" i="23"/>
  <c r="AI95" i="23" s="1"/>
  <c r="AK95" i="23" s="1"/>
  <c r="AB96" i="23"/>
  <c r="AC96" i="23" s="1"/>
  <c r="AH79" i="23"/>
  <c r="AI79" i="23" s="1"/>
  <c r="AK79" i="23" s="1"/>
  <c r="Y79" i="23"/>
  <c r="Z79" i="23" s="1"/>
  <c r="AA79" i="23" s="1"/>
  <c r="AB79" i="23"/>
  <c r="R79" i="23"/>
  <c r="AH62" i="23"/>
  <c r="AI62" i="23" s="1"/>
  <c r="AK62" i="23" s="1"/>
  <c r="Y62" i="23"/>
  <c r="Z62" i="23" s="1"/>
  <c r="AA62" i="23" s="1"/>
  <c r="AB62" i="23"/>
  <c r="AC62" i="23" s="1"/>
  <c r="Y24" i="23"/>
  <c r="Z24" i="23" s="1"/>
  <c r="AA24" i="23" s="1"/>
  <c r="AB24" i="23"/>
  <c r="AC24" i="23" s="1"/>
  <c r="AH24" i="23"/>
  <c r="AI24" i="23" s="1"/>
  <c r="AH20" i="23"/>
  <c r="Y20" i="23"/>
  <c r="Z20" i="23" s="1"/>
  <c r="AA20" i="23" s="1"/>
  <c r="AB20" i="23"/>
  <c r="AC20" i="23" s="1"/>
  <c r="R20" i="23"/>
  <c r="AH26" i="23"/>
  <c r="AI26" i="23" s="1"/>
  <c r="AK26" i="23" s="1"/>
  <c r="AB26" i="23"/>
  <c r="AC26" i="23" s="1"/>
  <c r="Y26" i="23"/>
  <c r="Z26" i="23" s="1"/>
  <c r="AA26" i="23" s="1"/>
  <c r="AB99" i="23"/>
  <c r="AC99" i="23" s="1"/>
  <c r="AB100" i="23"/>
  <c r="AC100" i="23" s="1"/>
  <c r="AH100" i="23"/>
  <c r="AI100" i="23" s="1"/>
  <c r="AK100" i="23" s="1"/>
  <c r="Y100" i="23"/>
  <c r="Z100" i="23" s="1"/>
  <c r="AA100" i="23" s="1"/>
  <c r="R100" i="23"/>
  <c r="R82" i="23"/>
  <c r="AH101" i="23"/>
  <c r="AI101" i="23" s="1"/>
  <c r="AK101" i="23" s="1"/>
  <c r="Y101" i="23"/>
  <c r="Z101" i="23" s="1"/>
  <c r="AA101" i="23" s="1"/>
  <c r="AB101" i="23"/>
  <c r="AC101" i="23" s="1"/>
  <c r="AB50" i="23"/>
  <c r="AC50" i="23" s="1"/>
  <c r="AH50" i="23"/>
  <c r="AI50" i="23" s="1"/>
  <c r="AK50" i="23" s="1"/>
  <c r="AH104" i="23"/>
  <c r="AI104" i="23" s="1"/>
  <c r="AK104" i="23" s="1"/>
  <c r="AB61" i="23"/>
  <c r="AC61" i="23" s="1"/>
  <c r="AH61" i="23"/>
  <c r="Y61" i="23"/>
  <c r="Z61" i="23" s="1"/>
  <c r="AA61" i="23" s="1"/>
  <c r="AB46" i="23"/>
  <c r="AC46" i="23" s="1"/>
  <c r="AH44" i="23"/>
  <c r="AI44" i="23" s="1"/>
  <c r="AK44" i="23" s="1"/>
  <c r="R107" i="23"/>
  <c r="Y92" i="23"/>
  <c r="Z92" i="23" s="1"/>
  <c r="AA92" i="23" s="1"/>
  <c r="Y85" i="23"/>
  <c r="Z85" i="23" s="1"/>
  <c r="AA85" i="23" s="1"/>
  <c r="AH91" i="23"/>
  <c r="Y91" i="23"/>
  <c r="Z91" i="23" s="1"/>
  <c r="AA91" i="23" s="1"/>
  <c r="AB91" i="23"/>
  <c r="AC91" i="23" s="1"/>
  <c r="R91" i="23"/>
  <c r="AB74" i="23"/>
  <c r="AC74" i="23" s="1"/>
  <c r="Y51" i="23"/>
  <c r="Z51" i="23" s="1"/>
  <c r="AA51" i="23" s="1"/>
  <c r="AB33" i="23"/>
  <c r="AC33" i="23" s="1"/>
  <c r="AB70" i="23"/>
  <c r="AC70" i="23" s="1"/>
  <c r="AH70" i="23"/>
  <c r="AI70" i="23" s="1"/>
  <c r="AK70" i="23" s="1"/>
  <c r="Y70" i="23"/>
  <c r="Z70" i="23" s="1"/>
  <c r="AA70" i="23" s="1"/>
  <c r="R70" i="23"/>
  <c r="AB14" i="23"/>
  <c r="AC14" i="23" s="1"/>
  <c r="AB31" i="23"/>
  <c r="AC31" i="23" s="1"/>
  <c r="AF35" i="21"/>
  <c r="AF51" i="21"/>
  <c r="AF83" i="21"/>
  <c r="AF34" i="21"/>
  <c r="AF50" i="21"/>
  <c r="AF66" i="21"/>
  <c r="AF98" i="21"/>
  <c r="AH77" i="23"/>
  <c r="AI77" i="23" s="1"/>
  <c r="AK77" i="23" s="1"/>
  <c r="Y77" i="23"/>
  <c r="Z77" i="23" s="1"/>
  <c r="AA77" i="23" s="1"/>
  <c r="AB77" i="23"/>
  <c r="AC77" i="23" s="1"/>
  <c r="R77" i="23"/>
  <c r="Y60" i="23"/>
  <c r="Z60" i="23" s="1"/>
  <c r="AA60" i="23" s="1"/>
  <c r="AH60" i="23"/>
  <c r="AI60" i="23" s="1"/>
  <c r="AK60" i="23" s="1"/>
  <c r="AB60" i="23"/>
  <c r="AC60" i="23" s="1"/>
  <c r="R60" i="23"/>
  <c r="R34" i="23"/>
  <c r="AH18" i="23"/>
  <c r="AI18" i="23" s="1"/>
  <c r="AK18" i="23" s="1"/>
  <c r="Y18" i="23"/>
  <c r="Z18" i="23" s="1"/>
  <c r="AA18" i="23" s="1"/>
  <c r="AB18" i="23"/>
  <c r="R18" i="23"/>
  <c r="AB37" i="23"/>
  <c r="AC37" i="23" s="1"/>
  <c r="AB36" i="23"/>
  <c r="AC36" i="23" s="1"/>
  <c r="AH36" i="23"/>
  <c r="AI36" i="23" s="1"/>
  <c r="AK36" i="23" s="1"/>
  <c r="Y36" i="23"/>
  <c r="Z36" i="23" s="1"/>
  <c r="AA36" i="23" s="1"/>
  <c r="AB30" i="23"/>
  <c r="AC30" i="23" s="1"/>
  <c r="AF84" i="21"/>
  <c r="Y109" i="23"/>
  <c r="Z109" i="23" s="1"/>
  <c r="AA109" i="23" s="1"/>
  <c r="Y108" i="23"/>
  <c r="Z108" i="23" s="1"/>
  <c r="AA108" i="23" s="1"/>
  <c r="AH97" i="23"/>
  <c r="AI97" i="23" s="1"/>
  <c r="Y97" i="23"/>
  <c r="Z97" i="23" s="1"/>
  <c r="AA97" i="23" s="1"/>
  <c r="AB97" i="23"/>
  <c r="AC97" i="23" s="1"/>
  <c r="R97" i="23"/>
  <c r="AB76" i="23"/>
  <c r="AC76" i="23" s="1"/>
  <c r="R87" i="23"/>
  <c r="AH45" i="23"/>
  <c r="AI45" i="23" s="1"/>
  <c r="AK45" i="23" s="1"/>
  <c r="Y15" i="23"/>
  <c r="Z15" i="23" s="1"/>
  <c r="AA15" i="23" s="1"/>
  <c r="Y40" i="23"/>
  <c r="Z40" i="23" s="1"/>
  <c r="AA40" i="23" s="1"/>
  <c r="AH28" i="23"/>
  <c r="AI28" i="23" s="1"/>
  <c r="AK28" i="23" s="1"/>
  <c r="AB28" i="23"/>
  <c r="Y28" i="23"/>
  <c r="Z28" i="23" s="1"/>
  <c r="AA28" i="23" s="1"/>
  <c r="R28" i="23"/>
  <c r="AH38" i="23"/>
  <c r="AI38" i="23" s="1"/>
  <c r="AK38" i="23" s="1"/>
  <c r="E213" i="17"/>
  <c r="F20" i="17"/>
  <c r="F254" i="17"/>
  <c r="E75" i="17"/>
  <c r="F176" i="17"/>
  <c r="F326" i="17"/>
  <c r="E471" i="17"/>
  <c r="F32" i="17"/>
  <c r="E349" i="17"/>
  <c r="E107" i="17"/>
  <c r="E398" i="17"/>
  <c r="V57" i="21"/>
  <c r="AJ57" i="21"/>
  <c r="AD13" i="21"/>
  <c r="AD17" i="21"/>
  <c r="AD21" i="21"/>
  <c r="AD25" i="21"/>
  <c r="AD29" i="21"/>
  <c r="AD33" i="21"/>
  <c r="AD37" i="21"/>
  <c r="AD41" i="21"/>
  <c r="AD45" i="21"/>
  <c r="AD49" i="21"/>
  <c r="AD53" i="21"/>
  <c r="AD57" i="21"/>
  <c r="AD61" i="21"/>
  <c r="AD65" i="21"/>
  <c r="AD69" i="21"/>
  <c r="AD73" i="21"/>
  <c r="AD77" i="21"/>
  <c r="AD81" i="21"/>
  <c r="AD85" i="21"/>
  <c r="AD89" i="21"/>
  <c r="AD93" i="21"/>
  <c r="AD97" i="21"/>
  <c r="AD101" i="21"/>
  <c r="AD105" i="21"/>
  <c r="AD109" i="21"/>
  <c r="AD15" i="21"/>
  <c r="AD23" i="21"/>
  <c r="AD31" i="21"/>
  <c r="AD39" i="21"/>
  <c r="AD47" i="21"/>
  <c r="AD55" i="21"/>
  <c r="AD63" i="21"/>
  <c r="AD71" i="21"/>
  <c r="AD79" i="21"/>
  <c r="AD87" i="21"/>
  <c r="AD95" i="21"/>
  <c r="AD103" i="21"/>
  <c r="AD12" i="21"/>
  <c r="AD24" i="21"/>
  <c r="AD32" i="21"/>
  <c r="AD40" i="21"/>
  <c r="AD48" i="21"/>
  <c r="AD56" i="21"/>
  <c r="AD64" i="21"/>
  <c r="AD72" i="21"/>
  <c r="AD80" i="21"/>
  <c r="AD88" i="21"/>
  <c r="AD92" i="21"/>
  <c r="AD100" i="21"/>
  <c r="AD108" i="21"/>
  <c r="AD10" i="21"/>
  <c r="AD14" i="21"/>
  <c r="AD18" i="21"/>
  <c r="AD22" i="21"/>
  <c r="AD26" i="21"/>
  <c r="AD30" i="21"/>
  <c r="AD34" i="21"/>
  <c r="AD38" i="21"/>
  <c r="AD42" i="21"/>
  <c r="AD46" i="21"/>
  <c r="AD50" i="21"/>
  <c r="AD54" i="21"/>
  <c r="AD58" i="21"/>
  <c r="AD62" i="21"/>
  <c r="AD66" i="21"/>
  <c r="AD70" i="21"/>
  <c r="AD74" i="21"/>
  <c r="AD78" i="21"/>
  <c r="AD82" i="21"/>
  <c r="AD86" i="21"/>
  <c r="AD90" i="21"/>
  <c r="AD94" i="21"/>
  <c r="AD98" i="21"/>
  <c r="AD102" i="21"/>
  <c r="AD106" i="21"/>
  <c r="AD9" i="21"/>
  <c r="AD11" i="21"/>
  <c r="AD19" i="21"/>
  <c r="AD27" i="21"/>
  <c r="AD35" i="21"/>
  <c r="AD43" i="21"/>
  <c r="AD51" i="21"/>
  <c r="AD59" i="21"/>
  <c r="AD67" i="21"/>
  <c r="AD75" i="21"/>
  <c r="AD83" i="21"/>
  <c r="AD91" i="21"/>
  <c r="AD99" i="21"/>
  <c r="AD107" i="21"/>
  <c r="AD16" i="21"/>
  <c r="AD20" i="21"/>
  <c r="AD28" i="21"/>
  <c r="AD36" i="21"/>
  <c r="AD44" i="21"/>
  <c r="AD52" i="21"/>
  <c r="AD60" i="21"/>
  <c r="AD68" i="21"/>
  <c r="AD76" i="21"/>
  <c r="AD84" i="21"/>
  <c r="AD96" i="21"/>
  <c r="AD104" i="21"/>
  <c r="V96" i="21"/>
  <c r="R96" i="21"/>
  <c r="AN96" i="21" s="1"/>
  <c r="V52" i="21"/>
  <c r="AJ52" i="21"/>
  <c r="V20" i="21"/>
  <c r="AJ20" i="21"/>
  <c r="V56" i="21"/>
  <c r="AJ56" i="21"/>
  <c r="V88" i="21"/>
  <c r="R88" i="21"/>
  <c r="AN88" i="21" s="1"/>
  <c r="AJ88" i="21"/>
  <c r="V61" i="21"/>
  <c r="R61" i="21"/>
  <c r="AN61" i="21" s="1"/>
  <c r="V64" i="21"/>
  <c r="R64" i="21"/>
  <c r="AN64" i="21" s="1"/>
  <c r="V89" i="21"/>
  <c r="R89" i="21"/>
  <c r="AN89" i="21" s="1"/>
  <c r="V67" i="21"/>
  <c r="R67" i="21"/>
  <c r="AN67" i="21" s="1"/>
  <c r="AJ67" i="21"/>
  <c r="V99" i="21"/>
  <c r="R99" i="21"/>
  <c r="AN99" i="21" s="1"/>
  <c r="V30" i="21"/>
  <c r="AJ30" i="21"/>
  <c r="R30" i="21"/>
  <c r="AN30" i="21" s="1"/>
  <c r="AJ35" i="21"/>
  <c r="R35" i="21"/>
  <c r="AN35" i="21" s="1"/>
  <c r="AJ84" i="21"/>
  <c r="AJ25" i="21"/>
  <c r="AJ24" i="21"/>
  <c r="R32" i="21"/>
  <c r="AN32" i="21" s="1"/>
  <c r="R29" i="21"/>
  <c r="AN29" i="21" s="1"/>
  <c r="V19" i="21"/>
  <c r="AJ19" i="21"/>
  <c r="V91" i="21"/>
  <c r="R91" i="21"/>
  <c r="AN91" i="21" s="1"/>
  <c r="AJ91" i="21"/>
  <c r="V21" i="21"/>
  <c r="AJ21" i="21"/>
  <c r="R21" i="21"/>
  <c r="AN21" i="21" s="1"/>
  <c r="V44" i="21"/>
  <c r="R44" i="21"/>
  <c r="AN44" i="21" s="1"/>
  <c r="AJ44" i="21"/>
  <c r="V23" i="21"/>
  <c r="AJ23" i="21"/>
  <c r="R23" i="21"/>
  <c r="AN23" i="21" s="1"/>
  <c r="V97" i="21"/>
  <c r="AJ97" i="21"/>
  <c r="R97" i="21"/>
  <c r="AN97" i="21" s="1"/>
  <c r="V51" i="21"/>
  <c r="AJ51" i="21"/>
  <c r="V42" i="21"/>
  <c r="AJ42" i="21"/>
  <c r="R42" i="21"/>
  <c r="AN42" i="21" s="1"/>
  <c r="V92" i="21"/>
  <c r="R92" i="21"/>
  <c r="AN92" i="21" s="1"/>
  <c r="AJ92" i="21"/>
  <c r="V95" i="21"/>
  <c r="AJ95" i="21"/>
  <c r="R95" i="21"/>
  <c r="AN95" i="21" s="1"/>
  <c r="V33" i="21"/>
  <c r="R33" i="21"/>
  <c r="AN33" i="21" s="1"/>
  <c r="AJ33" i="21"/>
  <c r="V48" i="21"/>
  <c r="R48" i="21"/>
  <c r="AN48" i="21" s="1"/>
  <c r="AJ48" i="21"/>
  <c r="V27" i="21"/>
  <c r="R27" i="21"/>
  <c r="AN27" i="21" s="1"/>
  <c r="AJ27" i="21"/>
  <c r="N43" i="21"/>
  <c r="V83" i="21"/>
  <c r="AJ83" i="21"/>
  <c r="V58" i="21"/>
  <c r="R58" i="21"/>
  <c r="AN58" i="21" s="1"/>
  <c r="AJ58" i="21"/>
  <c r="V54" i="21"/>
  <c r="AJ54" i="21"/>
  <c r="R54" i="21"/>
  <c r="AN54" i="21" s="1"/>
  <c r="V85" i="21"/>
  <c r="AJ85" i="21"/>
  <c r="R85" i="21"/>
  <c r="AN85" i="21" s="1"/>
  <c r="V60" i="21"/>
  <c r="R60" i="21"/>
  <c r="AN60" i="21" s="1"/>
  <c r="AJ60" i="21"/>
  <c r="V73" i="21"/>
  <c r="AJ73" i="21"/>
  <c r="R73" i="21"/>
  <c r="AN73" i="21" s="1"/>
  <c r="V15" i="21"/>
  <c r="AJ15" i="21"/>
  <c r="R15" i="21"/>
  <c r="AN15" i="21" s="1"/>
  <c r="V93" i="21"/>
  <c r="AJ93" i="21"/>
  <c r="R93" i="21"/>
  <c r="AN93" i="21" s="1"/>
  <c r="V55" i="21"/>
  <c r="AJ55" i="21"/>
  <c r="R55" i="21"/>
  <c r="AN55" i="21" s="1"/>
  <c r="V65" i="21"/>
  <c r="AJ65" i="21"/>
  <c r="R65" i="21"/>
  <c r="AN65" i="21" s="1"/>
  <c r="R19" i="21"/>
  <c r="AN19" i="21" s="1"/>
  <c r="V59" i="21"/>
  <c r="R59" i="21"/>
  <c r="AN59" i="21" s="1"/>
  <c r="AJ59" i="21"/>
  <c r="N75" i="21"/>
  <c r="V74" i="21"/>
  <c r="AJ74" i="21"/>
  <c r="R74" i="21"/>
  <c r="AN74" i="21" s="1"/>
  <c r="V90" i="21"/>
  <c r="AJ90" i="21"/>
  <c r="R90" i="21"/>
  <c r="AN90" i="21" s="1"/>
  <c r="V63" i="21"/>
  <c r="AJ63" i="21"/>
  <c r="R63" i="21"/>
  <c r="AN63" i="21" s="1"/>
  <c r="V53" i="21"/>
  <c r="AJ53" i="21"/>
  <c r="R53" i="21"/>
  <c r="AN53" i="21" s="1"/>
  <c r="V28" i="21"/>
  <c r="AJ28" i="21"/>
  <c r="R28" i="21"/>
  <c r="AN28" i="21" s="1"/>
  <c r="V87" i="21"/>
  <c r="R87" i="21"/>
  <c r="AN87" i="21" s="1"/>
  <c r="AJ87" i="21"/>
  <c r="AB35" i="21"/>
  <c r="AH35" i="21"/>
  <c r="Y35" i="21"/>
  <c r="AH67" i="21"/>
  <c r="AB67" i="21"/>
  <c r="Y67" i="21"/>
  <c r="AH99" i="21"/>
  <c r="AB99" i="21"/>
  <c r="Y99" i="21"/>
  <c r="R107" i="21"/>
  <c r="AN107" i="21" s="1"/>
  <c r="R34" i="21"/>
  <c r="AN34" i="21" s="1"/>
  <c r="AH50" i="21"/>
  <c r="AB50" i="21"/>
  <c r="Y50" i="21"/>
  <c r="AJ50" i="21"/>
  <c r="R66" i="21"/>
  <c r="AN66" i="21" s="1"/>
  <c r="R98" i="21"/>
  <c r="AN98" i="21" s="1"/>
  <c r="R106" i="21"/>
  <c r="AN106" i="21" s="1"/>
  <c r="R78" i="21"/>
  <c r="AN78" i="21" s="1"/>
  <c r="AJ13" i="21"/>
  <c r="AH29" i="21"/>
  <c r="Y29" i="21"/>
  <c r="AB29" i="21"/>
  <c r="N37" i="21"/>
  <c r="AJ45" i="21"/>
  <c r="AH61" i="21"/>
  <c r="Y61" i="21"/>
  <c r="AB61" i="21"/>
  <c r="AH69" i="21"/>
  <c r="Y69" i="21"/>
  <c r="AB69" i="21"/>
  <c r="AH101" i="21"/>
  <c r="Y101" i="21"/>
  <c r="AB101" i="21"/>
  <c r="AJ101" i="21"/>
  <c r="R20" i="21"/>
  <c r="AN20" i="21" s="1"/>
  <c r="AH36" i="21"/>
  <c r="AB36" i="21"/>
  <c r="Y36" i="21"/>
  <c r="R52" i="21"/>
  <c r="AN52" i="21" s="1"/>
  <c r="AH68" i="21"/>
  <c r="Y68" i="21"/>
  <c r="AB68" i="21"/>
  <c r="R84" i="21"/>
  <c r="AN84" i="21" s="1"/>
  <c r="AH100" i="21"/>
  <c r="Y100" i="21"/>
  <c r="AB100" i="21"/>
  <c r="AJ79" i="21"/>
  <c r="R10" i="21"/>
  <c r="AN10" i="21" s="1"/>
  <c r="AH86" i="21"/>
  <c r="AB86" i="21"/>
  <c r="Y86" i="21"/>
  <c r="AH12" i="21"/>
  <c r="Y12" i="21"/>
  <c r="AB12" i="21"/>
  <c r="R25" i="21"/>
  <c r="AN25" i="21" s="1"/>
  <c r="AH41" i="21"/>
  <c r="AB41" i="21"/>
  <c r="Y41" i="21"/>
  <c r="R57" i="21"/>
  <c r="AN57" i="21" s="1"/>
  <c r="N105" i="21"/>
  <c r="R24" i="21"/>
  <c r="AN24" i="21" s="1"/>
  <c r="AH40" i="21"/>
  <c r="AB40" i="21"/>
  <c r="Y40" i="21"/>
  <c r="R56" i="21"/>
  <c r="AN56" i="21" s="1"/>
  <c r="AH72" i="21"/>
  <c r="Y72" i="21"/>
  <c r="AB72" i="21"/>
  <c r="AH104" i="21"/>
  <c r="Y104" i="21"/>
  <c r="AB104" i="21"/>
  <c r="AJ11" i="21"/>
  <c r="N47" i="21"/>
  <c r="AJ71" i="21"/>
  <c r="AH94" i="21"/>
  <c r="AB94" i="21"/>
  <c r="Y94" i="21"/>
  <c r="AH90" i="21"/>
  <c r="AB90" i="21"/>
  <c r="Y90" i="21"/>
  <c r="AH55" i="21"/>
  <c r="AB55" i="21"/>
  <c r="Y55" i="21"/>
  <c r="AH73" i="21"/>
  <c r="Y73" i="21"/>
  <c r="AB73" i="21"/>
  <c r="AJ81" i="21"/>
  <c r="AB19" i="21"/>
  <c r="AH19" i="21"/>
  <c r="Y19" i="21"/>
  <c r="AH51" i="21"/>
  <c r="AB51" i="21"/>
  <c r="Y51" i="21"/>
  <c r="AH83" i="21"/>
  <c r="AB83" i="21"/>
  <c r="Y83" i="21"/>
  <c r="AJ99" i="21"/>
  <c r="AH107" i="21"/>
  <c r="AB107" i="21"/>
  <c r="Y107" i="21"/>
  <c r="N18" i="21"/>
  <c r="N26" i="21"/>
  <c r="AH34" i="21"/>
  <c r="Y34" i="21"/>
  <c r="AB34" i="21"/>
  <c r="AJ34" i="21"/>
  <c r="R50" i="21"/>
  <c r="AN50" i="21" s="1"/>
  <c r="AH66" i="21"/>
  <c r="AB66" i="21"/>
  <c r="Y66" i="21"/>
  <c r="AJ66" i="21"/>
  <c r="N82" i="21"/>
  <c r="AH98" i="21"/>
  <c r="AB98" i="21"/>
  <c r="Y98" i="21"/>
  <c r="AJ98" i="21"/>
  <c r="AH30" i="21"/>
  <c r="AB30" i="21"/>
  <c r="Y30" i="21"/>
  <c r="N102" i="21"/>
  <c r="AH13" i="21"/>
  <c r="Y13" i="21"/>
  <c r="AB13" i="21"/>
  <c r="AJ29" i="21"/>
  <c r="AH45" i="21"/>
  <c r="Y45" i="21"/>
  <c r="AB45" i="21"/>
  <c r="AJ61" i="21"/>
  <c r="R69" i="21"/>
  <c r="AN69" i="21" s="1"/>
  <c r="N77" i="21"/>
  <c r="R101" i="21"/>
  <c r="AN101" i="21" s="1"/>
  <c r="N109" i="21"/>
  <c r="AH20" i="21"/>
  <c r="AB20" i="21"/>
  <c r="Y20" i="21"/>
  <c r="R36" i="21"/>
  <c r="AN36" i="21" s="1"/>
  <c r="AH52" i="21"/>
  <c r="Y52" i="21"/>
  <c r="AB52" i="21"/>
  <c r="R68" i="21"/>
  <c r="AN68" i="21" s="1"/>
  <c r="N76" i="21"/>
  <c r="AH84" i="21"/>
  <c r="Y84" i="21"/>
  <c r="AB84" i="21"/>
  <c r="R100" i="21"/>
  <c r="AN100" i="21" s="1"/>
  <c r="N108" i="21"/>
  <c r="AH79" i="21"/>
  <c r="AB79" i="21"/>
  <c r="Y79" i="21"/>
  <c r="N22" i="21"/>
  <c r="AH70" i="21"/>
  <c r="AB70" i="21"/>
  <c r="Y70" i="21"/>
  <c r="AJ70" i="21"/>
  <c r="R12" i="21"/>
  <c r="AN12" i="21" s="1"/>
  <c r="N17" i="21"/>
  <c r="AH25" i="21"/>
  <c r="AB25" i="21"/>
  <c r="Y25" i="21"/>
  <c r="R41" i="21"/>
  <c r="AN41" i="21" s="1"/>
  <c r="N49" i="21"/>
  <c r="AH57" i="21"/>
  <c r="Y57" i="21"/>
  <c r="AB57" i="21"/>
  <c r="AH81" i="21"/>
  <c r="Y81" i="21"/>
  <c r="AB81" i="21"/>
  <c r="AH89" i="21"/>
  <c r="Y89" i="21"/>
  <c r="AB89" i="21"/>
  <c r="AJ89" i="21"/>
  <c r="N16" i="21"/>
  <c r="AH24" i="21"/>
  <c r="AB24" i="21"/>
  <c r="Y24" i="21"/>
  <c r="AJ32" i="21"/>
  <c r="R40" i="21"/>
  <c r="AN40" i="21" s="1"/>
  <c r="AH56" i="21"/>
  <c r="Y56" i="21"/>
  <c r="AB56" i="21"/>
  <c r="AJ64" i="21"/>
  <c r="R72" i="21"/>
  <c r="AN72" i="21" s="1"/>
  <c r="N80" i="21"/>
  <c r="AH88" i="21"/>
  <c r="Y88" i="21"/>
  <c r="AB88" i="21"/>
  <c r="AJ96" i="21"/>
  <c r="R104" i="21"/>
  <c r="AN104" i="21" s="1"/>
  <c r="R11" i="21"/>
  <c r="AN11" i="21" s="1"/>
  <c r="AH71" i="21"/>
  <c r="AB71" i="21"/>
  <c r="Y71" i="21"/>
  <c r="N14" i="21"/>
  <c r="R62" i="21"/>
  <c r="AN62" i="21" s="1"/>
  <c r="AJ62" i="21"/>
  <c r="AH58" i="21"/>
  <c r="AB58" i="21"/>
  <c r="Y58" i="21"/>
  <c r="AH63" i="21"/>
  <c r="AB63" i="21"/>
  <c r="Y63" i="21"/>
  <c r="AH44" i="21"/>
  <c r="Y44" i="21"/>
  <c r="AB44" i="21"/>
  <c r="AH97" i="21"/>
  <c r="Y97" i="21"/>
  <c r="AB97" i="21"/>
  <c r="AH48" i="21"/>
  <c r="AB48" i="21"/>
  <c r="Y48" i="21"/>
  <c r="AB27" i="21"/>
  <c r="AH27" i="21"/>
  <c r="Y27" i="21"/>
  <c r="AH59" i="21"/>
  <c r="AB59" i="21"/>
  <c r="Y59" i="21"/>
  <c r="AH91" i="21"/>
  <c r="AB91" i="21"/>
  <c r="Y91" i="21"/>
  <c r="AJ107" i="21"/>
  <c r="AH42" i="21"/>
  <c r="AB42" i="21"/>
  <c r="Y42" i="21"/>
  <c r="AH74" i="21"/>
  <c r="AB74" i="21"/>
  <c r="Y74" i="21"/>
  <c r="AH106" i="21"/>
  <c r="AB106" i="21"/>
  <c r="Y106" i="21"/>
  <c r="AJ106" i="21"/>
  <c r="AH54" i="21"/>
  <c r="AB54" i="21"/>
  <c r="Y54" i="21"/>
  <c r="AH78" i="21"/>
  <c r="AB78" i="21"/>
  <c r="Y78" i="21"/>
  <c r="AJ78" i="21"/>
  <c r="R13" i="21"/>
  <c r="AN13" i="21" s="1"/>
  <c r="AH21" i="21"/>
  <c r="Y21" i="21"/>
  <c r="AB21" i="21"/>
  <c r="R45" i="21"/>
  <c r="AN45" i="21" s="1"/>
  <c r="AH53" i="21"/>
  <c r="Y53" i="21"/>
  <c r="AB53" i="21"/>
  <c r="AJ69" i="21"/>
  <c r="AH85" i="21"/>
  <c r="Y85" i="21"/>
  <c r="AB85" i="21"/>
  <c r="AH93" i="21"/>
  <c r="Y93" i="21"/>
  <c r="AB93" i="21"/>
  <c r="AH28" i="21"/>
  <c r="Y28" i="21"/>
  <c r="AB28" i="21"/>
  <c r="AJ36" i="21"/>
  <c r="AH60" i="21"/>
  <c r="Y60" i="21"/>
  <c r="AB60" i="21"/>
  <c r="AJ68" i="21"/>
  <c r="AH92" i="21"/>
  <c r="Y92" i="21"/>
  <c r="AB92" i="21"/>
  <c r="AJ100" i="21"/>
  <c r="AB23" i="21"/>
  <c r="AH23" i="21"/>
  <c r="Y23" i="21"/>
  <c r="N39" i="21"/>
  <c r="R79" i="21"/>
  <c r="AN79" i="21" s="1"/>
  <c r="AH95" i="21"/>
  <c r="AB95" i="21"/>
  <c r="Y95" i="21"/>
  <c r="AH10" i="21"/>
  <c r="AB10" i="21"/>
  <c r="Y10" i="21"/>
  <c r="AJ10" i="21"/>
  <c r="N46" i="21"/>
  <c r="R70" i="21"/>
  <c r="AN70" i="21" s="1"/>
  <c r="R86" i="21"/>
  <c r="AN86" i="21" s="1"/>
  <c r="AJ86" i="21"/>
  <c r="AJ12" i="21"/>
  <c r="AH33" i="21"/>
  <c r="Y33" i="21"/>
  <c r="AB33" i="21"/>
  <c r="AJ41" i="21"/>
  <c r="AH65" i="21"/>
  <c r="Y65" i="21"/>
  <c r="AB65" i="21"/>
  <c r="R81" i="21"/>
  <c r="AN81" i="21" s="1"/>
  <c r="AH32" i="21"/>
  <c r="AB32" i="21"/>
  <c r="Y32" i="21"/>
  <c r="AJ40" i="21"/>
  <c r="AH64" i="21"/>
  <c r="AB64" i="21"/>
  <c r="Y64" i="21"/>
  <c r="AJ72" i="21"/>
  <c r="AH96" i="21"/>
  <c r="AB96" i="21"/>
  <c r="Y96" i="21"/>
  <c r="AJ104" i="21"/>
  <c r="AB11" i="21"/>
  <c r="AH11" i="21"/>
  <c r="Y11" i="21"/>
  <c r="AH15" i="21"/>
  <c r="AB15" i="21"/>
  <c r="Y15" i="21"/>
  <c r="N31" i="21"/>
  <c r="R71" i="21"/>
  <c r="AN71" i="21" s="1"/>
  <c r="AH87" i="21"/>
  <c r="AB87" i="21"/>
  <c r="Y87" i="21"/>
  <c r="N103" i="21"/>
  <c r="N38" i="21"/>
  <c r="AH62" i="21"/>
  <c r="AB62" i="21"/>
  <c r="Y62" i="21"/>
  <c r="R94" i="21"/>
  <c r="AN94" i="21" s="1"/>
  <c r="AJ94" i="21"/>
  <c r="D232" i="2"/>
  <c r="O35" i="8"/>
  <c r="C74" i="1" s="1"/>
  <c r="N35" i="8"/>
  <c r="D195" i="2"/>
  <c r="D198" i="2"/>
  <c r="F7" i="25" s="1"/>
  <c r="F84" i="17"/>
  <c r="E43" i="17"/>
  <c r="F134" i="17"/>
  <c r="E135" i="17"/>
  <c r="E212" i="17"/>
  <c r="F241" i="17"/>
  <c r="F560" i="17"/>
  <c r="F96" i="17"/>
  <c r="F52" i="17"/>
  <c r="F112" i="17"/>
  <c r="E251" i="17"/>
  <c r="E130" i="17"/>
  <c r="F117" i="17"/>
  <c r="F466" i="17"/>
  <c r="F158" i="17"/>
  <c r="E113" i="17"/>
  <c r="F206" i="17"/>
  <c r="F288" i="17"/>
  <c r="E262" i="17"/>
  <c r="F393" i="17"/>
  <c r="F287" i="17"/>
  <c r="F108" i="17"/>
  <c r="F88" i="17"/>
  <c r="E67" i="17"/>
  <c r="F44" i="17"/>
  <c r="F24" i="17"/>
  <c r="F128" i="17"/>
  <c r="F174" i="17"/>
  <c r="E235" i="17"/>
  <c r="E129" i="17"/>
  <c r="E209" i="17"/>
  <c r="F238" i="17"/>
  <c r="E116" i="17"/>
  <c r="E210" i="17"/>
  <c r="E304" i="17"/>
  <c r="F414" i="17"/>
  <c r="F113" i="17"/>
  <c r="F221" i="17"/>
  <c r="E329" i="17"/>
  <c r="E394" i="17"/>
  <c r="F464" i="17"/>
  <c r="F558" i="17"/>
  <c r="E463" i="17"/>
  <c r="F13" i="17"/>
  <c r="E99" i="17"/>
  <c r="F76" i="17"/>
  <c r="F56" i="17"/>
  <c r="E35" i="17"/>
  <c r="F110" i="17"/>
  <c r="F150" i="17"/>
  <c r="F192" i="17"/>
  <c r="E111" i="17"/>
  <c r="E153" i="17"/>
  <c r="E277" i="17"/>
  <c r="F286" i="17"/>
  <c r="E162" i="17"/>
  <c r="E244" i="17"/>
  <c r="F368" i="17"/>
  <c r="F371" i="17"/>
  <c r="F159" i="17"/>
  <c r="F285" i="17"/>
  <c r="E413" i="17"/>
  <c r="E480" i="17"/>
  <c r="F551" i="17"/>
  <c r="F15" i="17"/>
  <c r="E557" i="17"/>
  <c r="E169" i="17"/>
  <c r="E178" i="17"/>
  <c r="F370" i="17"/>
  <c r="F177" i="17"/>
  <c r="E415" i="17"/>
  <c r="E482" i="17"/>
  <c r="F559" i="17"/>
  <c r="F399" i="17"/>
  <c r="F61" i="17"/>
  <c r="F93" i="17"/>
  <c r="F605" i="17"/>
  <c r="E556" i="17"/>
  <c r="E511" i="17"/>
  <c r="E425" i="17"/>
  <c r="F445" i="17"/>
  <c r="F95" i="17"/>
  <c r="E602" i="17"/>
  <c r="E590" i="17"/>
  <c r="F523" i="17"/>
  <c r="E529" i="17"/>
  <c r="F488" i="17"/>
  <c r="F444" i="17"/>
  <c r="E504" i="17"/>
  <c r="E462" i="17"/>
  <c r="E418" i="17"/>
  <c r="E376" i="17"/>
  <c r="E334" i="17"/>
  <c r="E393" i="17"/>
  <c r="E351" i="17"/>
  <c r="F309" i="17"/>
  <c r="F265" i="17"/>
  <c r="F223" i="17"/>
  <c r="F181" i="17"/>
  <c r="F137" i="17"/>
  <c r="E299" i="17"/>
  <c r="F375" i="17"/>
  <c r="F331" i="17"/>
  <c r="F392" i="17"/>
  <c r="F350" i="17"/>
  <c r="E306" i="17"/>
  <c r="E264" i="17"/>
  <c r="E228" i="17"/>
  <c r="E196" i="17"/>
  <c r="E164" i="17"/>
  <c r="E132" i="17"/>
  <c r="F304" i="17"/>
  <c r="F272" i="17"/>
  <c r="F240" i="17"/>
  <c r="F208" i="17"/>
  <c r="E245" i="17"/>
  <c r="E187" i="17"/>
  <c r="E155" i="17"/>
  <c r="E137" i="17"/>
  <c r="E121" i="17"/>
  <c r="E271" i="17"/>
  <c r="E239" i="17"/>
  <c r="E207" i="17"/>
  <c r="F184" i="17"/>
  <c r="F168" i="17"/>
  <c r="F152" i="17"/>
  <c r="F136" i="17"/>
  <c r="F120" i="17"/>
  <c r="E15" i="17"/>
  <c r="E23" i="17"/>
  <c r="E31" i="17"/>
  <c r="E39" i="17"/>
  <c r="E47" i="17"/>
  <c r="E55" i="17"/>
  <c r="E63" i="17"/>
  <c r="E71" i="17"/>
  <c r="E79" i="17"/>
  <c r="E87" i="17"/>
  <c r="E95" i="17"/>
  <c r="E103" i="17"/>
  <c r="F626" i="17"/>
  <c r="F105" i="17"/>
  <c r="F603" i="17"/>
  <c r="E542" i="17"/>
  <c r="E505" i="17"/>
  <c r="E423" i="17"/>
  <c r="F437" i="17"/>
  <c r="F107" i="17"/>
  <c r="E600" i="17"/>
  <c r="E582" i="17"/>
  <c r="F521" i="17"/>
  <c r="E527" i="17"/>
  <c r="F484" i="17"/>
  <c r="F442" i="17"/>
  <c r="E502" i="17"/>
  <c r="E458" i="17"/>
  <c r="E416" i="17"/>
  <c r="E374" i="17"/>
  <c r="E330" i="17"/>
  <c r="E391" i="17"/>
  <c r="F104" i="17"/>
  <c r="F92" i="17"/>
  <c r="E83" i="17"/>
  <c r="F72" i="17"/>
  <c r="F60" i="17"/>
  <c r="E51" i="17"/>
  <c r="F40" i="17"/>
  <c r="F28" i="17"/>
  <c r="E19" i="17"/>
  <c r="F118" i="17"/>
  <c r="F142" i="17"/>
  <c r="F160" i="17"/>
  <c r="F182" i="17"/>
  <c r="E219" i="17"/>
  <c r="E255" i="17"/>
  <c r="E119" i="17"/>
  <c r="E143" i="17"/>
  <c r="E171" i="17"/>
  <c r="E241" i="17"/>
  <c r="F222" i="17"/>
  <c r="F256" i="17"/>
  <c r="F302" i="17"/>
  <c r="E146" i="17"/>
  <c r="E180" i="17"/>
  <c r="E226" i="17"/>
  <c r="E282" i="17"/>
  <c r="F328" i="17"/>
  <c r="F390" i="17"/>
  <c r="F351" i="17"/>
  <c r="F395" i="17"/>
  <c r="F135" i="17"/>
  <c r="F199" i="17"/>
  <c r="F245" i="17"/>
  <c r="F305" i="17"/>
  <c r="E369" i="17"/>
  <c r="E352" i="17"/>
  <c r="E438" i="17"/>
  <c r="F420" i="17"/>
  <c r="F506" i="17"/>
  <c r="F543" i="17"/>
  <c r="E94" i="17"/>
  <c r="F479" i="17"/>
  <c r="F557" i="17"/>
  <c r="E92" i="17"/>
  <c r="F100" i="17"/>
  <c r="E91" i="17"/>
  <c r="F80" i="17"/>
  <c r="F68" i="17"/>
  <c r="E59" i="17"/>
  <c r="F48" i="17"/>
  <c r="F36" i="17"/>
  <c r="E27" i="17"/>
  <c r="F16" i="17"/>
  <c r="F126" i="17"/>
  <c r="F144" i="17"/>
  <c r="F166" i="17"/>
  <c r="F190" i="17"/>
  <c r="E223" i="17"/>
  <c r="E267" i="17"/>
  <c r="E127" i="17"/>
  <c r="E145" i="17"/>
  <c r="E185" i="17"/>
  <c r="E273" i="17"/>
  <c r="F224" i="17"/>
  <c r="F270" i="17"/>
  <c r="E114" i="17"/>
  <c r="E148" i="17"/>
  <c r="E194" i="17"/>
  <c r="E242" i="17"/>
  <c r="E286" i="17"/>
  <c r="F346" i="17"/>
  <c r="F410" i="17"/>
  <c r="F353" i="17"/>
  <c r="E297" i="17"/>
  <c r="F157" i="17"/>
  <c r="F201" i="17"/>
  <c r="F263" i="17"/>
  <c r="E327" i="17"/>
  <c r="E373" i="17"/>
  <c r="E354" i="17"/>
  <c r="E440" i="17"/>
  <c r="F424" i="17"/>
  <c r="F508" i="17"/>
  <c r="E546" i="17"/>
  <c r="E78" i="17"/>
  <c r="F485" i="17"/>
  <c r="F561" i="17"/>
  <c r="E76" i="17"/>
  <c r="E626" i="17"/>
  <c r="F106" i="17"/>
  <c r="F102" i="17"/>
  <c r="F98" i="17"/>
  <c r="F94" i="17"/>
  <c r="F90" i="17"/>
  <c r="F86" i="17"/>
  <c r="F82" i="17"/>
  <c r="F78" i="17"/>
  <c r="F74" i="17"/>
  <c r="F70" i="17"/>
  <c r="F66" i="17"/>
  <c r="F62" i="17"/>
  <c r="F58" i="17"/>
  <c r="F54" i="17"/>
  <c r="F50" i="17"/>
  <c r="F46" i="17"/>
  <c r="F42" i="17"/>
  <c r="F38" i="17"/>
  <c r="F34" i="17"/>
  <c r="F30" i="17"/>
  <c r="F26" i="17"/>
  <c r="F22" i="17"/>
  <c r="F18" i="17"/>
  <c r="F14" i="17"/>
  <c r="F114" i="17"/>
  <c r="F122" i="17"/>
  <c r="F130" i="17"/>
  <c r="F138" i="17"/>
  <c r="F146" i="17"/>
  <c r="F154" i="17"/>
  <c r="F162" i="17"/>
  <c r="F170" i="17"/>
  <c r="F178" i="17"/>
  <c r="F186" i="17"/>
  <c r="E195" i="17"/>
  <c r="E211" i="17"/>
  <c r="E227" i="17"/>
  <c r="E243" i="17"/>
  <c r="E259" i="17"/>
  <c r="E275" i="17"/>
  <c r="E115" i="17"/>
  <c r="E123" i="17"/>
  <c r="E131" i="17"/>
  <c r="E139" i="17"/>
  <c r="E147" i="17"/>
  <c r="E161" i="17"/>
  <c r="E177" i="17"/>
  <c r="E193" i="17"/>
  <c r="E225" i="17"/>
  <c r="E257" i="17"/>
  <c r="F198" i="17"/>
  <c r="F214" i="17"/>
  <c r="F230" i="17"/>
  <c r="F246" i="17"/>
  <c r="F262" i="17"/>
  <c r="F278" i="17"/>
  <c r="F294" i="17"/>
  <c r="F310" i="17"/>
  <c r="E122" i="17"/>
  <c r="E138" i="17"/>
  <c r="E154" i="17"/>
  <c r="E170" i="17"/>
  <c r="E186" i="17"/>
  <c r="E202" i="17"/>
  <c r="E218" i="17"/>
  <c r="E234" i="17"/>
  <c r="E250" i="17"/>
  <c r="E272" i="17"/>
  <c r="E294" i="17"/>
  <c r="E314" i="17"/>
  <c r="F336" i="17"/>
  <c r="F358" i="17"/>
  <c r="F378" i="17"/>
  <c r="F400" i="17"/>
  <c r="F319" i="17"/>
  <c r="F339" i="17"/>
  <c r="F361" i="17"/>
  <c r="F383" i="17"/>
  <c r="E285" i="17"/>
  <c r="E307" i="17"/>
  <c r="F125" i="17"/>
  <c r="F145" i="17"/>
  <c r="F167" i="17"/>
  <c r="F189" i="17"/>
  <c r="F209" i="17"/>
  <c r="F231" i="17"/>
  <c r="F253" i="17"/>
  <c r="F273" i="17"/>
  <c r="F295" i="17"/>
  <c r="E317" i="17"/>
  <c r="E337" i="17"/>
  <c r="E359" i="17"/>
  <c r="E381" i="17"/>
  <c r="E401" i="17"/>
  <c r="E320" i="17"/>
  <c r="E342" i="17"/>
  <c r="E362" i="17"/>
  <c r="E384" i="17"/>
  <c r="E406" i="17"/>
  <c r="E426" i="17"/>
  <c r="E448" i="17"/>
  <c r="E470" i="17"/>
  <c r="E490" i="17"/>
  <c r="E512" i="17"/>
  <c r="F432" i="17"/>
  <c r="F452" i="17"/>
  <c r="F474" i="17"/>
  <c r="F496" i="17"/>
  <c r="F516" i="17"/>
  <c r="E537" i="17"/>
  <c r="F575" i="17"/>
  <c r="F531" i="17"/>
  <c r="E562" i="17"/>
  <c r="F548" i="17"/>
  <c r="F576" i="17"/>
  <c r="E599" i="17"/>
  <c r="E46" i="17"/>
  <c r="F63" i="17"/>
  <c r="F415" i="17"/>
  <c r="F461" i="17"/>
  <c r="F501" i="17"/>
  <c r="E441" i="17"/>
  <c r="E487" i="17"/>
  <c r="F526" i="17"/>
  <c r="F593" i="17"/>
  <c r="E588" i="17"/>
  <c r="E579" i="17"/>
  <c r="F602" i="17"/>
  <c r="E44" i="17"/>
  <c r="F17" i="17"/>
  <c r="F33" i="17"/>
  <c r="F49" i="17"/>
  <c r="F65" i="17"/>
  <c r="F81" i="17"/>
  <c r="F97" i="17"/>
  <c r="E16" i="17"/>
  <c r="E32" i="17"/>
  <c r="E48" i="17"/>
  <c r="E64" i="17"/>
  <c r="E80" i="17"/>
  <c r="E96" i="17"/>
  <c r="C633" i="17"/>
  <c r="F606" i="17"/>
  <c r="F598" i="17"/>
  <c r="F609" i="17"/>
  <c r="F601" i="17"/>
  <c r="E593" i="17"/>
  <c r="E585" i="17"/>
  <c r="E577" i="17"/>
  <c r="E569" i="17"/>
  <c r="E561" i="17"/>
  <c r="E553" i="17"/>
  <c r="E545" i="17"/>
  <c r="E584" i="17"/>
  <c r="E568" i="17"/>
  <c r="E552" i="17"/>
  <c r="E540" i="17"/>
  <c r="E532" i="17"/>
  <c r="E524" i="17"/>
  <c r="F585" i="17"/>
  <c r="F569" i="17"/>
  <c r="F553" i="17"/>
  <c r="F540" i="17"/>
  <c r="F532" i="17"/>
  <c r="F524" i="17"/>
  <c r="E517" i="17"/>
  <c r="E509" i="17"/>
  <c r="E501" i="17"/>
  <c r="E493" i="17"/>
  <c r="E485" i="17"/>
  <c r="E477" i="17"/>
  <c r="E469" i="17"/>
  <c r="E461" i="17"/>
  <c r="E453" i="17"/>
  <c r="E445" i="17"/>
  <c r="E437" i="17"/>
  <c r="E429" i="17"/>
  <c r="E421" i="17"/>
  <c r="F515" i="17"/>
  <c r="F507" i="17"/>
  <c r="F499" i="17"/>
  <c r="F491" i="17"/>
  <c r="F483" i="17"/>
  <c r="F475" i="17"/>
  <c r="F467" i="17"/>
  <c r="F459" i="17"/>
  <c r="F451" i="17"/>
  <c r="F443" i="17"/>
  <c r="F435" i="17"/>
  <c r="F427" i="17"/>
  <c r="F419" i="17"/>
  <c r="F411" i="17"/>
  <c r="F403" i="17"/>
  <c r="F19" i="17"/>
  <c r="F35" i="17"/>
  <c r="F51" i="17"/>
  <c r="F67" i="17"/>
  <c r="F83" i="17"/>
  <c r="F99" i="17"/>
  <c r="E18" i="17"/>
  <c r="E34" i="17"/>
  <c r="E50" i="17"/>
  <c r="E66" i="17"/>
  <c r="E82" i="17"/>
  <c r="E98" i="17"/>
  <c r="E611" i="17"/>
  <c r="E603" i="17"/>
  <c r="A623" i="17"/>
  <c r="E623" i="17" s="1"/>
  <c r="E606" i="17"/>
  <c r="E598" i="17"/>
  <c r="F590" i="17"/>
  <c r="F582" i="17"/>
  <c r="F574" i="17"/>
  <c r="F566" i="17"/>
  <c r="F21" i="17"/>
  <c r="F37" i="17"/>
  <c r="F53" i="17"/>
  <c r="F69" i="17"/>
  <c r="F85" i="17"/>
  <c r="F101" i="17"/>
  <c r="E20" i="17"/>
  <c r="E36" i="17"/>
  <c r="E52" i="17"/>
  <c r="E68" i="17"/>
  <c r="E84" i="17"/>
  <c r="E100" i="17"/>
  <c r="F612" i="17"/>
  <c r="F604" i="17"/>
  <c r="F596" i="17"/>
  <c r="F607" i="17"/>
  <c r="F599" i="17"/>
  <c r="E591" i="17"/>
  <c r="E583" i="17"/>
  <c r="E575" i="17"/>
  <c r="E567" i="17"/>
  <c r="E559" i="17"/>
  <c r="E551" i="17"/>
  <c r="F595" i="17"/>
  <c r="E580" i="17"/>
  <c r="E564" i="17"/>
  <c r="E548" i="17"/>
  <c r="E538" i="17"/>
  <c r="E530" i="17"/>
  <c r="E522" i="17"/>
  <c r="F581" i="17"/>
  <c r="F565" i="17"/>
  <c r="F549" i="17"/>
  <c r="F538" i="17"/>
  <c r="F530" i="17"/>
  <c r="F522" i="17"/>
  <c r="E515" i="17"/>
  <c r="E507" i="17"/>
  <c r="E499" i="17"/>
  <c r="E491" i="17"/>
  <c r="E483" i="17"/>
  <c r="E475" i="17"/>
  <c r="E467" i="17"/>
  <c r="E459" i="17"/>
  <c r="E451" i="17"/>
  <c r="E443" i="17"/>
  <c r="E435" i="17"/>
  <c r="E427" i="17"/>
  <c r="E419" i="17"/>
  <c r="F513" i="17"/>
  <c r="F505" i="17"/>
  <c r="F497" i="17"/>
  <c r="F489" i="17"/>
  <c r="F481" i="17"/>
  <c r="F473" i="17"/>
  <c r="F465" i="17"/>
  <c r="F457" i="17"/>
  <c r="F449" i="17"/>
  <c r="F441" i="17"/>
  <c r="F433" i="17"/>
  <c r="F425" i="17"/>
  <c r="F417" i="17"/>
  <c r="F409" i="17"/>
  <c r="F401" i="17"/>
  <c r="F23" i="17"/>
  <c r="F39" i="17"/>
  <c r="F55" i="17"/>
  <c r="F71" i="17"/>
  <c r="F87" i="17"/>
  <c r="F103" i="17"/>
  <c r="E22" i="17"/>
  <c r="E38" i="17"/>
  <c r="E54" i="17"/>
  <c r="E70" i="17"/>
  <c r="E86" i="17"/>
  <c r="E102" i="17"/>
  <c r="E609" i="17"/>
  <c r="E601" i="17"/>
  <c r="E612" i="17"/>
  <c r="E604" i="17"/>
  <c r="E596" i="17"/>
  <c r="F588" i="17"/>
  <c r="F580" i="17"/>
  <c r="F572" i="17"/>
  <c r="F564" i="17"/>
  <c r="F25" i="17"/>
  <c r="F57" i="17"/>
  <c r="F89" i="17"/>
  <c r="E24" i="17"/>
  <c r="E56" i="17"/>
  <c r="E88" i="17"/>
  <c r="F610" i="17"/>
  <c r="F613" i="17"/>
  <c r="F597" i="17"/>
  <c r="E581" i="17"/>
  <c r="E565" i="17"/>
  <c r="E549" i="17"/>
  <c r="E576" i="17"/>
  <c r="E544" i="17"/>
  <c r="E528" i="17"/>
  <c r="F577" i="17"/>
  <c r="F545" i="17"/>
  <c r="F528" i="17"/>
  <c r="E513" i="17"/>
  <c r="E497" i="17"/>
  <c r="E481" i="17"/>
  <c r="E465" i="17"/>
  <c r="E449" i="17"/>
  <c r="E433" i="17"/>
  <c r="E520" i="17"/>
  <c r="F503" i="17"/>
  <c r="F487" i="17"/>
  <c r="F471" i="17"/>
  <c r="F455" i="17"/>
  <c r="F439" i="17"/>
  <c r="F423" i="17"/>
  <c r="F407" i="17"/>
  <c r="F27" i="17"/>
  <c r="F59" i="17"/>
  <c r="F91" i="17"/>
  <c r="E26" i="17"/>
  <c r="E58" i="17"/>
  <c r="E90" i="17"/>
  <c r="E607" i="17"/>
  <c r="E610" i="17"/>
  <c r="F594" i="17"/>
  <c r="F578" i="17"/>
  <c r="F562" i="17"/>
  <c r="F554" i="17"/>
  <c r="F546" i="17"/>
  <c r="E586" i="17"/>
  <c r="E570" i="17"/>
  <c r="E554" i="17"/>
  <c r="F541" i="17"/>
  <c r="F533" i="17"/>
  <c r="F525" i="17"/>
  <c r="F587" i="17"/>
  <c r="F571" i="17"/>
  <c r="F555" i="17"/>
  <c r="E541" i="17"/>
  <c r="E533" i="17"/>
  <c r="E525" i="17"/>
  <c r="F518" i="17"/>
  <c r="F510" i="17"/>
  <c r="F502" i="17"/>
  <c r="F494" i="17"/>
  <c r="F486" i="17"/>
  <c r="F478" i="17"/>
  <c r="F470" i="17"/>
  <c r="F462" i="17"/>
  <c r="F454" i="17"/>
  <c r="F446" i="17"/>
  <c r="F438" i="17"/>
  <c r="F430" i="17"/>
  <c r="F422" i="17"/>
  <c r="E516" i="17"/>
  <c r="E508" i="17"/>
  <c r="E500" i="17"/>
  <c r="E492" i="17"/>
  <c r="E484" i="17"/>
  <c r="E476" i="17"/>
  <c r="E468" i="17"/>
  <c r="E460" i="17"/>
  <c r="E452" i="17"/>
  <c r="E444" i="17"/>
  <c r="E436" i="17"/>
  <c r="E428" i="17"/>
  <c r="E420" i="17"/>
  <c r="E412" i="17"/>
  <c r="E404" i="17"/>
  <c r="E396" i="17"/>
  <c r="E388" i="17"/>
  <c r="E380" i="17"/>
  <c r="E372" i="17"/>
  <c r="E364" i="17"/>
  <c r="E356" i="17"/>
  <c r="E348" i="17"/>
  <c r="E340" i="17"/>
  <c r="E332" i="17"/>
  <c r="E324" i="17"/>
  <c r="E316" i="17"/>
  <c r="E411" i="17"/>
  <c r="E403" i="17"/>
  <c r="E395" i="17"/>
  <c r="E387" i="17"/>
  <c r="E379" i="17"/>
  <c r="E371" i="17"/>
  <c r="E363" i="17"/>
  <c r="E355" i="17"/>
  <c r="E347" i="17"/>
  <c r="E339" i="17"/>
  <c r="E331" i="17"/>
  <c r="E323" i="17"/>
  <c r="E315" i="17"/>
  <c r="F307" i="17"/>
  <c r="F299" i="17"/>
  <c r="F291" i="17"/>
  <c r="F283" i="17"/>
  <c r="F275" i="17"/>
  <c r="F267" i="17"/>
  <c r="F259" i="17"/>
  <c r="F251" i="17"/>
  <c r="F243" i="17"/>
  <c r="F235" i="17"/>
  <c r="F227" i="17"/>
  <c r="F219" i="17"/>
  <c r="F211" i="17"/>
  <c r="F203" i="17"/>
  <c r="F195" i="17"/>
  <c r="F187" i="17"/>
  <c r="F179" i="17"/>
  <c r="F171" i="17"/>
  <c r="F163" i="17"/>
  <c r="F155" i="17"/>
  <c r="F147" i="17"/>
  <c r="F139" i="17"/>
  <c r="F131" i="17"/>
  <c r="F123" i="17"/>
  <c r="F115" i="17"/>
  <c r="E311" i="17"/>
  <c r="E303" i="17"/>
  <c r="E295" i="17"/>
  <c r="E287" i="17"/>
  <c r="F397" i="17"/>
  <c r="F389" i="17"/>
  <c r="F381" i="17"/>
  <c r="F373" i="17"/>
  <c r="F365" i="17"/>
  <c r="F357" i="17"/>
  <c r="F349" i="17"/>
  <c r="F341" i="17"/>
  <c r="F333" i="17"/>
  <c r="F325" i="17"/>
  <c r="F317" i="17"/>
  <c r="F412" i="17"/>
  <c r="F404" i="17"/>
  <c r="F396" i="17"/>
  <c r="F388" i="17"/>
  <c r="F380" i="17"/>
  <c r="F372" i="17"/>
  <c r="F364" i="17"/>
  <c r="F356" i="17"/>
  <c r="F348" i="17"/>
  <c r="F340" i="17"/>
  <c r="F332" i="17"/>
  <c r="F324" i="17"/>
  <c r="F316" i="17"/>
  <c r="E308" i="17"/>
  <c r="E300" i="17"/>
  <c r="E292" i="17"/>
  <c r="E284" i="17"/>
  <c r="E276" i="17"/>
  <c r="E268" i="17"/>
  <c r="E260" i="17"/>
  <c r="E252" i="17"/>
  <c r="F29" i="17"/>
  <c r="F73" i="17"/>
  <c r="F109" i="17"/>
  <c r="E60" i="17"/>
  <c r="E104" i="17"/>
  <c r="F600" i="17"/>
  <c r="E595" i="17"/>
  <c r="E573" i="17"/>
  <c r="E555" i="17"/>
  <c r="E572" i="17"/>
  <c r="E536" i="17"/>
  <c r="F589" i="17"/>
  <c r="F542" i="17"/>
  <c r="F520" i="17"/>
  <c r="E503" i="17"/>
  <c r="E479" i="17"/>
  <c r="E457" i="17"/>
  <c r="E439" i="17"/>
  <c r="F517" i="17"/>
  <c r="F495" i="17"/>
  <c r="F477" i="17"/>
  <c r="F453" i="17"/>
  <c r="F431" i="17"/>
  <c r="F413" i="17"/>
  <c r="F31" i="17"/>
  <c r="F75" i="17"/>
  <c r="E14" i="17"/>
  <c r="E62" i="17"/>
  <c r="E106" i="17"/>
  <c r="E597" i="17"/>
  <c r="F592" i="17"/>
  <c r="F570" i="17"/>
  <c r="F556" i="17"/>
  <c r="F544" i="17"/>
  <c r="E578" i="17"/>
  <c r="E558" i="17"/>
  <c r="F539" i="17"/>
  <c r="F529" i="17"/>
  <c r="F591" i="17"/>
  <c r="F567" i="17"/>
  <c r="F547" i="17"/>
  <c r="E535" i="17"/>
  <c r="E523" i="17"/>
  <c r="F514" i="17"/>
  <c r="F504" i="17"/>
  <c r="F492" i="17"/>
  <c r="F482" i="17"/>
  <c r="F472" i="17"/>
  <c r="F460" i="17"/>
  <c r="F450" i="17"/>
  <c r="F440" i="17"/>
  <c r="F428" i="17"/>
  <c r="F418" i="17"/>
  <c r="E510" i="17"/>
  <c r="E498" i="17"/>
  <c r="E488" i="17"/>
  <c r="E478" i="17"/>
  <c r="E466" i="17"/>
  <c r="E456" i="17"/>
  <c r="E446" i="17"/>
  <c r="E434" i="17"/>
  <c r="E424" i="17"/>
  <c r="E414" i="17"/>
  <c r="E402" i="17"/>
  <c r="E392" i="17"/>
  <c r="E382" i="17"/>
  <c r="E370" i="17"/>
  <c r="E360" i="17"/>
  <c r="E350" i="17"/>
  <c r="E338" i="17"/>
  <c r="E328" i="17"/>
  <c r="E318" i="17"/>
  <c r="E409" i="17"/>
  <c r="E399" i="17"/>
  <c r="E389" i="17"/>
  <c r="E377" i="17"/>
  <c r="E367" i="17"/>
  <c r="E357" i="17"/>
  <c r="E345" i="17"/>
  <c r="E335" i="17"/>
  <c r="E325" i="17"/>
  <c r="F313" i="17"/>
  <c r="F303" i="17"/>
  <c r="F293" i="17"/>
  <c r="F281" i="17"/>
  <c r="F271" i="17"/>
  <c r="F261" i="17"/>
  <c r="F249" i="17"/>
  <c r="F239" i="17"/>
  <c r="F229" i="17"/>
  <c r="F217" i="17"/>
  <c r="F207" i="17"/>
  <c r="F197" i="17"/>
  <c r="F185" i="17"/>
  <c r="F175" i="17"/>
  <c r="F165" i="17"/>
  <c r="F153" i="17"/>
  <c r="F143" i="17"/>
  <c r="F133" i="17"/>
  <c r="F121" i="17"/>
  <c r="F111" i="17"/>
  <c r="E305" i="17"/>
  <c r="E293" i="17"/>
  <c r="E283" i="17"/>
  <c r="F391" i="17"/>
  <c r="F379" i="17"/>
  <c r="F369" i="17"/>
  <c r="F359" i="17"/>
  <c r="F347" i="17"/>
  <c r="F337" i="17"/>
  <c r="F327" i="17"/>
  <c r="F315" i="17"/>
  <c r="F408" i="17"/>
  <c r="F398" i="17"/>
  <c r="F386" i="17"/>
  <c r="F376" i="17"/>
  <c r="F366" i="17"/>
  <c r="F354" i="17"/>
  <c r="F344" i="17"/>
  <c r="F334" i="17"/>
  <c r="F322" i="17"/>
  <c r="E312" i="17"/>
  <c r="E302" i="17"/>
  <c r="E290" i="17"/>
  <c r="E280" i="17"/>
  <c r="E270" i="17"/>
  <c r="E258" i="17"/>
  <c r="E248" i="17"/>
  <c r="E240" i="17"/>
  <c r="E232" i="17"/>
  <c r="E224" i="17"/>
  <c r="E216" i="17"/>
  <c r="E208" i="17"/>
  <c r="E200" i="17"/>
  <c r="E192" i="17"/>
  <c r="E184" i="17"/>
  <c r="E176" i="17"/>
  <c r="E168" i="17"/>
  <c r="E160" i="17"/>
  <c r="E152" i="17"/>
  <c r="E144" i="17"/>
  <c r="E136" i="17"/>
  <c r="E128" i="17"/>
  <c r="E120" i="17"/>
  <c r="E112" i="17"/>
  <c r="F308" i="17"/>
  <c r="F300" i="17"/>
  <c r="F292" i="17"/>
  <c r="F284" i="17"/>
  <c r="F276" i="17"/>
  <c r="F268" i="17"/>
  <c r="F260" i="17"/>
  <c r="F252" i="17"/>
  <c r="F244" i="17"/>
  <c r="F236" i="17"/>
  <c r="F228" i="17"/>
  <c r="F220" i="17"/>
  <c r="F212" i="17"/>
  <c r="F204" i="17"/>
  <c r="F196" i="17"/>
  <c r="E269" i="17"/>
  <c r="E253" i="17"/>
  <c r="E237" i="17"/>
  <c r="E221" i="17"/>
  <c r="E205" i="17"/>
  <c r="E191" i="17"/>
  <c r="E183" i="17"/>
  <c r="E175" i="17"/>
  <c r="E167" i="17"/>
  <c r="E159" i="17"/>
  <c r="E151" i="17"/>
  <c r="F41" i="17"/>
  <c r="F77" i="17"/>
  <c r="E28" i="17"/>
  <c r="E72" i="17"/>
  <c r="E108" i="17"/>
  <c r="F611" i="17"/>
  <c r="E589" i="17"/>
  <c r="E571" i="17"/>
  <c r="E547" i="17"/>
  <c r="E560" i="17"/>
  <c r="E534" i="17"/>
  <c r="F573" i="17"/>
  <c r="F536" i="17"/>
  <c r="F519" i="17"/>
  <c r="E495" i="17"/>
  <c r="E473" i="17"/>
  <c r="E455" i="17"/>
  <c r="E431" i="17"/>
  <c r="F511" i="17"/>
  <c r="F493" i="17"/>
  <c r="F469" i="17"/>
  <c r="F447" i="17"/>
  <c r="F429" i="17"/>
  <c r="F405" i="17"/>
  <c r="F43" i="17"/>
  <c r="F79" i="17"/>
  <c r="E30" i="17"/>
  <c r="E74" i="17"/>
  <c r="E613" i="17"/>
  <c r="E608" i="17"/>
  <c r="F586" i="17"/>
  <c r="F568" i="17"/>
  <c r="F552" i="17"/>
  <c r="E594" i="17"/>
  <c r="E574" i="17"/>
  <c r="E550" i="17"/>
  <c r="F537" i="17"/>
  <c r="F527" i="17"/>
  <c r="F583" i="17"/>
  <c r="F563" i="17"/>
  <c r="E543" i="17"/>
  <c r="E531" i="17"/>
  <c r="E521" i="17"/>
  <c r="F512" i="17"/>
  <c r="F500" i="17"/>
  <c r="F490" i="17"/>
  <c r="F480" i="17"/>
  <c r="F468" i="17"/>
  <c r="F458" i="17"/>
  <c r="F448" i="17"/>
  <c r="F436" i="17"/>
  <c r="F426" i="17"/>
  <c r="E518" i="17"/>
  <c r="E506" i="17"/>
  <c r="E496" i="17"/>
  <c r="E486" i="17"/>
  <c r="E474" i="17"/>
  <c r="E464" i="17"/>
  <c r="E454" i="17"/>
  <c r="E442" i="17"/>
  <c r="E432" i="17"/>
  <c r="E422" i="17"/>
  <c r="E410" i="17"/>
  <c r="E400" i="17"/>
  <c r="E390" i="17"/>
  <c r="E378" i="17"/>
  <c r="E368" i="17"/>
  <c r="E358" i="17"/>
  <c r="E346" i="17"/>
  <c r="E336" i="17"/>
  <c r="E326" i="17"/>
  <c r="E417" i="17"/>
  <c r="E407" i="17"/>
  <c r="E397" i="17"/>
  <c r="E385" i="17"/>
  <c r="E375" i="17"/>
  <c r="E365" i="17"/>
  <c r="E353" i="17"/>
  <c r="E343" i="17"/>
  <c r="E333" i="17"/>
  <c r="E321" i="17"/>
  <c r="F311" i="17"/>
  <c r="F301" i="17"/>
  <c r="F289" i="17"/>
  <c r="F279" i="17"/>
  <c r="F269" i="17"/>
  <c r="F257" i="17"/>
  <c r="F247" i="17"/>
  <c r="F237" i="17"/>
  <c r="F225" i="17"/>
  <c r="F215" i="17"/>
  <c r="F205" i="17"/>
  <c r="F193" i="17"/>
  <c r="F183" i="17"/>
  <c r="F173" i="17"/>
  <c r="F161" i="17"/>
  <c r="F151" i="17"/>
  <c r="F141" i="17"/>
  <c r="F129" i="17"/>
  <c r="F119" i="17"/>
  <c r="E313" i="17"/>
  <c r="E301" i="17"/>
  <c r="E291" i="17"/>
  <c r="E281" i="17"/>
  <c r="F387" i="17"/>
  <c r="F377" i="17"/>
  <c r="F367" i="17"/>
  <c r="F355" i="17"/>
  <c r="F345" i="17"/>
  <c r="F335" i="17"/>
  <c r="F323" i="17"/>
  <c r="F416" i="17"/>
  <c r="F406" i="17"/>
  <c r="F394" i="17"/>
  <c r="F384" i="17"/>
  <c r="F374" i="17"/>
  <c r="F362" i="17"/>
  <c r="F352" i="17"/>
  <c r="F342" i="17"/>
  <c r="F330" i="17"/>
  <c r="F320" i="17"/>
  <c r="E310" i="17"/>
  <c r="E298" i="17"/>
  <c r="E288" i="17"/>
  <c r="E278" i="17"/>
  <c r="E266" i="17"/>
  <c r="E256" i="17"/>
  <c r="E246" i="17"/>
  <c r="E238" i="17"/>
  <c r="E230" i="17"/>
  <c r="E222" i="17"/>
  <c r="E214" i="17"/>
  <c r="E206" i="17"/>
  <c r="E198" i="17"/>
  <c r="E190" i="17"/>
  <c r="E182" i="17"/>
  <c r="E174" i="17"/>
  <c r="E166" i="17"/>
  <c r="E158" i="17"/>
  <c r="E150" i="17"/>
  <c r="E142" i="17"/>
  <c r="E134" i="17"/>
  <c r="E126" i="17"/>
  <c r="E118" i="17"/>
  <c r="F314" i="17"/>
  <c r="F306" i="17"/>
  <c r="F298" i="17"/>
  <c r="F290" i="17"/>
  <c r="F282" i="17"/>
  <c r="F274" i="17"/>
  <c r="F266" i="17"/>
  <c r="F258" i="17"/>
  <c r="F250" i="17"/>
  <c r="F242" i="17"/>
  <c r="F234" i="17"/>
  <c r="F226" i="17"/>
  <c r="F218" i="17"/>
  <c r="F210" i="17"/>
  <c r="F202" i="17"/>
  <c r="F194" i="17"/>
  <c r="E265" i="17"/>
  <c r="E249" i="17"/>
  <c r="E233" i="17"/>
  <c r="E217" i="17"/>
  <c r="E201" i="17"/>
  <c r="E189" i="17"/>
  <c r="E181" i="17"/>
  <c r="E173" i="17"/>
  <c r="E165" i="17"/>
  <c r="E157" i="17"/>
  <c r="E109" i="17"/>
  <c r="E105" i="17"/>
  <c r="E101" i="17"/>
  <c r="E97" i="17"/>
  <c r="E93" i="17"/>
  <c r="E89" i="17"/>
  <c r="E85" i="17"/>
  <c r="E81" i="17"/>
  <c r="E77" i="17"/>
  <c r="E73" i="17"/>
  <c r="E69" i="17"/>
  <c r="E65" i="17"/>
  <c r="E61" i="17"/>
  <c r="E57" i="17"/>
  <c r="E53" i="17"/>
  <c r="E49" i="17"/>
  <c r="E45" i="17"/>
  <c r="E41" i="17"/>
  <c r="E37" i="17"/>
  <c r="E33" i="17"/>
  <c r="E29" i="17"/>
  <c r="E25" i="17"/>
  <c r="E21" i="17"/>
  <c r="E17" i="17"/>
  <c r="E13" i="17"/>
  <c r="F116" i="17"/>
  <c r="F124" i="17"/>
  <c r="F132" i="17"/>
  <c r="F140" i="17"/>
  <c r="F148" i="17"/>
  <c r="F156" i="17"/>
  <c r="F164" i="17"/>
  <c r="F172" i="17"/>
  <c r="F180" i="17"/>
  <c r="F188" i="17"/>
  <c r="E199" i="17"/>
  <c r="E215" i="17"/>
  <c r="E231" i="17"/>
  <c r="E247" i="17"/>
  <c r="E263" i="17"/>
  <c r="E279" i="17"/>
  <c r="E117" i="17"/>
  <c r="E125" i="17"/>
  <c r="E133" i="17"/>
  <c r="E141" i="17"/>
  <c r="E149" i="17"/>
  <c r="E163" i="17"/>
  <c r="E179" i="17"/>
  <c r="E197" i="17"/>
  <c r="E229" i="17"/>
  <c r="E261" i="17"/>
  <c r="F200" i="17"/>
  <c r="F216" i="17"/>
  <c r="F232" i="17"/>
  <c r="F248" i="17"/>
  <c r="F264" i="17"/>
  <c r="F280" i="17"/>
  <c r="F296" i="17"/>
  <c r="F312" i="17"/>
  <c r="E124" i="17"/>
  <c r="E140" i="17"/>
  <c r="E156" i="17"/>
  <c r="E172" i="17"/>
  <c r="E188" i="17"/>
  <c r="E204" i="17"/>
  <c r="E220" i="17"/>
  <c r="E236" i="17"/>
  <c r="E254" i="17"/>
  <c r="E274" i="17"/>
  <c r="E296" i="17"/>
  <c r="F318" i="17"/>
  <c r="F338" i="17"/>
  <c r="F360" i="17"/>
  <c r="F382" i="17"/>
  <c r="F402" i="17"/>
  <c r="F321" i="17"/>
  <c r="F343" i="17"/>
  <c r="F363" i="17"/>
  <c r="F385" i="17"/>
  <c r="E289" i="17"/>
  <c r="E309" i="17"/>
  <c r="F127" i="17"/>
  <c r="F149" i="17"/>
  <c r="F169" i="17"/>
  <c r="F191" i="17"/>
  <c r="F213" i="17"/>
  <c r="F233" i="17"/>
  <c r="F255" i="17"/>
  <c r="F277" i="17"/>
  <c r="F297" i="17"/>
  <c r="E319" i="17"/>
  <c r="E341" i="17"/>
  <c r="E361" i="17"/>
  <c r="E383" i="17"/>
  <c r="E405" i="17"/>
  <c r="E322" i="17"/>
  <c r="E344" i="17"/>
  <c r="E366" i="17"/>
  <c r="E386" i="17"/>
  <c r="E408" i="17"/>
  <c r="E430" i="17"/>
  <c r="E450" i="17"/>
  <c r="E472" i="17"/>
  <c r="E494" i="17"/>
  <c r="E514" i="17"/>
  <c r="F434" i="17"/>
  <c r="F456" i="17"/>
  <c r="F476" i="17"/>
  <c r="F498" i="17"/>
  <c r="E519" i="17"/>
  <c r="E539" i="17"/>
  <c r="F579" i="17"/>
  <c r="F535" i="17"/>
  <c r="E566" i="17"/>
  <c r="F550" i="17"/>
  <c r="F584" i="17"/>
  <c r="E605" i="17"/>
  <c r="E42" i="17"/>
  <c r="F47" i="17"/>
  <c r="F421" i="17"/>
  <c r="F463" i="17"/>
  <c r="F509" i="17"/>
  <c r="E447" i="17"/>
  <c r="E489" i="17"/>
  <c r="F534" i="17"/>
  <c r="E526" i="17"/>
  <c r="E592" i="17"/>
  <c r="E587" i="17"/>
  <c r="F608" i="17"/>
  <c r="E40" i="17"/>
  <c r="F45" i="17"/>
  <c r="B364" i="2"/>
  <c r="B163" i="2"/>
  <c r="AS88" i="21"/>
  <c r="AS36" i="21"/>
  <c r="AS54" i="21"/>
  <c r="AS22" i="21"/>
  <c r="AS72" i="21"/>
  <c r="AS61" i="21"/>
  <c r="AS68" i="21"/>
  <c r="AS19" i="21"/>
  <c r="AS20" i="21"/>
  <c r="AS46" i="21"/>
  <c r="AS97" i="21"/>
  <c r="AS105" i="21"/>
  <c r="AS74" i="21"/>
  <c r="AS86" i="21"/>
  <c r="AS35" i="21"/>
  <c r="AS34" i="21"/>
  <c r="AS81" i="21"/>
  <c r="AS64" i="21"/>
  <c r="AS31" i="21"/>
  <c r="AS41" i="21"/>
  <c r="AS25" i="21"/>
  <c r="AS12" i="21"/>
  <c r="AS32" i="21"/>
  <c r="AS94" i="21"/>
  <c r="AS102" i="21"/>
  <c r="AS70" i="21"/>
  <c r="AS84" i="21"/>
  <c r="AS49" i="21"/>
  <c r="AS27" i="21"/>
  <c r="AS47" i="21"/>
  <c r="AS28" i="21"/>
  <c r="AS87" i="21"/>
  <c r="AS77" i="21"/>
  <c r="AS67" i="21"/>
  <c r="AS63" i="21"/>
  <c r="AS58" i="21"/>
  <c r="AS30" i="21"/>
  <c r="AS52" i="21"/>
  <c r="AS37" i="21"/>
  <c r="AS23" i="21"/>
  <c r="AS15" i="21"/>
  <c r="AS11" i="21"/>
  <c r="AS17" i="21"/>
  <c r="AS42" i="21"/>
  <c r="AS91" i="21"/>
  <c r="AS95" i="21"/>
  <c r="AS99" i="21"/>
  <c r="AS103" i="21"/>
  <c r="AS107" i="21"/>
  <c r="AS71" i="21"/>
  <c r="AS78" i="21"/>
  <c r="AS80" i="21"/>
  <c r="AS39" i="21"/>
  <c r="AS83" i="21"/>
  <c r="AS65" i="21"/>
  <c r="AS38" i="21"/>
  <c r="AS45" i="21"/>
  <c r="AS29" i="21"/>
  <c r="AS13" i="21"/>
  <c r="AS59" i="21"/>
  <c r="AS93" i="21"/>
  <c r="AS101" i="21"/>
  <c r="AS109" i="21"/>
  <c r="AS55" i="21"/>
  <c r="AS50" i="21"/>
  <c r="AS89" i="21"/>
  <c r="AS69" i="21"/>
  <c r="AS60" i="21"/>
  <c r="AS56" i="21"/>
  <c r="AS16" i="21"/>
  <c r="AS18" i="21"/>
  <c r="AS51" i="21"/>
  <c r="AS98" i="21"/>
  <c r="AS106" i="21"/>
  <c r="AS76" i="21"/>
  <c r="AS90" i="21"/>
  <c r="AS82" i="21"/>
  <c r="AS40" i="21"/>
  <c r="AS57" i="21"/>
  <c r="AS43" i="21"/>
  <c r="AS26" i="21"/>
  <c r="AS85" i="21"/>
  <c r="AS75" i="21"/>
  <c r="AS66" i="21"/>
  <c r="AS62" i="21"/>
  <c r="AS53" i="21"/>
  <c r="AS24" i="21"/>
  <c r="AS48" i="21"/>
  <c r="AS33" i="21"/>
  <c r="AS21" i="21"/>
  <c r="AS14" i="21"/>
  <c r="AS9" i="21"/>
  <c r="AS10" i="21"/>
  <c r="AS44" i="21"/>
  <c r="AS92" i="21"/>
  <c r="AS96" i="21"/>
  <c r="AS100" i="21"/>
  <c r="AS104" i="21"/>
  <c r="AS108" i="21"/>
  <c r="AS73" i="21"/>
  <c r="AS79" i="21"/>
  <c r="B371" i="2"/>
  <c r="A362" i="2"/>
  <c r="C51" i="16"/>
  <c r="D51" i="16" s="1"/>
  <c r="B157" i="2"/>
  <c r="A371" i="2"/>
  <c r="B246" i="2"/>
  <c r="B245" i="2"/>
  <c r="B247" i="2"/>
  <c r="B15" i="6"/>
  <c r="B3" i="6"/>
  <c r="B16" i="6"/>
  <c r="E66" i="1"/>
  <c r="AK58" i="23" l="1"/>
  <c r="AK97" i="23"/>
  <c r="AK24" i="23"/>
  <c r="J22" i="1"/>
  <c r="F230" i="2"/>
  <c r="B227" i="2"/>
  <c r="B226" i="2"/>
  <c r="B194" i="2"/>
  <c r="B197" i="2"/>
  <c r="F6" i="17" s="1"/>
  <c r="S70" i="23"/>
  <c r="U70" i="23" s="1"/>
  <c r="AN70" i="23"/>
  <c r="BE70" i="23" s="1"/>
  <c r="S88" i="23"/>
  <c r="U88" i="23" s="1"/>
  <c r="AN88" i="23"/>
  <c r="BE88" i="23" s="1"/>
  <c r="S29" i="23"/>
  <c r="U29" i="23" s="1"/>
  <c r="AN29" i="23"/>
  <c r="BE29" i="23" s="1"/>
  <c r="S24" i="23"/>
  <c r="AN24" i="23"/>
  <c r="BE24" i="23" s="1"/>
  <c r="S83" i="23"/>
  <c r="U83" i="23" s="1"/>
  <c r="AN83" i="23"/>
  <c r="BE83" i="23" s="1"/>
  <c r="S82" i="23"/>
  <c r="U82" i="23" s="1"/>
  <c r="AN82" i="23"/>
  <c r="BE82" i="23" s="1"/>
  <c r="S47" i="23"/>
  <c r="U47" i="23" s="1"/>
  <c r="AN47" i="23"/>
  <c r="BE47" i="23" s="1"/>
  <c r="S101" i="23"/>
  <c r="U101" i="23" s="1"/>
  <c r="AN101" i="23"/>
  <c r="BE101" i="23" s="1"/>
  <c r="S89" i="23"/>
  <c r="U89" i="23" s="1"/>
  <c r="AN89" i="23"/>
  <c r="BE89" i="23" s="1"/>
  <c r="S18" i="23"/>
  <c r="U18" i="23" s="1"/>
  <c r="AN18" i="23"/>
  <c r="BE18" i="23" s="1"/>
  <c r="S100" i="23"/>
  <c r="U100" i="23" s="1"/>
  <c r="AN100" i="23"/>
  <c r="BE100" i="23" s="1"/>
  <c r="S20" i="23"/>
  <c r="U20" i="23" s="1"/>
  <c r="AN20" i="23"/>
  <c r="BE20" i="23" s="1"/>
  <c r="S72" i="23"/>
  <c r="U72" i="23" s="1"/>
  <c r="AN72" i="23"/>
  <c r="BE72" i="23" s="1"/>
  <c r="S105" i="23"/>
  <c r="U105" i="23" s="1"/>
  <c r="AN105" i="23"/>
  <c r="BE105" i="23" s="1"/>
  <c r="S61" i="23"/>
  <c r="AN61" i="23"/>
  <c r="BE61" i="23" s="1"/>
  <c r="S9" i="23"/>
  <c r="AN9" i="23"/>
  <c r="BE9" i="23" s="1"/>
  <c r="S77" i="23"/>
  <c r="U77" i="23" s="1"/>
  <c r="AN77" i="23"/>
  <c r="BE77" i="23" s="1"/>
  <c r="S80" i="23"/>
  <c r="U80" i="23" s="1"/>
  <c r="AN80" i="23"/>
  <c r="BE80" i="23" s="1"/>
  <c r="S71" i="23"/>
  <c r="U71" i="23" s="1"/>
  <c r="AN71" i="23"/>
  <c r="BE71" i="23" s="1"/>
  <c r="S91" i="23"/>
  <c r="U91" i="23" s="1"/>
  <c r="AN91" i="23"/>
  <c r="BE91" i="23" s="1"/>
  <c r="S87" i="23"/>
  <c r="U87" i="23" s="1"/>
  <c r="AN87" i="23"/>
  <c r="BE87" i="23" s="1"/>
  <c r="S79" i="23"/>
  <c r="U79" i="23" s="1"/>
  <c r="AN79" i="23"/>
  <c r="BE79" i="23" s="1"/>
  <c r="S59" i="23"/>
  <c r="U59" i="23" s="1"/>
  <c r="AN59" i="23"/>
  <c r="BE59" i="23" s="1"/>
  <c r="S26" i="23"/>
  <c r="U26" i="23" s="1"/>
  <c r="AN26" i="23"/>
  <c r="BE26" i="23" s="1"/>
  <c r="S102" i="23"/>
  <c r="U102" i="23" s="1"/>
  <c r="AN102" i="23"/>
  <c r="BE102" i="23" s="1"/>
  <c r="S64" i="23"/>
  <c r="U64" i="23" s="1"/>
  <c r="AN64" i="23"/>
  <c r="BE64" i="23" s="1"/>
  <c r="S62" i="23"/>
  <c r="AN62" i="23"/>
  <c r="BE62" i="23" s="1"/>
  <c r="S60" i="23"/>
  <c r="U60" i="23" s="1"/>
  <c r="AN60" i="23"/>
  <c r="BE60" i="23" s="1"/>
  <c r="S57" i="23"/>
  <c r="U57" i="23" s="1"/>
  <c r="AN57" i="23"/>
  <c r="BE57" i="23" s="1"/>
  <c r="S28" i="23"/>
  <c r="U28" i="23" s="1"/>
  <c r="AN28" i="23"/>
  <c r="BE28" i="23" s="1"/>
  <c r="S107" i="23"/>
  <c r="U107" i="23" s="1"/>
  <c r="AN107" i="23"/>
  <c r="BE107" i="23" s="1"/>
  <c r="S93" i="23"/>
  <c r="U93" i="23" s="1"/>
  <c r="AN93" i="23"/>
  <c r="BE93" i="23" s="1"/>
  <c r="S17" i="23"/>
  <c r="U17" i="23" s="1"/>
  <c r="AN17" i="23"/>
  <c r="BE17" i="23" s="1"/>
  <c r="S36" i="23"/>
  <c r="U36" i="23" s="1"/>
  <c r="AN36" i="23"/>
  <c r="BE36" i="23" s="1"/>
  <c r="S75" i="23"/>
  <c r="U75" i="23" s="1"/>
  <c r="AN75" i="23"/>
  <c r="BE75" i="23" s="1"/>
  <c r="S84" i="23"/>
  <c r="U84" i="23" s="1"/>
  <c r="AN84" i="23"/>
  <c r="BE84" i="23" s="1"/>
  <c r="S97" i="23"/>
  <c r="U97" i="23" s="1"/>
  <c r="AN97" i="23"/>
  <c r="BE97" i="23" s="1"/>
  <c r="S34" i="23"/>
  <c r="U34" i="23" s="1"/>
  <c r="AN34" i="23"/>
  <c r="BE34" i="23" s="1"/>
  <c r="S10" i="23"/>
  <c r="U10" i="23" s="1"/>
  <c r="AN10" i="23"/>
  <c r="BE10" i="23" s="1"/>
  <c r="S43" i="23"/>
  <c r="U43" i="23" s="1"/>
  <c r="AN43" i="23"/>
  <c r="BE43" i="23" s="1"/>
  <c r="AN51" i="21"/>
  <c r="BE51" i="21" s="1"/>
  <c r="AN83" i="21"/>
  <c r="BE83" i="21" s="1"/>
  <c r="E355" i="2"/>
  <c r="C49" i="16" s="1"/>
  <c r="D355" i="2"/>
  <c r="E52" i="1"/>
  <c r="C54" i="16" s="1"/>
  <c r="D54" i="16" s="1"/>
  <c r="B134" i="2"/>
  <c r="B138" i="2" s="1"/>
  <c r="E48" i="1" s="1"/>
  <c r="S51" i="21"/>
  <c r="S83" i="21"/>
  <c r="P31" i="21"/>
  <c r="Q31" i="21" s="1"/>
  <c r="AE31" i="21" s="1"/>
  <c r="O31" i="21"/>
  <c r="P39" i="21"/>
  <c r="Q39" i="21" s="1"/>
  <c r="AE39" i="21" s="1"/>
  <c r="O39" i="21"/>
  <c r="AF16" i="21"/>
  <c r="P16" i="21"/>
  <c r="Q16" i="21" s="1"/>
  <c r="AE16" i="21" s="1"/>
  <c r="O16" i="21"/>
  <c r="AF17" i="21"/>
  <c r="O17" i="21"/>
  <c r="P17" i="21"/>
  <c r="Q17" i="21" s="1"/>
  <c r="AE17" i="21" s="1"/>
  <c r="AF109" i="21"/>
  <c r="O109" i="21"/>
  <c r="P109" i="21"/>
  <c r="Q109" i="21" s="1"/>
  <c r="AE109" i="21" s="1"/>
  <c r="O105" i="21"/>
  <c r="P105" i="21"/>
  <c r="Q105" i="21" s="1"/>
  <c r="AE105" i="21" s="1"/>
  <c r="O43" i="21"/>
  <c r="P43" i="21"/>
  <c r="Q43" i="21" s="1"/>
  <c r="AE43" i="21" s="1"/>
  <c r="P38" i="21"/>
  <c r="Q38" i="21" s="1"/>
  <c r="AE38" i="21" s="1"/>
  <c r="O38" i="21"/>
  <c r="O108" i="21"/>
  <c r="P108" i="21"/>
  <c r="Q108" i="21" s="1"/>
  <c r="AE108" i="21" s="1"/>
  <c r="P77" i="21"/>
  <c r="Q77" i="21" s="1"/>
  <c r="AE77" i="21" s="1"/>
  <c r="O77" i="21"/>
  <c r="AF103" i="21"/>
  <c r="P103" i="21"/>
  <c r="Q103" i="21" s="1"/>
  <c r="AE103" i="21" s="1"/>
  <c r="O103" i="21"/>
  <c r="P14" i="21"/>
  <c r="Q14" i="21" s="1"/>
  <c r="AE14" i="21" s="1"/>
  <c r="O14" i="21"/>
  <c r="O49" i="21"/>
  <c r="P49" i="21"/>
  <c r="Q49" i="21" s="1"/>
  <c r="AE49" i="21" s="1"/>
  <c r="P47" i="21"/>
  <c r="Q47" i="21" s="1"/>
  <c r="AE47" i="21" s="1"/>
  <c r="O47" i="21"/>
  <c r="AF102" i="21"/>
  <c r="P102" i="21"/>
  <c r="Q102" i="21" s="1"/>
  <c r="AE102" i="21" s="1"/>
  <c r="O102" i="21"/>
  <c r="AF82" i="21"/>
  <c r="O82" i="21"/>
  <c r="P82" i="21"/>
  <c r="Q82" i="21" s="1"/>
  <c r="AE82" i="21" s="1"/>
  <c r="AF80" i="21"/>
  <c r="P80" i="21"/>
  <c r="Q80" i="21" s="1"/>
  <c r="AE80" i="21" s="1"/>
  <c r="O80" i="21"/>
  <c r="O37" i="21"/>
  <c r="P37" i="21"/>
  <c r="Q37" i="21" s="1"/>
  <c r="AE37" i="21" s="1"/>
  <c r="P22" i="21"/>
  <c r="Q22" i="21" s="1"/>
  <c r="AE22" i="21" s="1"/>
  <c r="O22" i="21"/>
  <c r="P26" i="21"/>
  <c r="Q26" i="21" s="1"/>
  <c r="AE26" i="21" s="1"/>
  <c r="O26" i="21"/>
  <c r="AF46" i="21"/>
  <c r="P46" i="21"/>
  <c r="Q46" i="21" s="1"/>
  <c r="AE46" i="21" s="1"/>
  <c r="O46" i="21"/>
  <c r="O76" i="21"/>
  <c r="P76" i="21"/>
  <c r="Q76" i="21" s="1"/>
  <c r="AE76" i="21" s="1"/>
  <c r="P18" i="21"/>
  <c r="Q18" i="21" s="1"/>
  <c r="AE18" i="21" s="1"/>
  <c r="O18" i="21"/>
  <c r="O75" i="21"/>
  <c r="P75" i="21"/>
  <c r="Q75" i="21" s="1"/>
  <c r="AE75" i="21" s="1"/>
  <c r="B75" i="21"/>
  <c r="B76" i="21" s="1"/>
  <c r="D209" i="2"/>
  <c r="D208" i="2"/>
  <c r="D199" i="2"/>
  <c r="BE86" i="21"/>
  <c r="S86" i="21"/>
  <c r="BE101" i="21"/>
  <c r="S101" i="21"/>
  <c r="BE50" i="21"/>
  <c r="S50" i="21"/>
  <c r="BE57" i="21"/>
  <c r="S57" i="21"/>
  <c r="BE52" i="21"/>
  <c r="S52" i="21"/>
  <c r="BE66" i="21"/>
  <c r="S66" i="21"/>
  <c r="BE59" i="21"/>
  <c r="S59" i="21"/>
  <c r="BE54" i="21"/>
  <c r="S54" i="21"/>
  <c r="BE58" i="21"/>
  <c r="S58" i="21"/>
  <c r="BE42" i="21"/>
  <c r="S42" i="21"/>
  <c r="BE23" i="21"/>
  <c r="S23" i="21"/>
  <c r="BE44" i="21"/>
  <c r="S44" i="21"/>
  <c r="BE99" i="21"/>
  <c r="S99" i="21"/>
  <c r="BE96" i="21"/>
  <c r="S96" i="21"/>
  <c r="BE94" i="21"/>
  <c r="S94" i="21"/>
  <c r="BE62" i="21"/>
  <c r="S62" i="21"/>
  <c r="BE72" i="21"/>
  <c r="S72" i="21"/>
  <c r="BE87" i="21"/>
  <c r="S87" i="21"/>
  <c r="BE93" i="21"/>
  <c r="S93" i="21"/>
  <c r="BE48" i="21"/>
  <c r="S48" i="21"/>
  <c r="BE97" i="21"/>
  <c r="S97" i="21"/>
  <c r="BE30" i="21"/>
  <c r="S30" i="21"/>
  <c r="BE61" i="21"/>
  <c r="S61" i="21"/>
  <c r="BE71" i="21"/>
  <c r="S71" i="21"/>
  <c r="BE81" i="21"/>
  <c r="S81" i="21"/>
  <c r="BE79" i="21"/>
  <c r="S79" i="21"/>
  <c r="BE11" i="21"/>
  <c r="S11" i="21"/>
  <c r="BE40" i="21"/>
  <c r="S40" i="21"/>
  <c r="BE100" i="21"/>
  <c r="S100" i="21"/>
  <c r="BE69" i="21"/>
  <c r="S69" i="21"/>
  <c r="BE56" i="21"/>
  <c r="S56" i="21"/>
  <c r="BE24" i="21"/>
  <c r="S24" i="21"/>
  <c r="BE106" i="21"/>
  <c r="S106" i="21"/>
  <c r="BE107" i="21"/>
  <c r="S107" i="21"/>
  <c r="BE53" i="21"/>
  <c r="S53" i="21"/>
  <c r="BE19" i="21"/>
  <c r="S19" i="21"/>
  <c r="BE55" i="21"/>
  <c r="S55" i="21"/>
  <c r="BE27" i="21"/>
  <c r="S27" i="21"/>
  <c r="BE95" i="21"/>
  <c r="S95" i="21"/>
  <c r="BE92" i="21"/>
  <c r="S92" i="21"/>
  <c r="BE21" i="21"/>
  <c r="S21" i="21"/>
  <c r="BE91" i="21"/>
  <c r="S91" i="21"/>
  <c r="BE29" i="21"/>
  <c r="S29" i="21"/>
  <c r="BE12" i="21"/>
  <c r="S12" i="21"/>
  <c r="BE25" i="21"/>
  <c r="S25" i="21"/>
  <c r="BE84" i="21"/>
  <c r="S84" i="21"/>
  <c r="BE20" i="21"/>
  <c r="S20" i="21"/>
  <c r="BE90" i="21"/>
  <c r="S90" i="21"/>
  <c r="BE15" i="21"/>
  <c r="S15" i="21"/>
  <c r="BE33" i="21"/>
  <c r="S33" i="21"/>
  <c r="BE88" i="21"/>
  <c r="S88" i="21"/>
  <c r="BE70" i="21"/>
  <c r="S70" i="21"/>
  <c r="BE45" i="21"/>
  <c r="S45" i="21"/>
  <c r="BE13" i="21"/>
  <c r="S13" i="21"/>
  <c r="BE78" i="21"/>
  <c r="S78" i="21"/>
  <c r="BE34" i="21"/>
  <c r="S34" i="21"/>
  <c r="BE63" i="21"/>
  <c r="S63" i="21"/>
  <c r="BE85" i="21"/>
  <c r="S85" i="21"/>
  <c r="BE89" i="21"/>
  <c r="S89" i="21"/>
  <c r="BE104" i="21"/>
  <c r="S104" i="21"/>
  <c r="BE41" i="21"/>
  <c r="S41" i="21"/>
  <c r="BE68" i="21"/>
  <c r="S68" i="21"/>
  <c r="BE36" i="21"/>
  <c r="S36" i="21"/>
  <c r="BE10" i="21"/>
  <c r="S10" i="21"/>
  <c r="BE98" i="21"/>
  <c r="S98" i="21"/>
  <c r="BE28" i="21"/>
  <c r="S28" i="21"/>
  <c r="BE74" i="21"/>
  <c r="S74" i="21"/>
  <c r="BE65" i="21"/>
  <c r="S65" i="21"/>
  <c r="BE73" i="21"/>
  <c r="S73" i="21"/>
  <c r="BE60" i="21"/>
  <c r="S60" i="21"/>
  <c r="BE32" i="21"/>
  <c r="S32" i="21"/>
  <c r="BE35" i="21"/>
  <c r="S35" i="21"/>
  <c r="BE67" i="21"/>
  <c r="S67" i="21"/>
  <c r="BE64" i="21"/>
  <c r="S64" i="21"/>
  <c r="AK9" i="23"/>
  <c r="BD9" i="23" s="1"/>
  <c r="AX9" i="23" s="1"/>
  <c r="BD72" i="23"/>
  <c r="AX72" i="23" s="1"/>
  <c r="AK105" i="23"/>
  <c r="BD105" i="23" s="1"/>
  <c r="AX105" i="23" s="1"/>
  <c r="D220" i="2"/>
  <c r="AI61" i="23"/>
  <c r="AI93" i="23"/>
  <c r="AI17" i="23"/>
  <c r="W79" i="23"/>
  <c r="X79" i="23" s="1"/>
  <c r="W20" i="23"/>
  <c r="X20" i="23" s="1"/>
  <c r="W71" i="23"/>
  <c r="X71" i="23" s="1"/>
  <c r="AC18" i="23"/>
  <c r="AI91" i="23"/>
  <c r="AI20" i="23"/>
  <c r="AC79" i="23"/>
  <c r="W97" i="23"/>
  <c r="X97" i="23" s="1"/>
  <c r="W62" i="23"/>
  <c r="X62" i="23" s="1"/>
  <c r="W70" i="23"/>
  <c r="X70" i="23" s="1"/>
  <c r="W28" i="23"/>
  <c r="X28" i="23" s="1"/>
  <c r="AI87" i="23"/>
  <c r="W84" i="23"/>
  <c r="X84" i="23" s="1"/>
  <c r="W57" i="23"/>
  <c r="X57" i="23" s="1"/>
  <c r="W60" i="23"/>
  <c r="X60" i="23" s="1"/>
  <c r="AC28" i="23"/>
  <c r="W26" i="23"/>
  <c r="X26" i="23" s="1"/>
  <c r="W47" i="23"/>
  <c r="X47" i="23" s="1"/>
  <c r="W61" i="23"/>
  <c r="X61" i="23" s="1"/>
  <c r="W77" i="23"/>
  <c r="X77" i="23" s="1"/>
  <c r="BD97" i="23"/>
  <c r="AX97" i="23" s="1"/>
  <c r="B73" i="23"/>
  <c r="B45" i="23"/>
  <c r="B72" i="23"/>
  <c r="BD71" i="23"/>
  <c r="AX71" i="23" s="1"/>
  <c r="BD101" i="23"/>
  <c r="AX101" i="23" s="1"/>
  <c r="BD62" i="23"/>
  <c r="AX62" i="23" s="1"/>
  <c r="BD28" i="23"/>
  <c r="AX28" i="23" s="1"/>
  <c r="AH27" i="23"/>
  <c r="AI27" i="23" s="1"/>
  <c r="AK27" i="23" s="1"/>
  <c r="Y50" i="23"/>
  <c r="Z50" i="23" s="1"/>
  <c r="AA50" i="23" s="1"/>
  <c r="Y96" i="23"/>
  <c r="Z96" i="23" s="1"/>
  <c r="AA96" i="23" s="1"/>
  <c r="Y44" i="23"/>
  <c r="Z44" i="23" s="1"/>
  <c r="AA44" i="23" s="1"/>
  <c r="Y48" i="23"/>
  <c r="Z48" i="23" s="1"/>
  <c r="AA48" i="23" s="1"/>
  <c r="Y39" i="23"/>
  <c r="Z39" i="23" s="1"/>
  <c r="AA39" i="23" s="1"/>
  <c r="AB16" i="23"/>
  <c r="AC16" i="23" s="1"/>
  <c r="AH56" i="23"/>
  <c r="AI56" i="23" s="1"/>
  <c r="AH67" i="23"/>
  <c r="AI67" i="23" s="1"/>
  <c r="AK67" i="23" s="1"/>
  <c r="Y95" i="23"/>
  <c r="Z95" i="23" s="1"/>
  <c r="AA95" i="23" s="1"/>
  <c r="BD84" i="23"/>
  <c r="AX84" i="23" s="1"/>
  <c r="BD82" i="23"/>
  <c r="AX82" i="23" s="1"/>
  <c r="BD26" i="23"/>
  <c r="AX26" i="23" s="1"/>
  <c r="Y45" i="23"/>
  <c r="Z45" i="23" s="1"/>
  <c r="AA45" i="23" s="1"/>
  <c r="AH32" i="23"/>
  <c r="AI32" i="23" s="1"/>
  <c r="AK32" i="23" s="1"/>
  <c r="AB95" i="23"/>
  <c r="AC95" i="23" s="1"/>
  <c r="AH31" i="23"/>
  <c r="AI31" i="23" s="1"/>
  <c r="AH85" i="23"/>
  <c r="AI85" i="23" s="1"/>
  <c r="AK85" i="23" s="1"/>
  <c r="Y12" i="23"/>
  <c r="Z12" i="23" s="1"/>
  <c r="AA12" i="23" s="1"/>
  <c r="Y37" i="23"/>
  <c r="Z37" i="23" s="1"/>
  <c r="AA37" i="23" s="1"/>
  <c r="Y25" i="23"/>
  <c r="Z25" i="23" s="1"/>
  <c r="AA25" i="23" s="1"/>
  <c r="Y52" i="23"/>
  <c r="Z52" i="23" s="1"/>
  <c r="AA52" i="23" s="1"/>
  <c r="AH30" i="23"/>
  <c r="AI30" i="23" s="1"/>
  <c r="BD18" i="23"/>
  <c r="AX18" i="23" s="1"/>
  <c r="BD64" i="23"/>
  <c r="AX64" i="23" s="1"/>
  <c r="BD107" i="23"/>
  <c r="AX107" i="23" s="1"/>
  <c r="BD24" i="23"/>
  <c r="AX24" i="23" s="1"/>
  <c r="AB25" i="23"/>
  <c r="AC25" i="23" s="1"/>
  <c r="Y94" i="23"/>
  <c r="Z94" i="23" s="1"/>
  <c r="AA94" i="23" s="1"/>
  <c r="AH108" i="23"/>
  <c r="AI108" i="23" s="1"/>
  <c r="AH98" i="23"/>
  <c r="AI98" i="23" s="1"/>
  <c r="AK98" i="23" s="1"/>
  <c r="AB38" i="23"/>
  <c r="AC38" i="23" s="1"/>
  <c r="AH33" i="23"/>
  <c r="AI33" i="23" s="1"/>
  <c r="Y41" i="23"/>
  <c r="Z41" i="23" s="1"/>
  <c r="AA41" i="23" s="1"/>
  <c r="AB21" i="23"/>
  <c r="AC21" i="23" s="1"/>
  <c r="Y67" i="23"/>
  <c r="Z67" i="23" s="1"/>
  <c r="AA67" i="23" s="1"/>
  <c r="AB103" i="23"/>
  <c r="AC103" i="23" s="1"/>
  <c r="AB22" i="23"/>
  <c r="AC22" i="23" s="1"/>
  <c r="Y11" i="23"/>
  <c r="Z11" i="23" s="1"/>
  <c r="AA11" i="23" s="1"/>
  <c r="Y58" i="23"/>
  <c r="Z58" i="23" s="1"/>
  <c r="AA58" i="23" s="1"/>
  <c r="BD47" i="23"/>
  <c r="AX47" i="23" s="1"/>
  <c r="AB27" i="23"/>
  <c r="AC27" i="23" s="1"/>
  <c r="AH12" i="23"/>
  <c r="AI12" i="23" s="1"/>
  <c r="AK12" i="23" s="1"/>
  <c r="BD70" i="23"/>
  <c r="AX70" i="23" s="1"/>
  <c r="Y31" i="23"/>
  <c r="Z31" i="23" s="1"/>
  <c r="AA31" i="23" s="1"/>
  <c r="AB44" i="23"/>
  <c r="AC44" i="23" s="1"/>
  <c r="Y21" i="23"/>
  <c r="Z21" i="23" s="1"/>
  <c r="AA21" i="23" s="1"/>
  <c r="AB63" i="23"/>
  <c r="AC63" i="23" s="1"/>
  <c r="Y13" i="23"/>
  <c r="Z13" i="23" s="1"/>
  <c r="AA13" i="23" s="1"/>
  <c r="AH65" i="23"/>
  <c r="AI65" i="23" s="1"/>
  <c r="AH106" i="23"/>
  <c r="AI106" i="23" s="1"/>
  <c r="AK106" i="23" s="1"/>
  <c r="Y22" i="23"/>
  <c r="Z22" i="23" s="1"/>
  <c r="AA22" i="23" s="1"/>
  <c r="BD10" i="23"/>
  <c r="AX10" i="23" s="1"/>
  <c r="AH76" i="21"/>
  <c r="AF76" i="21"/>
  <c r="AB18" i="21"/>
  <c r="AF18" i="21"/>
  <c r="AB75" i="21"/>
  <c r="AF75" i="21"/>
  <c r="V53" i="23"/>
  <c r="R53" i="23"/>
  <c r="V35" i="23"/>
  <c r="R35" i="23"/>
  <c r="Y35" i="23"/>
  <c r="Z35" i="23" s="1"/>
  <c r="AA35" i="23" s="1"/>
  <c r="V81" i="23"/>
  <c r="R81" i="23"/>
  <c r="V49" i="23"/>
  <c r="R49" i="23"/>
  <c r="V19" i="23"/>
  <c r="R19" i="23"/>
  <c r="V69" i="23"/>
  <c r="R69" i="23"/>
  <c r="AH81" i="23"/>
  <c r="AI81" i="23" s="1"/>
  <c r="AK81" i="23" s="1"/>
  <c r="Y69" i="23"/>
  <c r="Z69" i="23" s="1"/>
  <c r="AA69" i="23" s="1"/>
  <c r="Y39" i="21"/>
  <c r="AF39" i="21"/>
  <c r="Y105" i="21"/>
  <c r="AF105" i="21"/>
  <c r="V15" i="23"/>
  <c r="R15" i="23"/>
  <c r="AB109" i="23"/>
  <c r="AC109" i="23" s="1"/>
  <c r="BD83" i="23"/>
  <c r="AX83" i="23" s="1"/>
  <c r="V14" i="23"/>
  <c r="R14" i="23"/>
  <c r="AB51" i="23"/>
  <c r="AC51" i="23" s="1"/>
  <c r="AH35" i="23"/>
  <c r="AI35" i="23" s="1"/>
  <c r="AK35" i="23" s="1"/>
  <c r="Y14" i="23"/>
  <c r="Z14" i="23" s="1"/>
  <c r="AA14" i="23" s="1"/>
  <c r="V23" i="23"/>
  <c r="BD23" i="23"/>
  <c r="AX23" i="23" s="1"/>
  <c r="R23" i="23"/>
  <c r="V55" i="23"/>
  <c r="R55" i="23"/>
  <c r="BD55" i="23"/>
  <c r="AX55" i="23" s="1"/>
  <c r="Y90" i="23"/>
  <c r="Z90" i="23" s="1"/>
  <c r="AA90" i="23" s="1"/>
  <c r="AB69" i="23"/>
  <c r="AC69" i="23" s="1"/>
  <c r="AB37" i="21"/>
  <c r="AF37" i="21"/>
  <c r="AB43" i="21"/>
  <c r="AF43" i="21"/>
  <c r="V38" i="23"/>
  <c r="BD38" i="23"/>
  <c r="AX38" i="23" s="1"/>
  <c r="R38" i="23"/>
  <c r="V40" i="23"/>
  <c r="R40" i="23"/>
  <c r="V108" i="23"/>
  <c r="R108" i="23"/>
  <c r="V30" i="23"/>
  <c r="R30" i="23"/>
  <c r="V37" i="23"/>
  <c r="R37" i="23"/>
  <c r="BD29" i="23"/>
  <c r="AX29" i="23" s="1"/>
  <c r="V46" i="23"/>
  <c r="R46" i="23"/>
  <c r="V104" i="23"/>
  <c r="BD104" i="23"/>
  <c r="AX104" i="23" s="1"/>
  <c r="R104" i="23"/>
  <c r="V99" i="23"/>
  <c r="BD99" i="23"/>
  <c r="AX99" i="23" s="1"/>
  <c r="R99" i="23"/>
  <c r="Y53" i="23"/>
  <c r="Z53" i="23" s="1"/>
  <c r="AA53" i="23" s="1"/>
  <c r="V32" i="23"/>
  <c r="R32" i="23"/>
  <c r="BD88" i="23"/>
  <c r="AX88" i="23" s="1"/>
  <c r="V58" i="23"/>
  <c r="R58" i="23"/>
  <c r="BD58" i="23"/>
  <c r="AX58" i="23" s="1"/>
  <c r="V56" i="23"/>
  <c r="R56" i="23"/>
  <c r="BD79" i="23"/>
  <c r="AX79" i="23" s="1"/>
  <c r="V73" i="23"/>
  <c r="R73" i="23"/>
  <c r="AH14" i="23"/>
  <c r="AI14" i="23" s="1"/>
  <c r="AK14" i="23" s="1"/>
  <c r="Y19" i="23"/>
  <c r="Z19" i="23" s="1"/>
  <c r="AA19" i="23" s="1"/>
  <c r="AB55" i="23"/>
  <c r="AC55" i="23" s="1"/>
  <c r="V78" i="23"/>
  <c r="R78" i="23"/>
  <c r="Y46" i="23"/>
  <c r="Z46" i="23" s="1"/>
  <c r="AA46" i="23" s="1"/>
  <c r="AB104" i="23"/>
  <c r="AC104" i="23" s="1"/>
  <c r="V54" i="23"/>
  <c r="R54" i="23"/>
  <c r="BD100" i="23"/>
  <c r="AX100" i="23" s="1"/>
  <c r="V41" i="23"/>
  <c r="BD41" i="23"/>
  <c r="AX41" i="23" s="1"/>
  <c r="R41" i="23"/>
  <c r="Y81" i="23"/>
  <c r="Z81" i="23" s="1"/>
  <c r="AA81" i="23" s="1"/>
  <c r="AH40" i="23"/>
  <c r="AI40" i="23" s="1"/>
  <c r="AK40" i="23" s="1"/>
  <c r="AH73" i="23"/>
  <c r="AI73" i="23" s="1"/>
  <c r="AK73" i="23" s="1"/>
  <c r="AH49" i="23"/>
  <c r="AI49" i="23" s="1"/>
  <c r="AK49" i="23" s="1"/>
  <c r="BD102" i="23"/>
  <c r="AX102" i="23" s="1"/>
  <c r="Y23" i="23"/>
  <c r="Z23" i="23" s="1"/>
  <c r="AA23" i="23" s="1"/>
  <c r="Y78" i="23"/>
  <c r="Z78" i="23" s="1"/>
  <c r="AA78" i="23" s="1"/>
  <c r="Y54" i="23"/>
  <c r="Z54" i="23" s="1"/>
  <c r="AA54" i="23" s="1"/>
  <c r="V11" i="23"/>
  <c r="BD11" i="23"/>
  <c r="AX11" i="23" s="1"/>
  <c r="R11" i="23"/>
  <c r="V52" i="23"/>
  <c r="BD52" i="23"/>
  <c r="AX52" i="23" s="1"/>
  <c r="R52" i="23"/>
  <c r="BD75" i="23"/>
  <c r="AX75" i="23" s="1"/>
  <c r="Y14" i="21"/>
  <c r="AF14" i="21"/>
  <c r="AH49" i="21"/>
  <c r="AF49" i="21"/>
  <c r="AH47" i="21"/>
  <c r="AF47" i="21"/>
  <c r="V42" i="23"/>
  <c r="R42" i="23"/>
  <c r="V76" i="23"/>
  <c r="R76" i="23"/>
  <c r="V109" i="23"/>
  <c r="R109" i="23"/>
  <c r="V51" i="23"/>
  <c r="R51" i="23"/>
  <c r="V92" i="23"/>
  <c r="R92" i="23"/>
  <c r="BD77" i="23"/>
  <c r="AX77" i="23" s="1"/>
  <c r="Y42" i="23"/>
  <c r="Z42" i="23" s="1"/>
  <c r="AA42" i="23" s="1"/>
  <c r="AB49" i="23"/>
  <c r="AC49" i="23" s="1"/>
  <c r="AH76" i="23"/>
  <c r="AI76" i="23" s="1"/>
  <c r="AK76" i="23" s="1"/>
  <c r="V90" i="23"/>
  <c r="BD90" i="23"/>
  <c r="AX90" i="23" s="1"/>
  <c r="R90" i="23"/>
  <c r="AH31" i="21"/>
  <c r="AF31" i="21"/>
  <c r="V33" i="23"/>
  <c r="R33" i="23"/>
  <c r="V74" i="23"/>
  <c r="R74" i="23"/>
  <c r="AB92" i="23"/>
  <c r="AC92" i="23" s="1"/>
  <c r="BD43" i="23"/>
  <c r="AX43" i="23" s="1"/>
  <c r="V96" i="23"/>
  <c r="R96" i="23"/>
  <c r="AH15" i="23"/>
  <c r="AI15" i="23" s="1"/>
  <c r="AK15" i="23" s="1"/>
  <c r="AB53" i="23"/>
  <c r="AC53" i="23" s="1"/>
  <c r="V65" i="23"/>
  <c r="R65" i="23"/>
  <c r="V98" i="23"/>
  <c r="R98" i="23"/>
  <c r="AH42" i="23"/>
  <c r="AI42" i="23" s="1"/>
  <c r="AK42" i="23" s="1"/>
  <c r="AB19" i="23"/>
  <c r="AC19" i="23" s="1"/>
  <c r="AH74" i="23"/>
  <c r="AI74" i="23" s="1"/>
  <c r="AK74" i="23" s="1"/>
  <c r="V68" i="23"/>
  <c r="R68" i="23"/>
  <c r="BD68" i="23"/>
  <c r="AX68" i="23" s="1"/>
  <c r="Y49" i="23"/>
  <c r="Z49" i="23" s="1"/>
  <c r="AA49" i="23" s="1"/>
  <c r="Y76" i="23"/>
  <c r="Z76" i="23" s="1"/>
  <c r="AA76" i="23" s="1"/>
  <c r="V103" i="23"/>
  <c r="R103" i="23"/>
  <c r="AB23" i="23"/>
  <c r="AC23" i="23" s="1"/>
  <c r="AH38" i="21"/>
  <c r="AF38" i="21"/>
  <c r="AH22" i="21"/>
  <c r="AF22" i="21"/>
  <c r="AH108" i="21"/>
  <c r="AF108" i="21"/>
  <c r="AH77" i="21"/>
  <c r="AF77" i="21"/>
  <c r="AB26" i="21"/>
  <c r="AF26" i="21"/>
  <c r="V45" i="23"/>
  <c r="BD45" i="23"/>
  <c r="AX45" i="23" s="1"/>
  <c r="R45" i="23"/>
  <c r="AH109" i="23"/>
  <c r="AI109" i="23" s="1"/>
  <c r="AK109" i="23" s="1"/>
  <c r="Y30" i="23"/>
  <c r="Z30" i="23" s="1"/>
  <c r="AA30" i="23" s="1"/>
  <c r="AH37" i="23"/>
  <c r="AI37" i="23" s="1"/>
  <c r="AK37" i="23" s="1"/>
  <c r="V31" i="23"/>
  <c r="R31" i="23"/>
  <c r="AH51" i="23"/>
  <c r="AI51" i="23" s="1"/>
  <c r="AK51" i="23" s="1"/>
  <c r="V85" i="23"/>
  <c r="R85" i="23"/>
  <c r="AH92" i="23"/>
  <c r="AI92" i="23" s="1"/>
  <c r="AK92" i="23" s="1"/>
  <c r="V44" i="23"/>
  <c r="BD44" i="23"/>
  <c r="AX44" i="23" s="1"/>
  <c r="R44" i="23"/>
  <c r="V50" i="23"/>
  <c r="BD50" i="23"/>
  <c r="AX50" i="23" s="1"/>
  <c r="R50" i="23"/>
  <c r="V95" i="23"/>
  <c r="BD95" i="23"/>
  <c r="AX95" i="23" s="1"/>
  <c r="R95" i="23"/>
  <c r="V27" i="23"/>
  <c r="R27" i="23"/>
  <c r="AB15" i="23"/>
  <c r="AC15" i="23" s="1"/>
  <c r="V25" i="23"/>
  <c r="BD25" i="23"/>
  <c r="AX25" i="23" s="1"/>
  <c r="R25" i="23"/>
  <c r="AB45" i="23"/>
  <c r="AC45" i="23" s="1"/>
  <c r="V67" i="23"/>
  <c r="R67" i="23"/>
  <c r="AH53" i="23"/>
  <c r="AI53" i="23" s="1"/>
  <c r="AK53" i="23" s="1"/>
  <c r="V94" i="23"/>
  <c r="BD94" i="23"/>
  <c r="AX94" i="23" s="1"/>
  <c r="R94" i="23"/>
  <c r="AB108" i="23"/>
  <c r="AC108" i="23" s="1"/>
  <c r="BD34" i="23"/>
  <c r="AX34" i="23" s="1"/>
  <c r="BD60" i="23"/>
  <c r="AX60" i="23" s="1"/>
  <c r="V66" i="23"/>
  <c r="R66" i="23"/>
  <c r="BD66" i="23"/>
  <c r="AX66" i="23" s="1"/>
  <c r="AB35" i="23"/>
  <c r="AC35" i="23" s="1"/>
  <c r="V16" i="23"/>
  <c r="R16" i="23"/>
  <c r="BD16" i="23"/>
  <c r="AX16" i="23" s="1"/>
  <c r="V48" i="23"/>
  <c r="R48" i="23"/>
  <c r="BD48" i="23"/>
  <c r="AX48" i="23" s="1"/>
  <c r="V86" i="23"/>
  <c r="R86" i="23"/>
  <c r="AH96" i="23"/>
  <c r="AI96" i="23" s="1"/>
  <c r="AK96" i="23" s="1"/>
  <c r="Y98" i="23"/>
  <c r="Z98" i="23" s="1"/>
  <c r="AA98" i="23" s="1"/>
  <c r="Y38" i="23"/>
  <c r="Z38" i="23" s="1"/>
  <c r="AA38" i="23" s="1"/>
  <c r="AB42" i="23"/>
  <c r="AC42" i="23" s="1"/>
  <c r="V21" i="23"/>
  <c r="BD21" i="23"/>
  <c r="AX21" i="23" s="1"/>
  <c r="R21" i="23"/>
  <c r="BD59" i="23"/>
  <c r="AX59" i="23" s="1"/>
  <c r="V63" i="23"/>
  <c r="BD63" i="23"/>
  <c r="AX63" i="23" s="1"/>
  <c r="R63" i="23"/>
  <c r="BD80" i="23"/>
  <c r="AX80" i="23" s="1"/>
  <c r="AB32" i="23"/>
  <c r="AC32" i="23" s="1"/>
  <c r="V13" i="23"/>
  <c r="R13" i="23"/>
  <c r="BD13" i="23"/>
  <c r="AX13" i="23" s="1"/>
  <c r="V12" i="23"/>
  <c r="R12" i="23"/>
  <c r="AH19" i="23"/>
  <c r="AI19" i="23" s="1"/>
  <c r="AK19" i="23" s="1"/>
  <c r="Y33" i="23"/>
  <c r="Z33" i="23" s="1"/>
  <c r="AA33" i="23" s="1"/>
  <c r="BD57" i="23"/>
  <c r="AX57" i="23" s="1"/>
  <c r="Y55" i="23"/>
  <c r="Z55" i="23" s="1"/>
  <c r="AA55" i="23" s="1"/>
  <c r="Y74" i="23"/>
  <c r="Z74" i="23" s="1"/>
  <c r="AA74" i="23" s="1"/>
  <c r="AB85" i="23"/>
  <c r="AC85" i="23" s="1"/>
  <c r="V106" i="23"/>
  <c r="R106" i="23"/>
  <c r="AH46" i="23"/>
  <c r="AI46" i="23" s="1"/>
  <c r="AK46" i="23" s="1"/>
  <c r="V22" i="23"/>
  <c r="BD22" i="23"/>
  <c r="AX22" i="23" s="1"/>
  <c r="R22" i="23"/>
  <c r="Y104" i="23"/>
  <c r="Z104" i="23" s="1"/>
  <c r="AA104" i="23" s="1"/>
  <c r="AB41" i="23"/>
  <c r="AC41" i="23" s="1"/>
  <c r="Y68" i="23"/>
  <c r="Z68" i="23" s="1"/>
  <c r="AA68" i="23" s="1"/>
  <c r="AB48" i="23"/>
  <c r="AC48" i="23" s="1"/>
  <c r="AB56" i="23"/>
  <c r="AC56" i="23" s="1"/>
  <c r="AH86" i="23"/>
  <c r="AI86" i="23" s="1"/>
  <c r="AK86" i="23" s="1"/>
  <c r="AB81" i="23"/>
  <c r="AC81" i="23" s="1"/>
  <c r="AB40" i="23"/>
  <c r="AC40" i="23" s="1"/>
  <c r="AB73" i="23"/>
  <c r="AC73" i="23" s="1"/>
  <c r="AH103" i="23"/>
  <c r="AI103" i="23" s="1"/>
  <c r="AK103" i="23" s="1"/>
  <c r="BD36" i="23"/>
  <c r="AX36" i="23" s="1"/>
  <c r="AB13" i="23"/>
  <c r="AC13" i="23" s="1"/>
  <c r="V39" i="23"/>
  <c r="BD39" i="23"/>
  <c r="AX39" i="23" s="1"/>
  <c r="R39" i="23"/>
  <c r="AB65" i="23"/>
  <c r="AC65" i="23" s="1"/>
  <c r="AH78" i="23"/>
  <c r="AI78" i="23" s="1"/>
  <c r="AK78" i="23" s="1"/>
  <c r="AB90" i="23"/>
  <c r="AC90" i="23" s="1"/>
  <c r="AB106" i="23"/>
  <c r="AC106" i="23" s="1"/>
  <c r="AH54" i="23"/>
  <c r="AI54" i="23" s="1"/>
  <c r="AK54" i="23" s="1"/>
  <c r="Y99" i="23"/>
  <c r="Z99" i="23" s="1"/>
  <c r="AA99" i="23" s="1"/>
  <c r="AH69" i="23"/>
  <c r="AI69" i="23" s="1"/>
  <c r="AK69" i="23" s="1"/>
  <c r="Y16" i="23"/>
  <c r="Z16" i="23" s="1"/>
  <c r="AA16" i="23" s="1"/>
  <c r="AB11" i="23"/>
  <c r="AC11" i="23" s="1"/>
  <c r="AB58" i="23"/>
  <c r="AC58" i="23" s="1"/>
  <c r="AB52" i="23"/>
  <c r="AC52" i="23" s="1"/>
  <c r="BD89" i="23"/>
  <c r="AX89" i="23" s="1"/>
  <c r="D319" i="2"/>
  <c r="D318" i="2"/>
  <c r="AH75" i="21"/>
  <c r="Y75" i="21"/>
  <c r="V103" i="21"/>
  <c r="AJ103" i="21"/>
  <c r="R103" i="21"/>
  <c r="AN103" i="21" s="1"/>
  <c r="V46" i="21"/>
  <c r="AJ46" i="21"/>
  <c r="R46" i="21"/>
  <c r="AN46" i="21" s="1"/>
  <c r="V16" i="21"/>
  <c r="R16" i="21"/>
  <c r="AN16" i="21" s="1"/>
  <c r="AJ16" i="21"/>
  <c r="V17" i="21"/>
  <c r="R17" i="21"/>
  <c r="AN17" i="21" s="1"/>
  <c r="AJ17" i="21"/>
  <c r="V109" i="21"/>
  <c r="AJ109" i="21"/>
  <c r="R109" i="21"/>
  <c r="AN109" i="21" s="1"/>
  <c r="V102" i="21"/>
  <c r="R102" i="21"/>
  <c r="AN102" i="21" s="1"/>
  <c r="AJ102" i="21"/>
  <c r="V82" i="21"/>
  <c r="R82" i="21"/>
  <c r="AN82" i="21" s="1"/>
  <c r="AJ82" i="21"/>
  <c r="Y16" i="21"/>
  <c r="Y49" i="21"/>
  <c r="AH17" i="21"/>
  <c r="AB76" i="21"/>
  <c r="Y109" i="21"/>
  <c r="Y26" i="21"/>
  <c r="AH14" i="21"/>
  <c r="AB102" i="21"/>
  <c r="AH18" i="21"/>
  <c r="Y38" i="21"/>
  <c r="AB105" i="21"/>
  <c r="Y22" i="21"/>
  <c r="Y43" i="21"/>
  <c r="V31" i="21"/>
  <c r="R31" i="21"/>
  <c r="AN31" i="21" s="1"/>
  <c r="AJ31" i="21"/>
  <c r="V39" i="21"/>
  <c r="R39" i="21"/>
  <c r="AN39" i="21" s="1"/>
  <c r="AJ39" i="21"/>
  <c r="Y46" i="21"/>
  <c r="V80" i="21"/>
  <c r="R80" i="21"/>
  <c r="AN80" i="21" s="1"/>
  <c r="AJ80" i="21"/>
  <c r="Y103" i="21"/>
  <c r="AB16" i="21"/>
  <c r="Y76" i="21"/>
  <c r="AH109" i="21"/>
  <c r="AB31" i="21"/>
  <c r="AH39" i="21"/>
  <c r="AH102" i="21"/>
  <c r="Y82" i="21"/>
  <c r="Y80" i="21"/>
  <c r="AH43" i="21"/>
  <c r="AB46" i="21"/>
  <c r="V22" i="21"/>
  <c r="AJ22" i="21"/>
  <c r="R22" i="21"/>
  <c r="AN22" i="21" s="1"/>
  <c r="V108" i="21"/>
  <c r="R108" i="21"/>
  <c r="AN108" i="21" s="1"/>
  <c r="AJ108" i="21"/>
  <c r="V77" i="21"/>
  <c r="R77" i="21"/>
  <c r="AN77" i="21" s="1"/>
  <c r="AJ77" i="21"/>
  <c r="V26" i="21"/>
  <c r="R26" i="21"/>
  <c r="AN26" i="21" s="1"/>
  <c r="AJ26" i="21"/>
  <c r="AB103" i="21"/>
  <c r="AH16" i="21"/>
  <c r="AB17" i="21"/>
  <c r="AB77" i="21"/>
  <c r="AH26" i="21"/>
  <c r="V47" i="21"/>
  <c r="AJ47" i="21"/>
  <c r="R47" i="21"/>
  <c r="AN47" i="21" s="1"/>
  <c r="V105" i="21"/>
  <c r="R105" i="21"/>
  <c r="AN105" i="21" s="1"/>
  <c r="AJ105" i="21"/>
  <c r="AB39" i="21"/>
  <c r="V37" i="21"/>
  <c r="AJ37" i="21"/>
  <c r="R37" i="21"/>
  <c r="AN37" i="21" s="1"/>
  <c r="AB82" i="21"/>
  <c r="Y47" i="21"/>
  <c r="AB80" i="21"/>
  <c r="AH105" i="21"/>
  <c r="AB108" i="21"/>
  <c r="Y37" i="21"/>
  <c r="V75" i="21"/>
  <c r="AJ75" i="21"/>
  <c r="R75" i="21"/>
  <c r="AN75" i="21" s="1"/>
  <c r="V38" i="21"/>
  <c r="AJ38" i="21"/>
  <c r="R38" i="21"/>
  <c r="AN38" i="21" s="1"/>
  <c r="AH46" i="21"/>
  <c r="V14" i="21"/>
  <c r="R14" i="21"/>
  <c r="AN14" i="21" s="1"/>
  <c r="AJ14" i="21"/>
  <c r="V49" i="21"/>
  <c r="R49" i="21"/>
  <c r="AN49" i="21" s="1"/>
  <c r="AJ49" i="21"/>
  <c r="V76" i="21"/>
  <c r="R76" i="21"/>
  <c r="AN76" i="21" s="1"/>
  <c r="AJ76" i="21"/>
  <c r="V18" i="21"/>
  <c r="AJ18" i="21"/>
  <c r="R18" i="21"/>
  <c r="AN18" i="21" s="1"/>
  <c r="AH103" i="21"/>
  <c r="AB49" i="21"/>
  <c r="Y17" i="21"/>
  <c r="AB109" i="21"/>
  <c r="Y77" i="21"/>
  <c r="AB14" i="21"/>
  <c r="Y31" i="21"/>
  <c r="Y102" i="21"/>
  <c r="AH82" i="21"/>
  <c r="Y18" i="21"/>
  <c r="AB38" i="21"/>
  <c r="AB47" i="21"/>
  <c r="AH80" i="21"/>
  <c r="AB22" i="21"/>
  <c r="Y108" i="21"/>
  <c r="AH37" i="21"/>
  <c r="V43" i="21"/>
  <c r="AJ43" i="21"/>
  <c r="R43" i="21"/>
  <c r="AN43" i="21" s="1"/>
  <c r="D216" i="2"/>
  <c r="D217" i="2" s="1"/>
  <c r="F623" i="17"/>
  <c r="B90" i="2"/>
  <c r="B107" i="2"/>
  <c r="B105" i="2"/>
  <c r="E21" i="1" s="1"/>
  <c r="A364" i="2"/>
  <c r="C68" i="16"/>
  <c r="D68" i="16" s="1"/>
  <c r="B328" i="2"/>
  <c r="B329" i="2" s="1"/>
  <c r="B198" i="2" l="1"/>
  <c r="B195" i="2"/>
  <c r="S48" i="23"/>
  <c r="AN48" i="23"/>
  <c r="BE48" i="23" s="1"/>
  <c r="S96" i="23"/>
  <c r="U96" i="23" s="1"/>
  <c r="AN96" i="23"/>
  <c r="BE96" i="23" s="1"/>
  <c r="S78" i="23"/>
  <c r="U78" i="23" s="1"/>
  <c r="AN78" i="23"/>
  <c r="BE78" i="23" s="1"/>
  <c r="S56" i="23"/>
  <c r="AN56" i="23"/>
  <c r="BE56" i="23" s="1"/>
  <c r="S40" i="23"/>
  <c r="U40" i="23" s="1"/>
  <c r="AN40" i="23"/>
  <c r="BE40" i="23" s="1"/>
  <c r="S15" i="23"/>
  <c r="U15" i="23" s="1"/>
  <c r="AN15" i="23"/>
  <c r="BE15" i="23" s="1"/>
  <c r="S69" i="23"/>
  <c r="U69" i="23" s="1"/>
  <c r="AN69" i="23"/>
  <c r="BE69" i="23" s="1"/>
  <c r="S39" i="23"/>
  <c r="AN39" i="23"/>
  <c r="BE39" i="23" s="1"/>
  <c r="S67" i="23"/>
  <c r="U67" i="23" s="1"/>
  <c r="AN67" i="23"/>
  <c r="BE67" i="23" s="1"/>
  <c r="S103" i="23"/>
  <c r="U103" i="23" s="1"/>
  <c r="AN103" i="23"/>
  <c r="BE103" i="23" s="1"/>
  <c r="S63" i="23"/>
  <c r="U63" i="23" s="1"/>
  <c r="AN63" i="23"/>
  <c r="BE63" i="23" s="1"/>
  <c r="S92" i="23"/>
  <c r="U92" i="23" s="1"/>
  <c r="AN92" i="23"/>
  <c r="BE92" i="23" s="1"/>
  <c r="S42" i="23"/>
  <c r="U42" i="23" s="1"/>
  <c r="AN42" i="23"/>
  <c r="BE42" i="23" s="1"/>
  <c r="S99" i="23"/>
  <c r="U99" i="23" s="1"/>
  <c r="AN99" i="23"/>
  <c r="BE99" i="23" s="1"/>
  <c r="S35" i="23"/>
  <c r="U35" i="23" s="1"/>
  <c r="AN35" i="23"/>
  <c r="BE35" i="23" s="1"/>
  <c r="S95" i="23"/>
  <c r="U95" i="23" s="1"/>
  <c r="AN95" i="23"/>
  <c r="BE95" i="23" s="1"/>
  <c r="S41" i="23"/>
  <c r="U41" i="23" s="1"/>
  <c r="AN41" i="23"/>
  <c r="S106" i="23"/>
  <c r="U106" i="23" s="1"/>
  <c r="AN106" i="23"/>
  <c r="BE106" i="23" s="1"/>
  <c r="S12" i="23"/>
  <c r="U12" i="23" s="1"/>
  <c r="AN12" i="23"/>
  <c r="BE12" i="23" s="1"/>
  <c r="S16" i="23"/>
  <c r="U16" i="23" s="1"/>
  <c r="AN16" i="23"/>
  <c r="BE16" i="23" s="1"/>
  <c r="S25" i="23"/>
  <c r="U25" i="23" s="1"/>
  <c r="AN25" i="23"/>
  <c r="BE25" i="23" s="1"/>
  <c r="S85" i="23"/>
  <c r="U85" i="23" s="1"/>
  <c r="AN85" i="23"/>
  <c r="BE85" i="23" s="1"/>
  <c r="S45" i="23"/>
  <c r="U45" i="23" s="1"/>
  <c r="AN45" i="23"/>
  <c r="BE45" i="23" s="1"/>
  <c r="S98" i="23"/>
  <c r="AN98" i="23"/>
  <c r="BE98" i="23" s="1"/>
  <c r="S90" i="23"/>
  <c r="AN90" i="23"/>
  <c r="S52" i="23"/>
  <c r="U52" i="23" s="1"/>
  <c r="AN52" i="23"/>
  <c r="BE52" i="23" s="1"/>
  <c r="S37" i="23"/>
  <c r="U37" i="23" s="1"/>
  <c r="AN37" i="23"/>
  <c r="BE37" i="23" s="1"/>
  <c r="S38" i="23"/>
  <c r="U38" i="23" s="1"/>
  <c r="AN38" i="23"/>
  <c r="BE38" i="23" s="1"/>
  <c r="S19" i="23"/>
  <c r="U19" i="23" s="1"/>
  <c r="AN19" i="23"/>
  <c r="BE19" i="23" s="1"/>
  <c r="S76" i="23"/>
  <c r="U76" i="23" s="1"/>
  <c r="AN76" i="23"/>
  <c r="BE76" i="23" s="1"/>
  <c r="S46" i="23"/>
  <c r="U46" i="23" s="1"/>
  <c r="AN46" i="23"/>
  <c r="BE46" i="23" s="1"/>
  <c r="S94" i="23"/>
  <c r="U94" i="23" s="1"/>
  <c r="AN94" i="23"/>
  <c r="BE94" i="23" s="1"/>
  <c r="S50" i="23"/>
  <c r="U50" i="23" s="1"/>
  <c r="AN50" i="23"/>
  <c r="BE50" i="23" s="1"/>
  <c r="S51" i="23"/>
  <c r="U51" i="23" s="1"/>
  <c r="AN51" i="23"/>
  <c r="BE51" i="23" s="1"/>
  <c r="S58" i="23"/>
  <c r="U58" i="23" s="1"/>
  <c r="AN58" i="23"/>
  <c r="BE58" i="23" s="1"/>
  <c r="S53" i="23"/>
  <c r="U53" i="23" s="1"/>
  <c r="AN53" i="23"/>
  <c r="BE53" i="23" s="1"/>
  <c r="S86" i="23"/>
  <c r="U86" i="23" s="1"/>
  <c r="AN86" i="23"/>
  <c r="BE86" i="23" s="1"/>
  <c r="S65" i="23"/>
  <c r="U65" i="23" s="1"/>
  <c r="AN65" i="23"/>
  <c r="BE65" i="23" s="1"/>
  <c r="S74" i="23"/>
  <c r="U74" i="23" s="1"/>
  <c r="AN74" i="23"/>
  <c r="BE74" i="23" s="1"/>
  <c r="S54" i="23"/>
  <c r="U54" i="23" s="1"/>
  <c r="AN54" i="23"/>
  <c r="BE54" i="23" s="1"/>
  <c r="S104" i="23"/>
  <c r="AN104" i="23"/>
  <c r="S30" i="23"/>
  <c r="U30" i="23" s="1"/>
  <c r="AN30" i="23"/>
  <c r="BE30" i="23" s="1"/>
  <c r="S55" i="23"/>
  <c r="U55" i="23" s="1"/>
  <c r="AN55" i="23"/>
  <c r="BE55" i="23" s="1"/>
  <c r="S14" i="23"/>
  <c r="U14" i="23" s="1"/>
  <c r="AN14" i="23"/>
  <c r="BE14" i="23" s="1"/>
  <c r="S49" i="23"/>
  <c r="U49" i="23" s="1"/>
  <c r="AN49" i="23"/>
  <c r="BE49" i="23" s="1"/>
  <c r="S13" i="23"/>
  <c r="U13" i="23" s="1"/>
  <c r="AN13" i="23"/>
  <c r="BE13" i="23" s="1"/>
  <c r="S21" i="23"/>
  <c r="U21" i="23" s="1"/>
  <c r="AN21" i="23"/>
  <c r="BE21" i="23" s="1"/>
  <c r="S31" i="23"/>
  <c r="U31" i="23" s="1"/>
  <c r="AN31" i="23"/>
  <c r="BE31" i="23" s="1"/>
  <c r="S68" i="23"/>
  <c r="U68" i="23" s="1"/>
  <c r="AN68" i="23"/>
  <c r="S109" i="23"/>
  <c r="U109" i="23" s="1"/>
  <c r="AN109" i="23"/>
  <c r="BE109" i="23" s="1"/>
  <c r="S11" i="23"/>
  <c r="U11" i="23" s="1"/>
  <c r="AN11" i="23"/>
  <c r="BE11" i="23" s="1"/>
  <c r="S73" i="23"/>
  <c r="U73" i="23" s="1"/>
  <c r="AN73" i="23"/>
  <c r="BE73" i="23" s="1"/>
  <c r="S22" i="23"/>
  <c r="U22" i="23" s="1"/>
  <c r="AN22" i="23"/>
  <c r="BE22" i="23" s="1"/>
  <c r="S66" i="23"/>
  <c r="U66" i="23" s="1"/>
  <c r="AN66" i="23"/>
  <c r="BE66" i="23" s="1"/>
  <c r="S27" i="23"/>
  <c r="U27" i="23" s="1"/>
  <c r="AN27" i="23"/>
  <c r="BE27" i="23" s="1"/>
  <c r="S44" i="23"/>
  <c r="U44" i="23" s="1"/>
  <c r="AN44" i="23"/>
  <c r="BE44" i="23" s="1"/>
  <c r="S33" i="23"/>
  <c r="U33" i="23" s="1"/>
  <c r="AN33" i="23"/>
  <c r="BE33" i="23" s="1"/>
  <c r="S32" i="23"/>
  <c r="U32" i="23" s="1"/>
  <c r="AN32" i="23"/>
  <c r="BE32" i="23" s="1"/>
  <c r="S108" i="23"/>
  <c r="U108" i="23" s="1"/>
  <c r="AN108" i="23"/>
  <c r="BE108" i="23" s="1"/>
  <c r="S23" i="23"/>
  <c r="U23" i="23" s="1"/>
  <c r="AN23" i="23"/>
  <c r="BE23" i="23" s="1"/>
  <c r="S81" i="23"/>
  <c r="U81" i="23" s="1"/>
  <c r="AN81" i="23"/>
  <c r="BE81" i="23" s="1"/>
  <c r="N4" i="25"/>
  <c r="P628" i="25"/>
  <c r="F5" i="25"/>
  <c r="O628" i="25"/>
  <c r="P626" i="25"/>
  <c r="O626" i="25"/>
  <c r="P623" i="25"/>
  <c r="O623" i="25"/>
  <c r="Q3" i="25"/>
  <c r="F4" i="25"/>
  <c r="J61" i="1"/>
  <c r="K4" i="25"/>
  <c r="F75" i="1"/>
  <c r="C7" i="25"/>
  <c r="BE49" i="21"/>
  <c r="S49" i="21"/>
  <c r="BE18" i="21"/>
  <c r="S18" i="21"/>
  <c r="BE80" i="21"/>
  <c r="S80" i="21"/>
  <c r="BE17" i="21"/>
  <c r="S17" i="21"/>
  <c r="BE43" i="21"/>
  <c r="S43" i="21"/>
  <c r="BE38" i="21"/>
  <c r="S38" i="21"/>
  <c r="BE37" i="21"/>
  <c r="S37" i="21"/>
  <c r="BE26" i="21"/>
  <c r="S26" i="21"/>
  <c r="BE22" i="21"/>
  <c r="S22" i="21"/>
  <c r="BE46" i="21"/>
  <c r="S46" i="21"/>
  <c r="BE108" i="21"/>
  <c r="S108" i="21"/>
  <c r="BE31" i="21"/>
  <c r="S31" i="21"/>
  <c r="BE82" i="21"/>
  <c r="S82" i="21"/>
  <c r="BE16" i="21"/>
  <c r="S16" i="21"/>
  <c r="BE76" i="21"/>
  <c r="S76" i="21"/>
  <c r="BE75" i="21"/>
  <c r="S75" i="21"/>
  <c r="BE47" i="21"/>
  <c r="S47" i="21"/>
  <c r="U47" i="21" s="1"/>
  <c r="BE77" i="21"/>
  <c r="S77" i="21"/>
  <c r="BE39" i="21"/>
  <c r="S39" i="21"/>
  <c r="BE109" i="21"/>
  <c r="S109" i="21"/>
  <c r="U109" i="21" s="1"/>
  <c r="BE103" i="21"/>
  <c r="S103" i="21"/>
  <c r="BE14" i="21"/>
  <c r="S14" i="21"/>
  <c r="BE105" i="21"/>
  <c r="S105" i="21"/>
  <c r="U105" i="21" s="1"/>
  <c r="BE102" i="21"/>
  <c r="S102" i="21"/>
  <c r="U62" i="23"/>
  <c r="BA62" i="23" s="1"/>
  <c r="AK30" i="23"/>
  <c r="BD30" i="23" s="1"/>
  <c r="AX30" i="23" s="1"/>
  <c r="AK91" i="23"/>
  <c r="BD91" i="23" s="1"/>
  <c r="AX91" i="23" s="1"/>
  <c r="AK56" i="23"/>
  <c r="BD56" i="23" s="1"/>
  <c r="AX56" i="23" s="1"/>
  <c r="AK65" i="23"/>
  <c r="BD65" i="23" s="1"/>
  <c r="AX65" i="23" s="1"/>
  <c r="AK108" i="23"/>
  <c r="BD108" i="23" s="1"/>
  <c r="AX108" i="23" s="1"/>
  <c r="U61" i="23"/>
  <c r="BA61" i="23" s="1"/>
  <c r="AK87" i="23"/>
  <c r="BD87" i="23" s="1"/>
  <c r="AX87" i="23" s="1"/>
  <c r="AK20" i="23"/>
  <c r="BD20" i="23" s="1"/>
  <c r="AX20" i="23" s="1"/>
  <c r="U24" i="23"/>
  <c r="BA24" i="23" s="1"/>
  <c r="AK17" i="23"/>
  <c r="BD17" i="23" s="1"/>
  <c r="AX17" i="23" s="1"/>
  <c r="AK61" i="23"/>
  <c r="BD61" i="23" s="1"/>
  <c r="AX61" i="23" s="1"/>
  <c r="U9" i="23"/>
  <c r="BA9" i="23" s="1"/>
  <c r="AK33" i="23"/>
  <c r="BD33" i="23" s="1"/>
  <c r="AX33" i="23" s="1"/>
  <c r="AK31" i="23"/>
  <c r="BD31" i="23" s="1"/>
  <c r="AX31" i="23" s="1"/>
  <c r="AK93" i="23"/>
  <c r="BD93" i="23" s="1"/>
  <c r="AX93" i="23" s="1"/>
  <c r="D231" i="2"/>
  <c r="AD9" i="23"/>
  <c r="AG9" i="23" s="1"/>
  <c r="AD49" i="23"/>
  <c r="AG49" i="23" s="1"/>
  <c r="AD108" i="23"/>
  <c r="AG108" i="23" s="1"/>
  <c r="AD76" i="23"/>
  <c r="AG76" i="23" s="1"/>
  <c r="AD91" i="23"/>
  <c r="AG91" i="23" s="1"/>
  <c r="AD93" i="23"/>
  <c r="AG93" i="23" s="1"/>
  <c r="AD34" i="23"/>
  <c r="AG34" i="23" s="1"/>
  <c r="AD66" i="23"/>
  <c r="AG66" i="23" s="1"/>
  <c r="AD89" i="23"/>
  <c r="AG89" i="23" s="1"/>
  <c r="AD100" i="23"/>
  <c r="AG100" i="23" s="1"/>
  <c r="AD29" i="23"/>
  <c r="AG29" i="23" s="1"/>
  <c r="AD83" i="23"/>
  <c r="AG83" i="23" s="1"/>
  <c r="AD30" i="23"/>
  <c r="AG30" i="23" s="1"/>
  <c r="AD90" i="23"/>
  <c r="AG90" i="23" s="1"/>
  <c r="AD65" i="23"/>
  <c r="AG65" i="23" s="1"/>
  <c r="AD45" i="23"/>
  <c r="AG45" i="23" s="1"/>
  <c r="AD92" i="23"/>
  <c r="AG92" i="23" s="1"/>
  <c r="AD50" i="23"/>
  <c r="AG50" i="23" s="1"/>
  <c r="AD41" i="23"/>
  <c r="AG41" i="23" s="1"/>
  <c r="AD109" i="23"/>
  <c r="AG109" i="23" s="1"/>
  <c r="AD98" i="23"/>
  <c r="AG98" i="23" s="1"/>
  <c r="AD87" i="23"/>
  <c r="AG87" i="23" s="1"/>
  <c r="AD14" i="23"/>
  <c r="AG14" i="23" s="1"/>
  <c r="AD105" i="23"/>
  <c r="AG105" i="23" s="1"/>
  <c r="AD38" i="23"/>
  <c r="AG38" i="23" s="1"/>
  <c r="AD54" i="23"/>
  <c r="AG54" i="23" s="1"/>
  <c r="AD53" i="23"/>
  <c r="AG53" i="23" s="1"/>
  <c r="AD11" i="23"/>
  <c r="AG11" i="23" s="1"/>
  <c r="AD47" i="23"/>
  <c r="AG47" i="23" s="1"/>
  <c r="AD26" i="23"/>
  <c r="AG26" i="23" s="1"/>
  <c r="AD25" i="23"/>
  <c r="AG25" i="23" s="1"/>
  <c r="AD44" i="23"/>
  <c r="AG44" i="23" s="1"/>
  <c r="AD52" i="23"/>
  <c r="AG52" i="23" s="1"/>
  <c r="AD51" i="23"/>
  <c r="AG51" i="23" s="1"/>
  <c r="AD16" i="23"/>
  <c r="AG16" i="23" s="1"/>
  <c r="AD73" i="23"/>
  <c r="AG73" i="23" s="1"/>
  <c r="AD85" i="23"/>
  <c r="AG85" i="23" s="1"/>
  <c r="AD64" i="23"/>
  <c r="AG64" i="23" s="1"/>
  <c r="AD12" i="23"/>
  <c r="AG12" i="23" s="1"/>
  <c r="AD81" i="23"/>
  <c r="AG81" i="23" s="1"/>
  <c r="AD86" i="23"/>
  <c r="AG86" i="23" s="1"/>
  <c r="AD19" i="23"/>
  <c r="AG19" i="23" s="1"/>
  <c r="AD78" i="23"/>
  <c r="AG78" i="23" s="1"/>
  <c r="AD70" i="23"/>
  <c r="AG70" i="23" s="1"/>
  <c r="AD97" i="23"/>
  <c r="AG97" i="23" s="1"/>
  <c r="AD21" i="23"/>
  <c r="AG21" i="23" s="1"/>
  <c r="AD56" i="23"/>
  <c r="AG56" i="23" s="1"/>
  <c r="AD39" i="23"/>
  <c r="AG39" i="23" s="1"/>
  <c r="AD84" i="23"/>
  <c r="AG84" i="23" s="1"/>
  <c r="AD106" i="23"/>
  <c r="AG106" i="23" s="1"/>
  <c r="AD33" i="23"/>
  <c r="AG33" i="23" s="1"/>
  <c r="AD96" i="23"/>
  <c r="AG96" i="23" s="1"/>
  <c r="AD63" i="23"/>
  <c r="AD42" i="23"/>
  <c r="AG42" i="23" s="1"/>
  <c r="AD75" i="23"/>
  <c r="AG75" i="23" s="1"/>
  <c r="AD40" i="23"/>
  <c r="AG40" i="23" s="1"/>
  <c r="AD77" i="23"/>
  <c r="AG77" i="23" s="1"/>
  <c r="AD43" i="23"/>
  <c r="AG43" i="23" s="1"/>
  <c r="AD88" i="23"/>
  <c r="AG88" i="23" s="1"/>
  <c r="AD35" i="23"/>
  <c r="AG35" i="23" s="1"/>
  <c r="AD57" i="23"/>
  <c r="AG57" i="23" s="1"/>
  <c r="AD17" i="23"/>
  <c r="AG17" i="23" s="1"/>
  <c r="AD68" i="23"/>
  <c r="AG68" i="23" s="1"/>
  <c r="AD67" i="23"/>
  <c r="AG67" i="23" s="1"/>
  <c r="AD48" i="23"/>
  <c r="AG48" i="23" s="1"/>
  <c r="AD27" i="23"/>
  <c r="AG27" i="23" s="1"/>
  <c r="AD60" i="23"/>
  <c r="AG60" i="23" s="1"/>
  <c r="AD104" i="23"/>
  <c r="AG104" i="23" s="1"/>
  <c r="AD72" i="23"/>
  <c r="AD55" i="23"/>
  <c r="AG55" i="23" s="1"/>
  <c r="AD36" i="23"/>
  <c r="AG36" i="23" s="1"/>
  <c r="AD82" i="23"/>
  <c r="AG82" i="23" s="1"/>
  <c r="AD31" i="23"/>
  <c r="AG31" i="23" s="1"/>
  <c r="AD102" i="23"/>
  <c r="AG102" i="23" s="1"/>
  <c r="AD99" i="23"/>
  <c r="AG99" i="23" s="1"/>
  <c r="AD101" i="23"/>
  <c r="AG101" i="23" s="1"/>
  <c r="AD80" i="23"/>
  <c r="AG80" i="23" s="1"/>
  <c r="AD94" i="23"/>
  <c r="AG94" i="23" s="1"/>
  <c r="AD95" i="23"/>
  <c r="AG95" i="23" s="1"/>
  <c r="AD28" i="23"/>
  <c r="AG28" i="23" s="1"/>
  <c r="AD10" i="23"/>
  <c r="AG10" i="23" s="1"/>
  <c r="AD107" i="23"/>
  <c r="AG107" i="23" s="1"/>
  <c r="AD59" i="23"/>
  <c r="AG59" i="23" s="1"/>
  <c r="AD24" i="23"/>
  <c r="AG24" i="23" s="1"/>
  <c r="AD37" i="23"/>
  <c r="AG37" i="23" s="1"/>
  <c r="AD74" i="23"/>
  <c r="AG74" i="23" s="1"/>
  <c r="AD103" i="23"/>
  <c r="AG103" i="23" s="1"/>
  <c r="AD20" i="23"/>
  <c r="AG20" i="23" s="1"/>
  <c r="AD32" i="23"/>
  <c r="AG32" i="23" s="1"/>
  <c r="AD15" i="23"/>
  <c r="AG15" i="23" s="1"/>
  <c r="AD13" i="23"/>
  <c r="AG13" i="23" s="1"/>
  <c r="AD58" i="23"/>
  <c r="AG58" i="23" s="1"/>
  <c r="AD79" i="23"/>
  <c r="AG79" i="23" s="1"/>
  <c r="AD23" i="23"/>
  <c r="AG23" i="23" s="1"/>
  <c r="AD22" i="23"/>
  <c r="AG22" i="23" s="1"/>
  <c r="AD71" i="23"/>
  <c r="AG71" i="23" s="1"/>
  <c r="AD61" i="23"/>
  <c r="AG61" i="23" s="1"/>
  <c r="AD69" i="23"/>
  <c r="AG69" i="23" s="1"/>
  <c r="AD62" i="23"/>
  <c r="AG62" i="23" s="1"/>
  <c r="AD18" i="23"/>
  <c r="AG18" i="23" s="1"/>
  <c r="AD46" i="23"/>
  <c r="AG46" i="23" s="1"/>
  <c r="W106" i="23"/>
  <c r="X106" i="23" s="1"/>
  <c r="W13" i="23"/>
  <c r="X13" i="23" s="1"/>
  <c r="W86" i="23"/>
  <c r="X86" i="23" s="1"/>
  <c r="W94" i="23"/>
  <c r="X94" i="23" s="1"/>
  <c r="W45" i="23"/>
  <c r="X45" i="23" s="1"/>
  <c r="W68" i="23"/>
  <c r="X68" i="23" s="1"/>
  <c r="W98" i="23"/>
  <c r="X98" i="23" s="1"/>
  <c r="W74" i="23"/>
  <c r="X74" i="23" s="1"/>
  <c r="W33" i="23"/>
  <c r="X33" i="23" s="1"/>
  <c r="W76" i="23"/>
  <c r="X76" i="23" s="1"/>
  <c r="W52" i="23"/>
  <c r="X52" i="23" s="1"/>
  <c r="BE41" i="23"/>
  <c r="W99" i="23"/>
  <c r="X99" i="23" s="1"/>
  <c r="W46" i="23"/>
  <c r="X46" i="23" s="1"/>
  <c r="W37" i="23"/>
  <c r="X37" i="23" s="1"/>
  <c r="W108" i="23"/>
  <c r="X108" i="23" s="1"/>
  <c r="W40" i="23"/>
  <c r="X40" i="23" s="1"/>
  <c r="W38" i="23"/>
  <c r="X38" i="23" s="1"/>
  <c r="W55" i="23"/>
  <c r="X55" i="23" s="1"/>
  <c r="W15" i="23"/>
  <c r="X15" i="23" s="1"/>
  <c r="W81" i="23"/>
  <c r="X81" i="23" s="1"/>
  <c r="W39" i="23"/>
  <c r="X39" i="23" s="1"/>
  <c r="W22" i="23"/>
  <c r="X22" i="23" s="1"/>
  <c r="W12" i="23"/>
  <c r="X12" i="23" s="1"/>
  <c r="W63" i="23"/>
  <c r="X63" i="23" s="1"/>
  <c r="W21" i="23"/>
  <c r="X21" i="23" s="1"/>
  <c r="W66" i="23"/>
  <c r="X66" i="23" s="1"/>
  <c r="W27" i="23"/>
  <c r="X27" i="23" s="1"/>
  <c r="W95" i="23"/>
  <c r="X95" i="23" s="1"/>
  <c r="W85" i="23"/>
  <c r="X85" i="23" s="1"/>
  <c r="W31" i="23"/>
  <c r="X31" i="23" s="1"/>
  <c r="W65" i="23"/>
  <c r="X65" i="23" s="1"/>
  <c r="W96" i="23"/>
  <c r="X96" i="23" s="1"/>
  <c r="W90" i="23"/>
  <c r="X90" i="23" s="1"/>
  <c r="W51" i="23"/>
  <c r="X51" i="23" s="1"/>
  <c r="W109" i="23"/>
  <c r="X109" i="23" s="1"/>
  <c r="W104" i="23"/>
  <c r="X104" i="23" s="1"/>
  <c r="W30" i="23"/>
  <c r="X30" i="23" s="1"/>
  <c r="W35" i="23"/>
  <c r="X35" i="23" s="1"/>
  <c r="U48" i="23"/>
  <c r="W16" i="23"/>
  <c r="X16" i="23" s="1"/>
  <c r="W67" i="23"/>
  <c r="X67" i="23" s="1"/>
  <c r="W25" i="23"/>
  <c r="X25" i="23" s="1"/>
  <c r="W50" i="23"/>
  <c r="X50" i="23" s="1"/>
  <c r="W44" i="23"/>
  <c r="X44" i="23" s="1"/>
  <c r="BE68" i="23"/>
  <c r="W42" i="23"/>
  <c r="X42" i="23" s="1"/>
  <c r="W41" i="23"/>
  <c r="X41" i="23" s="1"/>
  <c r="W54" i="23"/>
  <c r="X54" i="23" s="1"/>
  <c r="U56" i="23"/>
  <c r="W58" i="23"/>
  <c r="X58" i="23" s="1"/>
  <c r="W14" i="23"/>
  <c r="X14" i="23" s="1"/>
  <c r="W69" i="23"/>
  <c r="X69" i="23" s="1"/>
  <c r="W19" i="23"/>
  <c r="X19" i="23" s="1"/>
  <c r="W49" i="23"/>
  <c r="X49" i="23" s="1"/>
  <c r="U39" i="23"/>
  <c r="W48" i="23"/>
  <c r="X48" i="23" s="1"/>
  <c r="W103" i="23"/>
  <c r="X103" i="23" s="1"/>
  <c r="U98" i="23"/>
  <c r="BE90" i="23"/>
  <c r="U90" i="23"/>
  <c r="W92" i="23"/>
  <c r="X92" i="23" s="1"/>
  <c r="W11" i="23"/>
  <c r="X11" i="23" s="1"/>
  <c r="W78" i="23"/>
  <c r="X78" i="23" s="1"/>
  <c r="W73" i="23"/>
  <c r="X73" i="23" s="1"/>
  <c r="W56" i="23"/>
  <c r="X56" i="23" s="1"/>
  <c r="W32" i="23"/>
  <c r="X32" i="23" s="1"/>
  <c r="BE104" i="23"/>
  <c r="U104" i="23"/>
  <c r="W23" i="23"/>
  <c r="X23" i="23" s="1"/>
  <c r="W53" i="23"/>
  <c r="X53" i="23" s="1"/>
  <c r="BD67" i="23"/>
  <c r="AX67" i="23" s="1"/>
  <c r="BD27" i="23"/>
  <c r="AX27" i="23" s="1"/>
  <c r="BD98" i="23"/>
  <c r="AX98" i="23" s="1"/>
  <c r="BD32" i="23"/>
  <c r="AX32" i="23" s="1"/>
  <c r="BD85" i="23"/>
  <c r="AX85" i="23" s="1"/>
  <c r="BD103" i="23"/>
  <c r="AX103" i="23" s="1"/>
  <c r="BD78" i="23"/>
  <c r="AX78" i="23" s="1"/>
  <c r="BD86" i="23"/>
  <c r="AX86" i="23" s="1"/>
  <c r="BD12" i="23"/>
  <c r="AX12" i="23" s="1"/>
  <c r="BD106" i="23"/>
  <c r="AX106" i="23" s="1"/>
  <c r="BD51" i="23"/>
  <c r="AX51" i="23" s="1"/>
  <c r="BD54" i="23"/>
  <c r="AX54" i="23" s="1"/>
  <c r="BA89" i="23"/>
  <c r="BA97" i="23"/>
  <c r="BA75" i="23"/>
  <c r="BA80" i="23"/>
  <c r="BA36" i="23"/>
  <c r="BD92" i="23"/>
  <c r="AX92" i="23" s="1"/>
  <c r="BD76" i="23"/>
  <c r="AX76" i="23" s="1"/>
  <c r="BA72" i="23"/>
  <c r="BD53" i="23"/>
  <c r="AX53" i="23" s="1"/>
  <c r="BA105" i="23"/>
  <c r="BA91" i="23"/>
  <c r="BA60" i="23"/>
  <c r="BD96" i="23"/>
  <c r="AX96" i="23" s="1"/>
  <c r="BA20" i="23"/>
  <c r="BD74" i="23"/>
  <c r="AX74" i="23" s="1"/>
  <c r="BA70" i="23"/>
  <c r="BD109" i="23"/>
  <c r="AX109" i="23" s="1"/>
  <c r="BA34" i="23"/>
  <c r="BA102" i="23"/>
  <c r="BA79" i="23"/>
  <c r="BA107" i="23"/>
  <c r="BA77" i="23"/>
  <c r="BD15" i="23"/>
  <c r="AX15" i="23" s="1"/>
  <c r="BA10" i="23"/>
  <c r="BA71" i="23"/>
  <c r="BD42" i="23"/>
  <c r="AX42" i="23" s="1"/>
  <c r="BA29" i="23"/>
  <c r="BA47" i="23"/>
  <c r="BA17" i="23"/>
  <c r="BA18" i="23"/>
  <c r="BD37" i="23"/>
  <c r="AX37" i="23" s="1"/>
  <c r="BA43" i="23"/>
  <c r="BA88" i="23"/>
  <c r="BA82" i="23"/>
  <c r="BA83" i="23"/>
  <c r="BA28" i="23"/>
  <c r="BA26" i="23"/>
  <c r="BA101" i="23"/>
  <c r="BD69" i="23"/>
  <c r="AX69" i="23" s="1"/>
  <c r="BD35" i="23"/>
  <c r="AX35" i="23" s="1"/>
  <c r="BA84" i="23"/>
  <c r="BA59" i="23"/>
  <c r="BA93" i="23"/>
  <c r="BA64" i="23"/>
  <c r="BD73" i="23"/>
  <c r="AX73" i="23" s="1"/>
  <c r="BA57" i="23"/>
  <c r="BA100" i="23"/>
  <c r="BD46" i="23"/>
  <c r="AX46" i="23" s="1"/>
  <c r="BA87" i="23"/>
  <c r="BD40" i="23"/>
  <c r="AX40" i="23" s="1"/>
  <c r="BD14" i="23"/>
  <c r="AX14" i="23" s="1"/>
  <c r="BD19" i="23"/>
  <c r="AX19" i="23" s="1"/>
  <c r="BD49" i="23"/>
  <c r="AX49" i="23" s="1"/>
  <c r="BD81" i="23"/>
  <c r="AX81" i="23" s="1"/>
  <c r="B89" i="2"/>
  <c r="B92" i="2" s="1"/>
  <c r="B106" i="2"/>
  <c r="B88" i="2"/>
  <c r="B63" i="2"/>
  <c r="E30" i="1"/>
  <c r="AC77" i="21"/>
  <c r="AG77" i="21" s="1"/>
  <c r="AC11" i="21"/>
  <c r="AG11" i="21" s="1"/>
  <c r="AC86" i="21"/>
  <c r="AG86" i="21" s="1"/>
  <c r="AI56" i="21"/>
  <c r="Z81" i="21"/>
  <c r="AA81" i="21" s="1"/>
  <c r="U90" i="21"/>
  <c r="AC21" i="21"/>
  <c r="AG21" i="21" s="1"/>
  <c r="Z85" i="21"/>
  <c r="AA85" i="21" s="1"/>
  <c r="B155" i="2"/>
  <c r="E47" i="1" s="1"/>
  <c r="W69" i="21"/>
  <c r="X69" i="21" s="1"/>
  <c r="AI35" i="21"/>
  <c r="AI81" i="21"/>
  <c r="AI68" i="21"/>
  <c r="AK68" i="21" s="1"/>
  <c r="BD68" i="21" s="1"/>
  <c r="AX68" i="21" s="1"/>
  <c r="AI76" i="21"/>
  <c r="AI98" i="21"/>
  <c r="AK98" i="21" s="1"/>
  <c r="BD98" i="21" s="1"/>
  <c r="AX98" i="21" s="1"/>
  <c r="AI101" i="21"/>
  <c r="AI90" i="21"/>
  <c r="AI106" i="21"/>
  <c r="AI45" i="21"/>
  <c r="AC58" i="21"/>
  <c r="AG58" i="21" s="1"/>
  <c r="AC22" i="21"/>
  <c r="AG22" i="21" s="1"/>
  <c r="AC76" i="21"/>
  <c r="AG76" i="21" s="1"/>
  <c r="Z69" i="21"/>
  <c r="AA69" i="21" s="1"/>
  <c r="U58" i="21"/>
  <c r="W75" i="21"/>
  <c r="X75" i="21" s="1"/>
  <c r="AI93" i="21"/>
  <c r="AI55" i="21"/>
  <c r="AI43" i="21"/>
  <c r="AI53" i="21"/>
  <c r="AK53" i="21" s="1"/>
  <c r="BD53" i="21" s="1"/>
  <c r="AX53" i="21" s="1"/>
  <c r="AI102" i="21"/>
  <c r="AK102" i="21" s="1"/>
  <c r="BD102" i="21" s="1"/>
  <c r="AX102" i="21" s="1"/>
  <c r="U84" i="21"/>
  <c r="AC66" i="21"/>
  <c r="AG66" i="21" s="1"/>
  <c r="AC53" i="21"/>
  <c r="AG53" i="21" s="1"/>
  <c r="U94" i="21"/>
  <c r="AC70" i="21"/>
  <c r="AG70" i="21" s="1"/>
  <c r="U66" i="21"/>
  <c r="AI83" i="21"/>
  <c r="AI97" i="21"/>
  <c r="AI105" i="21"/>
  <c r="AI89" i="21"/>
  <c r="AI66" i="21"/>
  <c r="AK66" i="21" s="1"/>
  <c r="BD66" i="21" s="1"/>
  <c r="AX66" i="21" s="1"/>
  <c r="AC9" i="21"/>
  <c r="AG9" i="21" s="1"/>
  <c r="AC44" i="21"/>
  <c r="AG44" i="21" s="1"/>
  <c r="AI44" i="21"/>
  <c r="AK44" i="21" s="1"/>
  <c r="BD44" i="21" s="1"/>
  <c r="AX44" i="21" s="1"/>
  <c r="AI84" i="21"/>
  <c r="AK84" i="21" s="1"/>
  <c r="BD84" i="21" s="1"/>
  <c r="AX84" i="21" s="1"/>
  <c r="AI63" i="21"/>
  <c r="AC30" i="21"/>
  <c r="AG30" i="21" s="1"/>
  <c r="AI109" i="21"/>
  <c r="AC74" i="21"/>
  <c r="AG74" i="21" s="1"/>
  <c r="U70" i="21"/>
  <c r="W89" i="21"/>
  <c r="X89" i="21" s="1"/>
  <c r="AI57" i="21"/>
  <c r="AK57" i="21" s="1"/>
  <c r="BD57" i="21" s="1"/>
  <c r="AX57" i="21" s="1"/>
  <c r="AI58" i="21"/>
  <c r="AK58" i="21" s="1"/>
  <c r="BD58" i="21" s="1"/>
  <c r="AX58" i="21" s="1"/>
  <c r="AI42" i="21"/>
  <c r="Z89" i="21"/>
  <c r="AA89" i="21" s="1"/>
  <c r="AI82" i="21"/>
  <c r="AC55" i="21"/>
  <c r="AG55" i="21" s="1"/>
  <c r="AI62" i="21"/>
  <c r="AC24" i="21"/>
  <c r="AG24" i="21" s="1"/>
  <c r="AI94" i="21"/>
  <c r="AK94" i="21" s="1"/>
  <c r="BD94" i="21" s="1"/>
  <c r="AX94" i="21" s="1"/>
  <c r="AI70" i="21"/>
  <c r="AK70" i="21" s="1"/>
  <c r="BD70" i="21" s="1"/>
  <c r="AX70" i="21" s="1"/>
  <c r="AC36" i="21"/>
  <c r="AG36" i="21" s="1"/>
  <c r="AI47" i="21"/>
  <c r="AI72" i="21"/>
  <c r="AK72" i="21" s="1"/>
  <c r="BD72" i="21" s="1"/>
  <c r="AX72" i="21" s="1"/>
  <c r="AC67" i="21"/>
  <c r="AG67" i="21" s="1"/>
  <c r="AI74" i="21"/>
  <c r="AK74" i="21" s="1"/>
  <c r="BD74" i="21" s="1"/>
  <c r="AX74" i="21" s="1"/>
  <c r="AC47" i="21"/>
  <c r="AG47" i="21" s="1"/>
  <c r="U67" i="21"/>
  <c r="Z48" i="21"/>
  <c r="AA48" i="21" s="1"/>
  <c r="Z21" i="21"/>
  <c r="AA21" i="21" s="1"/>
  <c r="Z9" i="21"/>
  <c r="AA9" i="21" s="1"/>
  <c r="Z96" i="21"/>
  <c r="AA96" i="21" s="1"/>
  <c r="Z104" i="21"/>
  <c r="AA104" i="21" s="1"/>
  <c r="Z73" i="21"/>
  <c r="AA73" i="21" s="1"/>
  <c r="Z84" i="21"/>
  <c r="AA84" i="21" s="1"/>
  <c r="Z27" i="21"/>
  <c r="AA27" i="21" s="1"/>
  <c r="Z28" i="21"/>
  <c r="AA28" i="21" s="1"/>
  <c r="Z78" i="21"/>
  <c r="AA78" i="21" s="1"/>
  <c r="W85" i="21"/>
  <c r="X85" i="21" s="1"/>
  <c r="Z33" i="21"/>
  <c r="AA33" i="21" s="1"/>
  <c r="Z10" i="21"/>
  <c r="AA10" i="21" s="1"/>
  <c r="Z92" i="21"/>
  <c r="AA92" i="21" s="1"/>
  <c r="Z100" i="21"/>
  <c r="AA100" i="21" s="1"/>
  <c r="Z108" i="21"/>
  <c r="AA108" i="21" s="1"/>
  <c r="Z87" i="21"/>
  <c r="AA87" i="21" s="1"/>
  <c r="W81" i="21"/>
  <c r="X81" i="21" s="1"/>
  <c r="AC62" i="21"/>
  <c r="AG62" i="21" s="1"/>
  <c r="Z24" i="21"/>
  <c r="AA24" i="21" s="1"/>
  <c r="Z14" i="21"/>
  <c r="AA14" i="21" s="1"/>
  <c r="AC14" i="21"/>
  <c r="AG14" i="21" s="1"/>
  <c r="Z49" i="21"/>
  <c r="AA49" i="21" s="1"/>
  <c r="Z47" i="21"/>
  <c r="AA47" i="21" s="1"/>
  <c r="Z75" i="21"/>
  <c r="AA75" i="21" s="1"/>
  <c r="W83" i="21"/>
  <c r="X83" i="21" s="1"/>
  <c r="Z83" i="21"/>
  <c r="AA83" i="21" s="1"/>
  <c r="W93" i="21"/>
  <c r="X93" i="21" s="1"/>
  <c r="Z93" i="21"/>
  <c r="AA93" i="21" s="1"/>
  <c r="W97" i="21"/>
  <c r="X97" i="21" s="1"/>
  <c r="Z97" i="21"/>
  <c r="AA97" i="21" s="1"/>
  <c r="W101" i="21"/>
  <c r="X101" i="21" s="1"/>
  <c r="Z101" i="21"/>
  <c r="AA101" i="21" s="1"/>
  <c r="W105" i="21"/>
  <c r="X105" i="21" s="1"/>
  <c r="Z105" i="21"/>
  <c r="AA105" i="21" s="1"/>
  <c r="W109" i="21"/>
  <c r="X109" i="21" s="1"/>
  <c r="Z109" i="21"/>
  <c r="AA109" i="21" s="1"/>
  <c r="U55" i="21"/>
  <c r="AC63" i="21"/>
  <c r="AG63" i="21" s="1"/>
  <c r="U30" i="21"/>
  <c r="U15" i="21"/>
  <c r="AC15" i="21"/>
  <c r="AG15" i="21" s="1"/>
  <c r="U106" i="21"/>
  <c r="Z66" i="21"/>
  <c r="AA66" i="21" s="1"/>
  <c r="Z62" i="21"/>
  <c r="AA62" i="21" s="1"/>
  <c r="Z53" i="21"/>
  <c r="AA53" i="21" s="1"/>
  <c r="Z44" i="21"/>
  <c r="AA44" i="21" s="1"/>
  <c r="Z76" i="21"/>
  <c r="AA76" i="21" s="1"/>
  <c r="W90" i="21"/>
  <c r="X90" i="21" s="1"/>
  <c r="W82" i="21"/>
  <c r="X82" i="21" s="1"/>
  <c r="W40" i="21"/>
  <c r="X40" i="21" s="1"/>
  <c r="W57" i="21"/>
  <c r="X57" i="21" s="1"/>
  <c r="W43" i="21"/>
  <c r="X43" i="21" s="1"/>
  <c r="W26" i="21"/>
  <c r="X26" i="21" s="1"/>
  <c r="AI26" i="21"/>
  <c r="W79" i="21"/>
  <c r="X79" i="21" s="1"/>
  <c r="W67" i="21"/>
  <c r="X67" i="21" s="1"/>
  <c r="W63" i="21"/>
  <c r="X63" i="21" s="1"/>
  <c r="W58" i="21"/>
  <c r="X58" i="21" s="1"/>
  <c r="W30" i="21"/>
  <c r="X30" i="21" s="1"/>
  <c r="AI30" i="21"/>
  <c r="W52" i="21"/>
  <c r="X52" i="21" s="1"/>
  <c r="W37" i="21"/>
  <c r="X37" i="21" s="1"/>
  <c r="W23" i="21"/>
  <c r="X23" i="21" s="1"/>
  <c r="AI23" i="21"/>
  <c r="W15" i="21"/>
  <c r="X15" i="21" s="1"/>
  <c r="AI15" i="21"/>
  <c r="W11" i="21"/>
  <c r="X11" i="21" s="1"/>
  <c r="AI11" i="21"/>
  <c r="W17" i="21"/>
  <c r="X17" i="21" s="1"/>
  <c r="AI17" i="21"/>
  <c r="W42" i="21"/>
  <c r="X42" i="21" s="1"/>
  <c r="W91" i="21"/>
  <c r="X91" i="21" s="1"/>
  <c r="W95" i="21"/>
  <c r="X95" i="21" s="1"/>
  <c r="W99" i="21"/>
  <c r="X99" i="21" s="1"/>
  <c r="W103" i="21"/>
  <c r="X103" i="21" s="1"/>
  <c r="W107" i="21"/>
  <c r="X107" i="21" s="1"/>
  <c r="W71" i="21"/>
  <c r="X71" i="21" s="1"/>
  <c r="W86" i="21"/>
  <c r="X86" i="21" s="1"/>
  <c r="W55" i="21"/>
  <c r="X55" i="21" s="1"/>
  <c r="W35" i="21"/>
  <c r="X35" i="21" s="1"/>
  <c r="W50" i="21"/>
  <c r="X50" i="21" s="1"/>
  <c r="W34" i="21"/>
  <c r="X34" i="21" s="1"/>
  <c r="AI34" i="21"/>
  <c r="W64" i="21"/>
  <c r="X64" i="21" s="1"/>
  <c r="W60" i="21"/>
  <c r="X60" i="21" s="1"/>
  <c r="W31" i="21"/>
  <c r="X31" i="21" s="1"/>
  <c r="AI31" i="21"/>
  <c r="W56" i="21"/>
  <c r="X56" i="21" s="1"/>
  <c r="W41" i="21"/>
  <c r="X41" i="21" s="1"/>
  <c r="W25" i="21"/>
  <c r="X25" i="21" s="1"/>
  <c r="AI25" i="21"/>
  <c r="W16" i="21"/>
  <c r="X16" i="21" s="1"/>
  <c r="AI16" i="21"/>
  <c r="W12" i="21"/>
  <c r="X12" i="21" s="1"/>
  <c r="AI12" i="21"/>
  <c r="W18" i="21"/>
  <c r="X18" i="21" s="1"/>
  <c r="AI18" i="21"/>
  <c r="W32" i="21"/>
  <c r="X32" i="21" s="1"/>
  <c r="AI32" i="21"/>
  <c r="W51" i="21"/>
  <c r="X51" i="21" s="1"/>
  <c r="W94" i="21"/>
  <c r="X94" i="21" s="1"/>
  <c r="W98" i="21"/>
  <c r="X98" i="21" s="1"/>
  <c r="W102" i="21"/>
  <c r="X102" i="21" s="1"/>
  <c r="W106" i="21"/>
  <c r="X106" i="21" s="1"/>
  <c r="W70" i="21"/>
  <c r="X70" i="21" s="1"/>
  <c r="W88" i="21"/>
  <c r="X88" i="21" s="1"/>
  <c r="W80" i="21"/>
  <c r="X80" i="21" s="1"/>
  <c r="W36" i="21"/>
  <c r="X36" i="21" s="1"/>
  <c r="W54" i="21"/>
  <c r="X54" i="21" s="1"/>
  <c r="W39" i="21"/>
  <c r="X39" i="21" s="1"/>
  <c r="W22" i="21"/>
  <c r="X22" i="21" s="1"/>
  <c r="AI22" i="21"/>
  <c r="W72" i="21"/>
  <c r="X72" i="21" s="1"/>
  <c r="W65" i="21"/>
  <c r="X65" i="21" s="1"/>
  <c r="W61" i="21"/>
  <c r="X61" i="21" s="1"/>
  <c r="W38" i="21"/>
  <c r="X38" i="21" s="1"/>
  <c r="W68" i="21"/>
  <c r="X68" i="21" s="1"/>
  <c r="W45" i="21"/>
  <c r="X45" i="21" s="1"/>
  <c r="W29" i="21"/>
  <c r="X29" i="21" s="1"/>
  <c r="AI29" i="21"/>
  <c r="W19" i="21"/>
  <c r="X19" i="21" s="1"/>
  <c r="AI19" i="21"/>
  <c r="W13" i="21"/>
  <c r="X13" i="21" s="1"/>
  <c r="AI13" i="21"/>
  <c r="W20" i="21"/>
  <c r="X20" i="21" s="1"/>
  <c r="AI20" i="21"/>
  <c r="W59" i="21"/>
  <c r="X59" i="21" s="1"/>
  <c r="W46" i="21"/>
  <c r="X46" i="21" s="1"/>
  <c r="Z91" i="21"/>
  <c r="AA91" i="21" s="1"/>
  <c r="Z99" i="21"/>
  <c r="AA99" i="21" s="1"/>
  <c r="Z107" i="21"/>
  <c r="AA107" i="21" s="1"/>
  <c r="W74" i="21"/>
  <c r="X74" i="21" s="1"/>
  <c r="Z90" i="21"/>
  <c r="AA90" i="21" s="1"/>
  <c r="Z82" i="21"/>
  <c r="AA82" i="21" s="1"/>
  <c r="Z40" i="21"/>
  <c r="AA40" i="21" s="1"/>
  <c r="Z57" i="21"/>
  <c r="AA57" i="21" s="1"/>
  <c r="Z43" i="21"/>
  <c r="AA43" i="21" s="1"/>
  <c r="Z26" i="21"/>
  <c r="AA26" i="21" s="1"/>
  <c r="W66" i="21"/>
  <c r="X66" i="21" s="1"/>
  <c r="W62" i="21"/>
  <c r="X62" i="21" s="1"/>
  <c r="W53" i="21"/>
  <c r="X53" i="21" s="1"/>
  <c r="W24" i="21"/>
  <c r="X24" i="21" s="1"/>
  <c r="AI24" i="21"/>
  <c r="W48" i="21"/>
  <c r="X48" i="21" s="1"/>
  <c r="W33" i="21"/>
  <c r="X33" i="21" s="1"/>
  <c r="AI33" i="21"/>
  <c r="W21" i="21"/>
  <c r="X21" i="21" s="1"/>
  <c r="AI21" i="21"/>
  <c r="W14" i="21"/>
  <c r="X14" i="21" s="1"/>
  <c r="W9" i="21"/>
  <c r="X9" i="21" s="1"/>
  <c r="W10" i="21"/>
  <c r="X10" i="21" s="1"/>
  <c r="AI10" i="21"/>
  <c r="W44" i="21"/>
  <c r="X44" i="21" s="1"/>
  <c r="W92" i="21"/>
  <c r="X92" i="21" s="1"/>
  <c r="W96" i="21"/>
  <c r="X96" i="21" s="1"/>
  <c r="W100" i="21"/>
  <c r="X100" i="21" s="1"/>
  <c r="W104" i="21"/>
  <c r="X104" i="21" s="1"/>
  <c r="W108" i="21"/>
  <c r="X108" i="21" s="1"/>
  <c r="W73" i="21"/>
  <c r="X73" i="21" s="1"/>
  <c r="W84" i="21"/>
  <c r="X84" i="21" s="1"/>
  <c r="W49" i="21"/>
  <c r="X49" i="21" s="1"/>
  <c r="W27" i="21"/>
  <c r="X27" i="21" s="1"/>
  <c r="AI27" i="21"/>
  <c r="W47" i="21"/>
  <c r="X47" i="21" s="1"/>
  <c r="W28" i="21"/>
  <c r="X28" i="21" s="1"/>
  <c r="AI28" i="21"/>
  <c r="W87" i="21"/>
  <c r="X87" i="21" s="1"/>
  <c r="W77" i="21"/>
  <c r="X77" i="21" s="1"/>
  <c r="Z67" i="21"/>
  <c r="AA67" i="21" s="1"/>
  <c r="Z63" i="21"/>
  <c r="AA63" i="21" s="1"/>
  <c r="Z58" i="21"/>
  <c r="AA58" i="21" s="1"/>
  <c r="Z30" i="21"/>
  <c r="AA30" i="21" s="1"/>
  <c r="Z52" i="21"/>
  <c r="AA52" i="21" s="1"/>
  <c r="Z37" i="21"/>
  <c r="AA37" i="21" s="1"/>
  <c r="Z23" i="21"/>
  <c r="AA23" i="21" s="1"/>
  <c r="Z15" i="21"/>
  <c r="AA15" i="21" s="1"/>
  <c r="Z11" i="21"/>
  <c r="AA11" i="21" s="1"/>
  <c r="Z17" i="21"/>
  <c r="AA17" i="21" s="1"/>
  <c r="Z42" i="21"/>
  <c r="AA42" i="21" s="1"/>
  <c r="W78" i="21"/>
  <c r="X78" i="21" s="1"/>
  <c r="Z86" i="21"/>
  <c r="AA86" i="21" s="1"/>
  <c r="Z55" i="21"/>
  <c r="AA55" i="21" s="1"/>
  <c r="Z35" i="21"/>
  <c r="AA35" i="21" s="1"/>
  <c r="Z50" i="21"/>
  <c r="AA50" i="21" s="1"/>
  <c r="Z34" i="21"/>
  <c r="AA34" i="21" s="1"/>
  <c r="Z64" i="21"/>
  <c r="AA64" i="21" s="1"/>
  <c r="Z60" i="21"/>
  <c r="AA60" i="21" s="1"/>
  <c r="Z31" i="21"/>
  <c r="AA31" i="21" s="1"/>
  <c r="Z56" i="21"/>
  <c r="AA56" i="21" s="1"/>
  <c r="Z41" i="21"/>
  <c r="AA41" i="21" s="1"/>
  <c r="Z25" i="21"/>
  <c r="AA25" i="21" s="1"/>
  <c r="Z16" i="21"/>
  <c r="AA16" i="21" s="1"/>
  <c r="Z12" i="21"/>
  <c r="AA12" i="21" s="1"/>
  <c r="Z18" i="21"/>
  <c r="AA18" i="21" s="1"/>
  <c r="Z32" i="21"/>
  <c r="AA32" i="21" s="1"/>
  <c r="Z51" i="21"/>
  <c r="AA51" i="21" s="1"/>
  <c r="Z94" i="21"/>
  <c r="AA94" i="21" s="1"/>
  <c r="Z98" i="21"/>
  <c r="AA98" i="21" s="1"/>
  <c r="Z102" i="21"/>
  <c r="AA102" i="21" s="1"/>
  <c r="Z106" i="21"/>
  <c r="AA106" i="21" s="1"/>
  <c r="Z70" i="21"/>
  <c r="AA70" i="21" s="1"/>
  <c r="W76" i="21"/>
  <c r="X76" i="21" s="1"/>
  <c r="Z79" i="21"/>
  <c r="AA79" i="21" s="1"/>
  <c r="Z88" i="21"/>
  <c r="AA88" i="21" s="1"/>
  <c r="Z80" i="21"/>
  <c r="AA80" i="21" s="1"/>
  <c r="Z36" i="21"/>
  <c r="AA36" i="21" s="1"/>
  <c r="Z54" i="21"/>
  <c r="AA54" i="21" s="1"/>
  <c r="Z39" i="21"/>
  <c r="AA39" i="21" s="1"/>
  <c r="Z22" i="21"/>
  <c r="AA22" i="21" s="1"/>
  <c r="Z77" i="21"/>
  <c r="AA77" i="21" s="1"/>
  <c r="Z72" i="21"/>
  <c r="AA72" i="21" s="1"/>
  <c r="Z65" i="21"/>
  <c r="AA65" i="21" s="1"/>
  <c r="Z61" i="21"/>
  <c r="AA61" i="21" s="1"/>
  <c r="Z38" i="21"/>
  <c r="AA38" i="21" s="1"/>
  <c r="Z68" i="21"/>
  <c r="AA68" i="21" s="1"/>
  <c r="Z45" i="21"/>
  <c r="AA45" i="21" s="1"/>
  <c r="Z29" i="21"/>
  <c r="AA29" i="21" s="1"/>
  <c r="Z19" i="21"/>
  <c r="AA19" i="21" s="1"/>
  <c r="Z13" i="21"/>
  <c r="AA13" i="21" s="1"/>
  <c r="Z20" i="21"/>
  <c r="AA20" i="21" s="1"/>
  <c r="Z59" i="21"/>
  <c r="AA59" i="21" s="1"/>
  <c r="Z46" i="21"/>
  <c r="AA46" i="21" s="1"/>
  <c r="Z95" i="21"/>
  <c r="AA95" i="21" s="1"/>
  <c r="Z103" i="21"/>
  <c r="AA103" i="21" s="1"/>
  <c r="Z71" i="21"/>
  <c r="AA71" i="21" s="1"/>
  <c r="Z74" i="21"/>
  <c r="AA74" i="21" s="1"/>
  <c r="U81" i="21"/>
  <c r="U101" i="21"/>
  <c r="U74" i="21"/>
  <c r="AC57" i="21"/>
  <c r="AG57" i="21" s="1"/>
  <c r="AC45" i="21"/>
  <c r="AG45" i="21" s="1"/>
  <c r="U57" i="21"/>
  <c r="AI85" i="21"/>
  <c r="AI61" i="21"/>
  <c r="AI46" i="21"/>
  <c r="AI91" i="21"/>
  <c r="AI99" i="21"/>
  <c r="AI107" i="21"/>
  <c r="AC40" i="21"/>
  <c r="AG40" i="21" s="1"/>
  <c r="AC89" i="21"/>
  <c r="AG89" i="21" s="1"/>
  <c r="AC102" i="21"/>
  <c r="AG102" i="21" s="1"/>
  <c r="AC97" i="21"/>
  <c r="AG97" i="21" s="1"/>
  <c r="AC59" i="21"/>
  <c r="AG59" i="21" s="1"/>
  <c r="AC101" i="21"/>
  <c r="AG101" i="21" s="1"/>
  <c r="AC75" i="21"/>
  <c r="AG75" i="21" s="1"/>
  <c r="AI64" i="21"/>
  <c r="AI87" i="21"/>
  <c r="AC43" i="21"/>
  <c r="AG43" i="21" s="1"/>
  <c r="AC56" i="21"/>
  <c r="AG56" i="21" s="1"/>
  <c r="AC82" i="21"/>
  <c r="AG82" i="21" s="1"/>
  <c r="AC94" i="21"/>
  <c r="AG94" i="21" s="1"/>
  <c r="AC72" i="21"/>
  <c r="AG72" i="21" s="1"/>
  <c r="AC90" i="21"/>
  <c r="AG90" i="21" s="1"/>
  <c r="AC106" i="21"/>
  <c r="AG106" i="21" s="1"/>
  <c r="AC83" i="21"/>
  <c r="AG83" i="21" s="1"/>
  <c r="AC105" i="21"/>
  <c r="AG105" i="21" s="1"/>
  <c r="AC81" i="21"/>
  <c r="AG81" i="21" s="1"/>
  <c r="AC98" i="21"/>
  <c r="AG98" i="21" s="1"/>
  <c r="AC84" i="21"/>
  <c r="AG84" i="21" s="1"/>
  <c r="AC68" i="21"/>
  <c r="AG68" i="21" s="1"/>
  <c r="AC93" i="21"/>
  <c r="AG93" i="21" s="1"/>
  <c r="AC109" i="21"/>
  <c r="AG109" i="21" s="1"/>
  <c r="AC85" i="21"/>
  <c r="AG85" i="21" s="1"/>
  <c r="AC31" i="21"/>
  <c r="AG31" i="21" s="1"/>
  <c r="AC48" i="21"/>
  <c r="AG48" i="21" s="1"/>
  <c r="AC33" i="21"/>
  <c r="AG33" i="21" s="1"/>
  <c r="AC16" i="21"/>
  <c r="AG16" i="21" s="1"/>
  <c r="AC12" i="21"/>
  <c r="AG12" i="21" s="1"/>
  <c r="AC92" i="21"/>
  <c r="AG92" i="21" s="1"/>
  <c r="AC100" i="21"/>
  <c r="AG100" i="21" s="1"/>
  <c r="AC108" i="21"/>
  <c r="AG108" i="21" s="1"/>
  <c r="AC88" i="21"/>
  <c r="AG88" i="21" s="1"/>
  <c r="AC54" i="21"/>
  <c r="AG54" i="21" s="1"/>
  <c r="AC87" i="21"/>
  <c r="AG87" i="21" s="1"/>
  <c r="AC52" i="21"/>
  <c r="AG52" i="21" s="1"/>
  <c r="AC23" i="21"/>
  <c r="AG23" i="21" s="1"/>
  <c r="AC19" i="21"/>
  <c r="AG19" i="21" s="1"/>
  <c r="AC13" i="21"/>
  <c r="AG13" i="21" s="1"/>
  <c r="AC91" i="21"/>
  <c r="AG91" i="21" s="1"/>
  <c r="AC99" i="21"/>
  <c r="AG99" i="21" s="1"/>
  <c r="AC107" i="21"/>
  <c r="AG107" i="21" s="1"/>
  <c r="AC26" i="21"/>
  <c r="AG26" i="21" s="1"/>
  <c r="AC69" i="21"/>
  <c r="AG69" i="21" s="1"/>
  <c r="AC60" i="21"/>
  <c r="AG60" i="21" s="1"/>
  <c r="AC51" i="21"/>
  <c r="AG51" i="21" s="1"/>
  <c r="AC73" i="21"/>
  <c r="AG73" i="21" s="1"/>
  <c r="AC49" i="21"/>
  <c r="AG49" i="21" s="1"/>
  <c r="AC28" i="21"/>
  <c r="AG28" i="21" s="1"/>
  <c r="AC65" i="21"/>
  <c r="AG65" i="21" s="1"/>
  <c r="AC29" i="21"/>
  <c r="AG29" i="21" s="1"/>
  <c r="AC71" i="21"/>
  <c r="AG71" i="21" s="1"/>
  <c r="AC38" i="21"/>
  <c r="AG38" i="21" s="1"/>
  <c r="AC37" i="21"/>
  <c r="AG37" i="21" s="1"/>
  <c r="B80" i="21"/>
  <c r="AC50" i="21"/>
  <c r="AG50" i="21" s="1"/>
  <c r="AC34" i="21"/>
  <c r="AG34" i="21" s="1"/>
  <c r="AC10" i="21"/>
  <c r="AG10" i="21" s="1"/>
  <c r="AC32" i="21"/>
  <c r="AG32" i="21" s="1"/>
  <c r="AC96" i="21"/>
  <c r="AG96" i="21" s="1"/>
  <c r="AC104" i="21"/>
  <c r="AG104" i="21" s="1"/>
  <c r="AC80" i="21"/>
  <c r="AG80" i="21" s="1"/>
  <c r="AC27" i="21"/>
  <c r="AG27" i="21" s="1"/>
  <c r="AC17" i="21"/>
  <c r="AG17" i="21" s="1"/>
  <c r="AC95" i="21"/>
  <c r="AG95" i="21" s="1"/>
  <c r="AC103" i="21"/>
  <c r="AG103" i="21" s="1"/>
  <c r="AC64" i="21"/>
  <c r="AG64" i="21" s="1"/>
  <c r="AC41" i="21"/>
  <c r="AG41" i="21" s="1"/>
  <c r="AC25" i="21"/>
  <c r="AG25" i="21" s="1"/>
  <c r="AC18" i="21"/>
  <c r="AG18" i="21" s="1"/>
  <c r="AC79" i="21"/>
  <c r="AG79" i="21" s="1"/>
  <c r="AC61" i="21"/>
  <c r="AG61" i="21" s="1"/>
  <c r="AC20" i="21"/>
  <c r="AG20" i="21" s="1"/>
  <c r="AC46" i="21"/>
  <c r="AG46" i="21" s="1"/>
  <c r="AC78" i="21"/>
  <c r="AG78" i="21" s="1"/>
  <c r="AC35" i="21"/>
  <c r="AG35" i="21" s="1"/>
  <c r="AC39" i="21"/>
  <c r="AG39" i="21" s="1"/>
  <c r="AC42" i="21"/>
  <c r="AG42" i="21" s="1"/>
  <c r="G594" i="17"/>
  <c r="B149" i="2"/>
  <c r="B150" i="2" s="1"/>
  <c r="B144" i="2"/>
  <c r="B145" i="2" s="1"/>
  <c r="H44" i="17"/>
  <c r="H107" i="17"/>
  <c r="H571" i="17"/>
  <c r="H93" i="17"/>
  <c r="H407" i="17"/>
  <c r="H247" i="17"/>
  <c r="H305" i="17"/>
  <c r="G484" i="17"/>
  <c r="G582" i="17"/>
  <c r="G59" i="17"/>
  <c r="H362" i="17"/>
  <c r="G367" i="17"/>
  <c r="G49" i="17"/>
  <c r="H561" i="17"/>
  <c r="H350" i="17"/>
  <c r="H292" i="17"/>
  <c r="G491" i="17"/>
  <c r="G34" i="17"/>
  <c r="H152" i="17"/>
  <c r="H54" i="17"/>
  <c r="H315" i="17"/>
  <c r="H105" i="17"/>
  <c r="G490" i="17"/>
  <c r="H448" i="17"/>
  <c r="G533" i="17"/>
  <c r="H172" i="17"/>
  <c r="G177" i="17"/>
  <c r="H433" i="17"/>
  <c r="G352" i="17"/>
  <c r="G94" i="17"/>
  <c r="G269" i="17"/>
  <c r="H35" i="17"/>
  <c r="G455" i="17"/>
  <c r="H364" i="17"/>
  <c r="G176" i="17"/>
  <c r="H546" i="17"/>
  <c r="G326" i="17"/>
  <c r="H194" i="17"/>
  <c r="H284" i="17"/>
  <c r="G427" i="17"/>
  <c r="H182" i="17"/>
  <c r="G187" i="17"/>
  <c r="H443" i="17"/>
  <c r="G362" i="17"/>
  <c r="G106" i="17"/>
  <c r="G281" i="17"/>
  <c r="H597" i="17"/>
  <c r="G248" i="17"/>
  <c r="H576" i="17"/>
  <c r="G469" i="17"/>
  <c r="G597" i="17"/>
  <c r="H108" i="17"/>
  <c r="H236" i="17"/>
  <c r="G113" i="17"/>
  <c r="G241" i="17"/>
  <c r="H369" i="17"/>
  <c r="H497" i="17"/>
  <c r="G288" i="17"/>
  <c r="G416" i="17"/>
  <c r="H221" i="17"/>
  <c r="G222" i="17"/>
  <c r="H478" i="17"/>
  <c r="G397" i="17"/>
  <c r="G548" i="17"/>
  <c r="G36" i="17"/>
  <c r="H548" i="17"/>
  <c r="G583" i="17"/>
  <c r="G108" i="17"/>
  <c r="G283" i="17"/>
  <c r="H600" i="17"/>
  <c r="H175" i="17"/>
  <c r="G454" i="17"/>
  <c r="H290" i="17"/>
  <c r="H33" i="17"/>
  <c r="H535" i="17"/>
  <c r="G199" i="17"/>
  <c r="H25" i="17"/>
  <c r="G54" i="17"/>
  <c r="G21" i="17"/>
  <c r="H57" i="17"/>
  <c r="H118" i="17"/>
  <c r="H246" i="17"/>
  <c r="G123" i="17"/>
  <c r="G251" i="17"/>
  <c r="H379" i="17"/>
  <c r="H507" i="17"/>
  <c r="G298" i="17"/>
  <c r="G426" i="17"/>
  <c r="H233" i="17"/>
  <c r="G234" i="17"/>
  <c r="H490" i="17"/>
  <c r="G409" i="17"/>
  <c r="G554" i="17"/>
  <c r="H119" i="17"/>
  <c r="G120" i="17"/>
  <c r="H376" i="17"/>
  <c r="H512" i="17"/>
  <c r="G303" i="17"/>
  <c r="G431" i="17"/>
  <c r="G501" i="17"/>
  <c r="G565" i="17"/>
  <c r="H626" i="17"/>
  <c r="H76" i="17"/>
  <c r="H140" i="17"/>
  <c r="H204" i="17"/>
  <c r="G17" i="17"/>
  <c r="G81" i="17"/>
  <c r="G145" i="17"/>
  <c r="G209" i="17"/>
  <c r="H273" i="17"/>
  <c r="H337" i="17"/>
  <c r="H401" i="17"/>
  <c r="H465" i="17"/>
  <c r="H529" i="17"/>
  <c r="H596" i="17"/>
  <c r="G320" i="17"/>
  <c r="G384" i="17"/>
  <c r="H29" i="17"/>
  <c r="H157" i="17"/>
  <c r="G30" i="17"/>
  <c r="G158" i="17"/>
  <c r="H286" i="17"/>
  <c r="H414" i="17"/>
  <c r="H542" i="17"/>
  <c r="G333" i="17"/>
  <c r="G452" i="17"/>
  <c r="G516" i="17"/>
  <c r="G580" i="17"/>
  <c r="H163" i="17"/>
  <c r="G164" i="17"/>
  <c r="H420" i="17"/>
  <c r="G339" i="17"/>
  <c r="G519" i="17"/>
  <c r="G604" i="17"/>
  <c r="H235" i="17"/>
  <c r="G236" i="17"/>
  <c r="H492" i="17"/>
  <c r="G411" i="17"/>
  <c r="G555" i="17"/>
  <c r="H304" i="17"/>
  <c r="G48" i="17"/>
  <c r="H47" i="17"/>
  <c r="G518" i="17"/>
  <c r="G337" i="17"/>
  <c r="H418" i="17"/>
  <c r="G162" i="17"/>
  <c r="H161" i="17"/>
  <c r="G390" i="17"/>
  <c r="H608" i="17"/>
  <c r="H471" i="17"/>
  <c r="H327" i="17"/>
  <c r="G71" i="17"/>
  <c r="H158" i="17"/>
  <c r="H408" i="17"/>
  <c r="H413" i="17"/>
  <c r="G600" i="17"/>
  <c r="G250" i="17"/>
  <c r="H294" i="17"/>
  <c r="H325" i="17"/>
  <c r="G101" i="17"/>
  <c r="E24" i="1"/>
  <c r="H419" i="17"/>
  <c r="G595" i="17"/>
  <c r="H316" i="17"/>
  <c r="H160" i="17"/>
  <c r="H187" i="17"/>
  <c r="H133" i="17"/>
  <c r="H64" i="17"/>
  <c r="G274" i="17"/>
  <c r="G612" i="17"/>
  <c r="G456" i="17"/>
  <c r="H37" i="17"/>
  <c r="H277" i="17"/>
  <c r="H16" i="17"/>
  <c r="H135" i="17"/>
  <c r="H515" i="17"/>
  <c r="G451" i="17"/>
  <c r="H27" i="17"/>
  <c r="G212" i="17"/>
  <c r="G464" i="17"/>
  <c r="H310" i="17"/>
  <c r="H53" i="17"/>
  <c r="H541" i="17"/>
  <c r="H285" i="17"/>
  <c r="G29" i="17"/>
  <c r="H24" i="17"/>
  <c r="G327" i="17"/>
  <c r="H167" i="17"/>
  <c r="H282" i="17"/>
  <c r="H531" i="17"/>
  <c r="H238" i="17"/>
  <c r="H42" i="17"/>
  <c r="H162" i="17"/>
  <c r="H226" i="17"/>
  <c r="G39" i="17"/>
  <c r="G103" i="17"/>
  <c r="G167" i="17"/>
  <c r="G231" i="17"/>
  <c r="H295" i="17"/>
  <c r="H359" i="17"/>
  <c r="H391" i="17"/>
  <c r="H423" i="17"/>
  <c r="H455" i="17"/>
  <c r="H487" i="17"/>
  <c r="H519" i="17"/>
  <c r="H551" i="17"/>
  <c r="H583" i="17"/>
  <c r="G278" i="17"/>
  <c r="G310" i="17"/>
  <c r="G342" i="17"/>
  <c r="G374" i="17"/>
  <c r="G406" i="17"/>
  <c r="G438" i="17"/>
  <c r="H65" i="17"/>
  <c r="H129" i="17"/>
  <c r="H193" i="17"/>
  <c r="H257" i="17"/>
  <c r="G66" i="17"/>
  <c r="G130" i="17"/>
  <c r="G194" i="17"/>
  <c r="G258" i="17"/>
  <c r="H322" i="17"/>
  <c r="H386" i="17"/>
  <c r="H450" i="17"/>
  <c r="H514" i="17"/>
  <c r="H578" i="17"/>
  <c r="G305" i="17"/>
  <c r="G369" i="17"/>
  <c r="G433" i="17"/>
  <c r="G470" i="17"/>
  <c r="G502" i="17"/>
  <c r="G534" i="17"/>
  <c r="G566" i="17"/>
  <c r="G598" i="17"/>
  <c r="H15" i="17"/>
  <c r="H79" i="17"/>
  <c r="H143" i="17"/>
  <c r="H207" i="17"/>
  <c r="G16" i="17"/>
  <c r="G80" i="17"/>
  <c r="G144" i="17"/>
  <c r="G208" i="17"/>
  <c r="H272" i="17"/>
  <c r="H336" i="17"/>
  <c r="H22" i="17"/>
  <c r="H86" i="17"/>
  <c r="H150" i="17"/>
  <c r="H214" i="17"/>
  <c r="G27" i="17"/>
  <c r="G91" i="17"/>
  <c r="G155" i="17"/>
  <c r="G219" i="17"/>
  <c r="H283" i="17"/>
  <c r="H347" i="17"/>
  <c r="H411" i="17"/>
  <c r="H475" i="17"/>
  <c r="H539" i="17"/>
  <c r="G266" i="17"/>
  <c r="G330" i="17"/>
  <c r="G394" i="17"/>
  <c r="H41" i="17"/>
  <c r="H169" i="17"/>
  <c r="G42" i="17"/>
  <c r="G170" i="17"/>
  <c r="H298" i="17"/>
  <c r="H426" i="17"/>
  <c r="H554" i="17"/>
  <c r="G345" i="17"/>
  <c r="G458" i="17"/>
  <c r="G522" i="17"/>
  <c r="G586" i="17"/>
  <c r="H55" i="17"/>
  <c r="H183" i="17"/>
  <c r="G56" i="17"/>
  <c r="G184" i="17"/>
  <c r="H312" i="17"/>
  <c r="H416" i="17"/>
  <c r="H480" i="17"/>
  <c r="H544" i="17"/>
  <c r="G271" i="17"/>
  <c r="G335" i="17"/>
  <c r="G399" i="17"/>
  <c r="G453" i="17"/>
  <c r="G485" i="17"/>
  <c r="G517" i="17"/>
  <c r="G549" i="17"/>
  <c r="G581" i="17"/>
  <c r="G613" i="17"/>
  <c r="H28" i="17"/>
  <c r="H60" i="17"/>
  <c r="H92" i="17"/>
  <c r="H124" i="17"/>
  <c r="H156" i="17"/>
  <c r="H188" i="17"/>
  <c r="H220" i="17"/>
  <c r="H252" i="17"/>
  <c r="G33" i="17"/>
  <c r="G65" i="17"/>
  <c r="G97" i="17"/>
  <c r="G129" i="17"/>
  <c r="G161" i="17"/>
  <c r="G193" i="17"/>
  <c r="G225" i="17"/>
  <c r="G257" i="17"/>
  <c r="H289" i="17"/>
  <c r="H321" i="17"/>
  <c r="H353" i="17"/>
  <c r="H385" i="17"/>
  <c r="H417" i="17"/>
  <c r="H449" i="17"/>
  <c r="H481" i="17"/>
  <c r="H513" i="17"/>
  <c r="H545" i="17"/>
  <c r="H577" i="17"/>
  <c r="G272" i="17"/>
  <c r="G304" i="17"/>
  <c r="G336" i="17"/>
  <c r="G368" i="17"/>
  <c r="G400" i="17"/>
  <c r="G432" i="17"/>
  <c r="H61" i="17"/>
  <c r="H125" i="17"/>
  <c r="H189" i="17"/>
  <c r="H253" i="17"/>
  <c r="G62" i="17"/>
  <c r="G126" i="17"/>
  <c r="G190" i="17"/>
  <c r="G254" i="17"/>
  <c r="H318" i="17"/>
  <c r="H382" i="17"/>
  <c r="H446" i="17"/>
  <c r="H510" i="17"/>
  <c r="H574" i="17"/>
  <c r="G301" i="17"/>
  <c r="G365" i="17"/>
  <c r="G429" i="17"/>
  <c r="G468" i="17"/>
  <c r="G500" i="17"/>
  <c r="G532" i="17"/>
  <c r="G564" i="17"/>
  <c r="G608" i="17"/>
  <c r="H99" i="17"/>
  <c r="H227" i="17"/>
  <c r="G100" i="17"/>
  <c r="G228" i="17"/>
  <c r="H356" i="17"/>
  <c r="H484" i="17"/>
  <c r="G275" i="17"/>
  <c r="G403" i="17"/>
  <c r="G487" i="17"/>
  <c r="G551" i="17"/>
  <c r="H591" i="17"/>
  <c r="H43" i="17"/>
  <c r="H171" i="17"/>
  <c r="G44" i="17"/>
  <c r="G172" i="17"/>
  <c r="H300" i="17"/>
  <c r="H428" i="17"/>
  <c r="H556" i="17"/>
  <c r="G347" i="17"/>
  <c r="G459" i="17"/>
  <c r="G523" i="17"/>
  <c r="G587" i="17"/>
  <c r="H368" i="17"/>
  <c r="G240" i="17"/>
  <c r="G112" i="17"/>
  <c r="H239" i="17"/>
  <c r="H111" i="17"/>
  <c r="H13" i="17"/>
  <c r="G550" i="17"/>
  <c r="G486" i="17"/>
  <c r="G401" i="17"/>
  <c r="G273" i="17"/>
  <c r="H482" i="17"/>
  <c r="H354" i="17"/>
  <c r="G226" i="17"/>
  <c r="G98" i="17"/>
  <c r="H225" i="17"/>
  <c r="H97" i="17"/>
  <c r="G422" i="17"/>
  <c r="G358" i="17"/>
  <c r="G294" i="17"/>
  <c r="H567" i="17"/>
  <c r="H503" i="17"/>
  <c r="H439" i="17"/>
  <c r="H375" i="17"/>
  <c r="G263" i="17"/>
  <c r="G135" i="17"/>
  <c r="H258" i="17"/>
  <c r="H106" i="17"/>
  <c r="H275" i="17"/>
  <c r="G450" i="17"/>
  <c r="G513" i="17"/>
  <c r="G157" i="17"/>
  <c r="G332" i="17"/>
  <c r="H566" i="17"/>
  <c r="G387" i="17"/>
  <c r="H206" i="17"/>
  <c r="G311" i="17"/>
  <c r="H533" i="17"/>
  <c r="G180" i="17"/>
  <c r="G72" i="17"/>
  <c r="G504" i="17"/>
  <c r="G70" i="17"/>
  <c r="G559" i="17"/>
  <c r="H485" i="17"/>
  <c r="H454" i="17"/>
  <c r="H570" i="17"/>
  <c r="H593" i="17"/>
  <c r="H421" i="17"/>
  <c r="H424" i="17"/>
  <c r="G531" i="17"/>
  <c r="H372" i="17"/>
  <c r="H390" i="17"/>
  <c r="H581" i="17"/>
  <c r="G69" i="17"/>
  <c r="G407" i="17"/>
  <c r="H442" i="17"/>
  <c r="G99" i="17"/>
  <c r="G252" i="17"/>
  <c r="G355" i="17"/>
  <c r="G584" i="17"/>
  <c r="H550" i="17"/>
  <c r="G38" i="17"/>
  <c r="G324" i="17"/>
  <c r="H405" i="17"/>
  <c r="G149" i="17"/>
  <c r="H144" i="17"/>
  <c r="G505" i="17"/>
  <c r="H392" i="17"/>
  <c r="G425" i="17"/>
  <c r="G434" i="17"/>
  <c r="G259" i="17"/>
  <c r="G579" i="17"/>
  <c r="H540" i="17"/>
  <c r="G28" i="17"/>
  <c r="G543" i="17"/>
  <c r="H468" i="17"/>
  <c r="H211" i="17"/>
  <c r="G528" i="17"/>
  <c r="G357" i="17"/>
  <c r="H438" i="17"/>
  <c r="G182" i="17"/>
  <c r="H181" i="17"/>
  <c r="G396" i="17"/>
  <c r="G268" i="17"/>
  <c r="H477" i="17"/>
  <c r="H349" i="17"/>
  <c r="G221" i="17"/>
  <c r="G93" i="17"/>
  <c r="H216" i="17"/>
  <c r="H88" i="17"/>
  <c r="G577" i="17"/>
  <c r="G449" i="17"/>
  <c r="H536" i="17"/>
  <c r="G168" i="17"/>
  <c r="G578" i="17"/>
  <c r="H538" i="17"/>
  <c r="G26" i="17"/>
  <c r="G322" i="17"/>
  <c r="H403" i="17"/>
  <c r="G147" i="17"/>
  <c r="G35" i="17"/>
  <c r="H623" i="17"/>
  <c r="H74" i="17"/>
  <c r="H138" i="17"/>
  <c r="H178" i="17"/>
  <c r="H210" i="17"/>
  <c r="H242" i="17"/>
  <c r="G23" i="17"/>
  <c r="G55" i="17"/>
  <c r="G87" i="17"/>
  <c r="G119" i="17"/>
  <c r="G151" i="17"/>
  <c r="G183" i="17"/>
  <c r="G215" i="17"/>
  <c r="G247" i="17"/>
  <c r="H279" i="17"/>
  <c r="H311" i="17"/>
  <c r="H343" i="17"/>
  <c r="H30" i="17"/>
  <c r="G404" i="17"/>
  <c r="G585" i="17"/>
  <c r="G229" i="17"/>
  <c r="H572" i="17"/>
  <c r="G198" i="17"/>
  <c r="H224" i="17"/>
  <c r="G58" i="17"/>
  <c r="G60" i="17"/>
  <c r="G536" i="17"/>
  <c r="H197" i="17"/>
  <c r="H357" i="17"/>
  <c r="H96" i="17"/>
  <c r="G200" i="17"/>
  <c r="G338" i="17"/>
  <c r="G467" i="17"/>
  <c r="H59" i="17"/>
  <c r="G244" i="17"/>
  <c r="G472" i="17"/>
  <c r="H326" i="17"/>
  <c r="H69" i="17"/>
  <c r="H549" i="17"/>
  <c r="H293" i="17"/>
  <c r="G37" i="17"/>
  <c r="H32" i="17"/>
  <c r="G343" i="17"/>
  <c r="H199" i="17"/>
  <c r="H314" i="17"/>
  <c r="H547" i="17"/>
  <c r="G19" i="17"/>
  <c r="G363" i="17"/>
  <c r="G188" i="17"/>
  <c r="H607" i="17"/>
  <c r="G291" i="17"/>
  <c r="G116" i="17"/>
  <c r="G568" i="17"/>
  <c r="G437" i="17"/>
  <c r="H518" i="17"/>
  <c r="G262" i="17"/>
  <c r="H261" i="17"/>
  <c r="G436" i="17"/>
  <c r="G308" i="17"/>
  <c r="H517" i="17"/>
  <c r="H389" i="17"/>
  <c r="G261" i="17"/>
  <c r="G133" i="17"/>
  <c r="H256" i="17"/>
  <c r="H128" i="17"/>
  <c r="H595" i="17"/>
  <c r="G489" i="17"/>
  <c r="G279" i="17"/>
  <c r="H328" i="17"/>
  <c r="H71" i="17"/>
  <c r="G361" i="17"/>
  <c r="G186" i="17"/>
  <c r="G402" i="17"/>
  <c r="H483" i="17"/>
  <c r="G227" i="17"/>
  <c r="H142" i="17"/>
  <c r="G499" i="17"/>
  <c r="G299" i="17"/>
  <c r="H380" i="17"/>
  <c r="G124" i="17"/>
  <c r="H123" i="17"/>
  <c r="G591" i="17"/>
  <c r="G463" i="17"/>
  <c r="H564" i="17"/>
  <c r="H308" i="17"/>
  <c r="G52" i="17"/>
  <c r="H51" i="17"/>
  <c r="G552" i="17"/>
  <c r="G488" i="17"/>
  <c r="G405" i="17"/>
  <c r="G277" i="17"/>
  <c r="H486" i="17"/>
  <c r="H358" i="17"/>
  <c r="G230" i="17"/>
  <c r="G102" i="17"/>
  <c r="H229" i="17"/>
  <c r="H101" i="17"/>
  <c r="G420" i="17"/>
  <c r="G356" i="17"/>
  <c r="G292" i="17"/>
  <c r="H565" i="17"/>
  <c r="H501" i="17"/>
  <c r="H437" i="17"/>
  <c r="H373" i="17"/>
  <c r="H309" i="17"/>
  <c r="G245" i="17"/>
  <c r="G181" i="17"/>
  <c r="G117" i="17"/>
  <c r="G53" i="17"/>
  <c r="H240" i="17"/>
  <c r="H176" i="17"/>
  <c r="H112" i="17"/>
  <c r="H48" i="17"/>
  <c r="G601" i="17"/>
  <c r="G537" i="17"/>
  <c r="G473" i="17"/>
  <c r="G375" i="17"/>
  <c r="H584" i="17"/>
  <c r="H456" i="17"/>
  <c r="G264" i="17"/>
  <c r="H263" i="17"/>
  <c r="H613" i="17"/>
  <c r="G498" i="17"/>
  <c r="G297" i="17"/>
  <c r="H378" i="17"/>
  <c r="G122" i="17"/>
  <c r="H121" i="17"/>
  <c r="G370" i="17"/>
  <c r="H579" i="17"/>
  <c r="H451" i="17"/>
  <c r="H323" i="17"/>
  <c r="G195" i="17"/>
  <c r="G67" i="17"/>
  <c r="H78" i="17"/>
  <c r="G611" i="17"/>
  <c r="G547" i="17"/>
  <c r="G483" i="17"/>
  <c r="G395" i="17"/>
  <c r="G267" i="17"/>
  <c r="H476" i="17"/>
  <c r="H348" i="17"/>
  <c r="G220" i="17"/>
  <c r="G92" i="17"/>
  <c r="H219" i="17"/>
  <c r="H91" i="17"/>
  <c r="G596" i="17"/>
  <c r="G575" i="17"/>
  <c r="G511" i="17"/>
  <c r="G447" i="17"/>
  <c r="G323" i="17"/>
  <c r="H532" i="17"/>
  <c r="H404" i="17"/>
  <c r="H276" i="17"/>
  <c r="G148" i="17"/>
  <c r="G20" i="17"/>
  <c r="H147" i="17"/>
  <c r="H19" i="17"/>
  <c r="G576" i="17"/>
  <c r="G544" i="17"/>
  <c r="G512" i="17"/>
  <c r="G480" i="17"/>
  <c r="G448" i="17"/>
  <c r="G389" i="17"/>
  <c r="G325" i="17"/>
  <c r="H606" i="17"/>
  <c r="H534" i="17"/>
  <c r="H470" i="17"/>
  <c r="H406" i="17"/>
  <c r="H342" i="17"/>
  <c r="H278" i="17"/>
  <c r="G214" i="17"/>
  <c r="G150" i="17"/>
  <c r="G86" i="17"/>
  <c r="G22" i="17"/>
  <c r="H213" i="17"/>
  <c r="H149" i="17"/>
  <c r="H85" i="17"/>
  <c r="H21" i="17"/>
  <c r="G412" i="17"/>
  <c r="G380" i="17"/>
  <c r="G348" i="17"/>
  <c r="G316" i="17"/>
  <c r="G284" i="17"/>
  <c r="H589" i="17"/>
  <c r="H557" i="17"/>
  <c r="H525" i="17"/>
  <c r="H493" i="17"/>
  <c r="H461" i="17"/>
  <c r="H429" i="17"/>
  <c r="H397" i="17"/>
  <c r="H365" i="17"/>
  <c r="H333" i="17"/>
  <c r="H301" i="17"/>
  <c r="H269" i="17"/>
  <c r="G237" i="17"/>
  <c r="G205" i="17"/>
  <c r="G173" i="17"/>
  <c r="G141" i="17"/>
  <c r="G109" i="17"/>
  <c r="G77" i="17"/>
  <c r="G45" i="17"/>
  <c r="H264" i="17"/>
  <c r="H232" i="17"/>
  <c r="H200" i="17"/>
  <c r="H168" i="17"/>
  <c r="H136" i="17"/>
  <c r="H104" i="17"/>
  <c r="H72" i="17"/>
  <c r="H40" i="17"/>
  <c r="H611" i="17"/>
  <c r="G593" i="17"/>
  <c r="G561" i="17"/>
  <c r="G529" i="17"/>
  <c r="G497" i="17"/>
  <c r="G465" i="17"/>
  <c r="G423" i="17"/>
  <c r="G359" i="17"/>
  <c r="G295" i="17"/>
  <c r="H568" i="17"/>
  <c r="H504" i="17"/>
  <c r="H440" i="17"/>
  <c r="H360" i="17"/>
  <c r="G232" i="17"/>
  <c r="G104" i="17"/>
  <c r="H231" i="17"/>
  <c r="H103" i="17"/>
  <c r="G610" i="17"/>
  <c r="G546" i="17"/>
  <c r="G482" i="17"/>
  <c r="G393" i="17"/>
  <c r="G13" i="17"/>
  <c r="H474" i="17"/>
  <c r="H346" i="17"/>
  <c r="G218" i="17"/>
  <c r="G90" i="17"/>
  <c r="H217" i="17"/>
  <c r="H89" i="17"/>
  <c r="G418" i="17"/>
  <c r="G354" i="17"/>
  <c r="G290" i="17"/>
  <c r="H563" i="17"/>
  <c r="H499" i="17"/>
  <c r="H435" i="17"/>
  <c r="H371" i="17"/>
  <c r="H307" i="17"/>
  <c r="G243" i="17"/>
  <c r="G179" i="17"/>
  <c r="G115" i="17"/>
  <c r="G51" i="17"/>
  <c r="H174" i="17"/>
  <c r="H46" i="17"/>
  <c r="H254" i="17"/>
  <c r="H190" i="17"/>
  <c r="H126" i="17"/>
  <c r="H62" i="17"/>
  <c r="H18" i="17"/>
  <c r="H34" i="17"/>
  <c r="H50" i="17"/>
  <c r="H66" i="17"/>
  <c r="H82" i="17"/>
  <c r="H98" i="17"/>
  <c r="H114" i="17"/>
  <c r="H130" i="17"/>
  <c r="H146" i="17"/>
  <c r="G623" i="17"/>
  <c r="H38" i="17"/>
  <c r="H70" i="17"/>
  <c r="H102" i="17"/>
  <c r="H134" i="17"/>
  <c r="H166" i="17"/>
  <c r="H198" i="17"/>
  <c r="H230" i="17"/>
  <c r="H262" i="17"/>
  <c r="G43" i="17"/>
  <c r="G75" i="17"/>
  <c r="G107" i="17"/>
  <c r="G139" i="17"/>
  <c r="G171" i="17"/>
  <c r="G203" i="17"/>
  <c r="G235" i="17"/>
  <c r="H267" i="17"/>
  <c r="H299" i="17"/>
  <c r="H331" i="17"/>
  <c r="H363" i="17"/>
  <c r="H395" i="17"/>
  <c r="H427" i="17"/>
  <c r="H459" i="17"/>
  <c r="H491" i="17"/>
  <c r="H523" i="17"/>
  <c r="H555" i="17"/>
  <c r="H587" i="17"/>
  <c r="G282" i="17"/>
  <c r="G314" i="17"/>
  <c r="G346" i="17"/>
  <c r="G378" i="17"/>
  <c r="G410" i="17"/>
  <c r="G442" i="17"/>
  <c r="H73" i="17"/>
  <c r="H137" i="17"/>
  <c r="H201" i="17"/>
  <c r="H265" i="17"/>
  <c r="G74" i="17"/>
  <c r="G138" i="17"/>
  <c r="G202" i="17"/>
  <c r="H266" i="17"/>
  <c r="H330" i="17"/>
  <c r="H394" i="17"/>
  <c r="H458" i="17"/>
  <c r="H522" i="17"/>
  <c r="H586" i="17"/>
  <c r="G313" i="17"/>
  <c r="G377" i="17"/>
  <c r="G441" i="17"/>
  <c r="G474" i="17"/>
  <c r="G506" i="17"/>
  <c r="G538" i="17"/>
  <c r="G570" i="17"/>
  <c r="G602" i="17"/>
  <c r="H23" i="17"/>
  <c r="H87" i="17"/>
  <c r="H151" i="17"/>
  <c r="H215" i="17"/>
  <c r="G24" i="17"/>
  <c r="G88" i="17"/>
  <c r="G152" i="17"/>
  <c r="G216" i="17"/>
  <c r="H280" i="17"/>
  <c r="H344" i="17"/>
  <c r="H400" i="17"/>
  <c r="H432" i="17"/>
  <c r="H464" i="17"/>
  <c r="H496" i="17"/>
  <c r="H528" i="17"/>
  <c r="H560" i="17"/>
  <c r="H594" i="17"/>
  <c r="G287" i="17"/>
  <c r="G319" i="17"/>
  <c r="G351" i="17"/>
  <c r="G383" i="17"/>
  <c r="G415" i="17"/>
  <c r="G445" i="17"/>
  <c r="G461" i="17"/>
  <c r="G477" i="17"/>
  <c r="G493" i="17"/>
  <c r="G509" i="17"/>
  <c r="G525" i="17"/>
  <c r="G541" i="17"/>
  <c r="G557" i="17"/>
  <c r="G573" i="17"/>
  <c r="G589" i="17"/>
  <c r="G605" i="17"/>
  <c r="H603" i="17"/>
  <c r="H20" i="17"/>
  <c r="H36" i="17"/>
  <c r="H52" i="17"/>
  <c r="H68" i="17"/>
  <c r="H84" i="17"/>
  <c r="H100" i="17"/>
  <c r="H116" i="17"/>
  <c r="H132" i="17"/>
  <c r="H148" i="17"/>
  <c r="H164" i="17"/>
  <c r="H180" i="17"/>
  <c r="H196" i="17"/>
  <c r="H212" i="17"/>
  <c r="H228" i="17"/>
  <c r="H244" i="17"/>
  <c r="H260" i="17"/>
  <c r="G25" i="17"/>
  <c r="G41" i="17"/>
  <c r="G57" i="17"/>
  <c r="G73" i="17"/>
  <c r="G89" i="17"/>
  <c r="G105" i="17"/>
  <c r="G121" i="17"/>
  <c r="G137" i="17"/>
  <c r="G153" i="17"/>
  <c r="G169" i="17"/>
  <c r="G185" i="17"/>
  <c r="G201" i="17"/>
  <c r="G217" i="17"/>
  <c r="G233" i="17"/>
  <c r="G249" i="17"/>
  <c r="G265" i="17"/>
  <c r="H281" i="17"/>
  <c r="H297" i="17"/>
  <c r="H313" i="17"/>
  <c r="H329" i="17"/>
  <c r="H345" i="17"/>
  <c r="H361" i="17"/>
  <c r="H377" i="17"/>
  <c r="H393" i="17"/>
  <c r="H409" i="17"/>
  <c r="H425" i="17"/>
  <c r="H441" i="17"/>
  <c r="H457" i="17"/>
  <c r="H473" i="17"/>
  <c r="H489" i="17"/>
  <c r="H505" i="17"/>
  <c r="H521" i="17"/>
  <c r="H537" i="17"/>
  <c r="H553" i="17"/>
  <c r="H569" i="17"/>
  <c r="H585" i="17"/>
  <c r="H612" i="17"/>
  <c r="G280" i="17"/>
  <c r="G296" i="17"/>
  <c r="G312" i="17"/>
  <c r="G328" i="17"/>
  <c r="G344" i="17"/>
  <c r="G360" i="17"/>
  <c r="G376" i="17"/>
  <c r="G392" i="17"/>
  <c r="G408" i="17"/>
  <c r="G424" i="17"/>
  <c r="G440" i="17"/>
  <c r="H45" i="17"/>
  <c r="H77" i="17"/>
  <c r="H109" i="17"/>
  <c r="H141" i="17"/>
  <c r="H173" i="17"/>
  <c r="H205" i="17"/>
  <c r="H237" i="17"/>
  <c r="G14" i="17"/>
  <c r="G46" i="17"/>
  <c r="G78" i="17"/>
  <c r="G110" i="17"/>
  <c r="G142" i="17"/>
  <c r="G174" i="17"/>
  <c r="G206" i="17"/>
  <c r="G238" i="17"/>
  <c r="H270" i="17"/>
  <c r="H302" i="17"/>
  <c r="H334" i="17"/>
  <c r="H366" i="17"/>
  <c r="H398" i="17"/>
  <c r="H430" i="17"/>
  <c r="H462" i="17"/>
  <c r="H494" i="17"/>
  <c r="H526" i="17"/>
  <c r="H558" i="17"/>
  <c r="H590" i="17"/>
  <c r="G285" i="17"/>
  <c r="G317" i="17"/>
  <c r="G349" i="17"/>
  <c r="G381" i="17"/>
  <c r="G413" i="17"/>
  <c r="G444" i="17"/>
  <c r="G460" i="17"/>
  <c r="G476" i="17"/>
  <c r="G492" i="17"/>
  <c r="G508" i="17"/>
  <c r="G524" i="17"/>
  <c r="G540" i="17"/>
  <c r="G556" i="17"/>
  <c r="G572" i="17"/>
  <c r="G592" i="17"/>
  <c r="H609" i="17"/>
  <c r="H67" i="17"/>
  <c r="H131" i="17"/>
  <c r="H195" i="17"/>
  <c r="H259" i="17"/>
  <c r="G68" i="17"/>
  <c r="G132" i="17"/>
  <c r="G196" i="17"/>
  <c r="G260" i="17"/>
  <c r="H324" i="17"/>
  <c r="H388" i="17"/>
  <c r="H452" i="17"/>
  <c r="H516" i="17"/>
  <c r="H580" i="17"/>
  <c r="G307" i="17"/>
  <c r="G371" i="17"/>
  <c r="G435" i="17"/>
  <c r="G471" i="17"/>
  <c r="G503" i="17"/>
  <c r="G535" i="17"/>
  <c r="G567" i="17"/>
  <c r="G599" i="17"/>
  <c r="G588" i="17"/>
  <c r="H602" i="17"/>
  <c r="H75" i="17"/>
  <c r="H139" i="17"/>
  <c r="H203" i="17"/>
  <c r="G626" i="17"/>
  <c r="G76" i="17"/>
  <c r="G140" i="17"/>
  <c r="G204" i="17"/>
  <c r="H268" i="17"/>
  <c r="H332" i="17"/>
  <c r="H396" i="17"/>
  <c r="H460" i="17"/>
  <c r="H524" i="17"/>
  <c r="H588" i="17"/>
  <c r="G315" i="17"/>
  <c r="G379" i="17"/>
  <c r="G443" i="17"/>
  <c r="G475" i="17"/>
  <c r="G507" i="17"/>
  <c r="G539" i="17"/>
  <c r="G571" i="17"/>
  <c r="G603" i="17"/>
  <c r="H384" i="17"/>
  <c r="H352" i="17"/>
  <c r="H320" i="17"/>
  <c r="H288" i="17"/>
  <c r="G256" i="17"/>
  <c r="G224" i="17"/>
  <c r="G192" i="17"/>
  <c r="G160" i="17"/>
  <c r="G128" i="17"/>
  <c r="G96" i="17"/>
  <c r="G64" i="17"/>
  <c r="G32" i="17"/>
  <c r="H255" i="17"/>
  <c r="H223" i="17"/>
  <c r="H191" i="17"/>
  <c r="H159" i="17"/>
  <c r="H127" i="17"/>
  <c r="H95" i="17"/>
  <c r="H63" i="17"/>
  <c r="H31" i="17"/>
  <c r="H605" i="17"/>
  <c r="G606" i="17"/>
  <c r="G590" i="17"/>
  <c r="G574" i="17"/>
  <c r="G558" i="17"/>
  <c r="G542" i="17"/>
  <c r="G526" i="17"/>
  <c r="G510" i="17"/>
  <c r="G494" i="17"/>
  <c r="G478" i="17"/>
  <c r="G462" i="17"/>
  <c r="G446" i="17"/>
  <c r="G417" i="17"/>
  <c r="G385" i="17"/>
  <c r="G353" i="17"/>
  <c r="G321" i="17"/>
  <c r="G289" i="17"/>
  <c r="H598" i="17"/>
  <c r="H562" i="17"/>
  <c r="H530" i="17"/>
  <c r="H498" i="17"/>
  <c r="H466" i="17"/>
  <c r="H434" i="17"/>
  <c r="H402" i="17"/>
  <c r="H370" i="17"/>
  <c r="H338" i="17"/>
  <c r="H306" i="17"/>
  <c r="H274" i="17"/>
  <c r="G242" i="17"/>
  <c r="G210" i="17"/>
  <c r="G178" i="17"/>
  <c r="G146" i="17"/>
  <c r="G114" i="17"/>
  <c r="G82" i="17"/>
  <c r="G50" i="17"/>
  <c r="G18" i="17"/>
  <c r="H241" i="17"/>
  <c r="H209" i="17"/>
  <c r="H177" i="17"/>
  <c r="H145" i="17"/>
  <c r="H113" i="17"/>
  <c r="H81" i="17"/>
  <c r="H49" i="17"/>
  <c r="H17" i="17"/>
  <c r="G430" i="17"/>
  <c r="G414" i="17"/>
  <c r="G398" i="17"/>
  <c r="G382" i="17"/>
  <c r="G366" i="17"/>
  <c r="G350" i="17"/>
  <c r="G334" i="17"/>
  <c r="G318" i="17"/>
  <c r="G302" i="17"/>
  <c r="G286" i="17"/>
  <c r="G270" i="17"/>
  <c r="H592" i="17"/>
  <c r="H575" i="17"/>
  <c r="H559" i="17"/>
  <c r="H543" i="17"/>
  <c r="H527" i="17"/>
  <c r="H511" i="17"/>
  <c r="H495" i="17"/>
  <c r="H479" i="17"/>
  <c r="H463" i="17"/>
  <c r="H447" i="17"/>
  <c r="H431" i="17"/>
  <c r="H415" i="17"/>
  <c r="H399" i="17"/>
  <c r="H383" i="17"/>
  <c r="H367" i="17"/>
  <c r="H351" i="17"/>
  <c r="H335" i="17"/>
  <c r="H319" i="17"/>
  <c r="H303" i="17"/>
  <c r="H287" i="17"/>
  <c r="H271" i="17"/>
  <c r="G255" i="17"/>
  <c r="G239" i="17"/>
  <c r="G223" i="17"/>
  <c r="G207" i="17"/>
  <c r="G191" i="17"/>
  <c r="G175" i="17"/>
  <c r="G159" i="17"/>
  <c r="G143" i="17"/>
  <c r="G127" i="17"/>
  <c r="G111" i="17"/>
  <c r="G95" i="17"/>
  <c r="G79" i="17"/>
  <c r="G63" i="17"/>
  <c r="G47" i="17"/>
  <c r="G31" i="17"/>
  <c r="G15" i="17"/>
  <c r="H250" i="17"/>
  <c r="H234" i="17"/>
  <c r="H218" i="17"/>
  <c r="H202" i="17"/>
  <c r="H186" i="17"/>
  <c r="H170" i="17"/>
  <c r="H154" i="17"/>
  <c r="H122" i="17"/>
  <c r="H90" i="17"/>
  <c r="H58" i="17"/>
  <c r="H26" i="17"/>
  <c r="H94" i="17"/>
  <c r="H222" i="17"/>
  <c r="H110" i="17"/>
  <c r="G83" i="17"/>
  <c r="G211" i="17"/>
  <c r="H339" i="17"/>
  <c r="H467" i="17"/>
  <c r="H599" i="17"/>
  <c r="G386" i="17"/>
  <c r="H153" i="17"/>
  <c r="G154" i="17"/>
  <c r="H410" i="17"/>
  <c r="G329" i="17"/>
  <c r="G514" i="17"/>
  <c r="H39" i="17"/>
  <c r="G40" i="17"/>
  <c r="H296" i="17"/>
  <c r="H472" i="17"/>
  <c r="H610" i="17"/>
  <c r="G391" i="17"/>
  <c r="G481" i="17"/>
  <c r="G545" i="17"/>
  <c r="G609" i="17"/>
  <c r="H56" i="17"/>
  <c r="H120" i="17"/>
  <c r="H184" i="17"/>
  <c r="H248" i="17"/>
  <c r="G61" i="17"/>
  <c r="G125" i="17"/>
  <c r="G189" i="17"/>
  <c r="G253" i="17"/>
  <c r="H317" i="17"/>
  <c r="H381" i="17"/>
  <c r="H445" i="17"/>
  <c r="H509" i="17"/>
  <c r="H573" i="17"/>
  <c r="G300" i="17"/>
  <c r="G364" i="17"/>
  <c r="G428" i="17"/>
  <c r="H117" i="17"/>
  <c r="H245" i="17"/>
  <c r="G118" i="17"/>
  <c r="G246" i="17"/>
  <c r="H374" i="17"/>
  <c r="H502" i="17"/>
  <c r="G293" i="17"/>
  <c r="G421" i="17"/>
  <c r="G496" i="17"/>
  <c r="G560" i="17"/>
  <c r="H83" i="17"/>
  <c r="G84" i="17"/>
  <c r="H340" i="17"/>
  <c r="H601" i="17"/>
  <c r="G479" i="17"/>
  <c r="G607" i="17"/>
  <c r="H155" i="17"/>
  <c r="G156" i="17"/>
  <c r="H412" i="17"/>
  <c r="G331" i="17"/>
  <c r="G515" i="17"/>
  <c r="H14" i="17"/>
  <c r="G131" i="17"/>
  <c r="H387" i="17"/>
  <c r="G306" i="17"/>
  <c r="H249" i="17"/>
  <c r="H506" i="17"/>
  <c r="G562" i="17"/>
  <c r="G136" i="17"/>
  <c r="H520" i="17"/>
  <c r="G439" i="17"/>
  <c r="G569" i="17"/>
  <c r="H80" i="17"/>
  <c r="H208" i="17"/>
  <c r="G85" i="17"/>
  <c r="G213" i="17"/>
  <c r="H341" i="17"/>
  <c r="H469" i="17"/>
  <c r="H604" i="17"/>
  <c r="G388" i="17"/>
  <c r="H165" i="17"/>
  <c r="G166" i="17"/>
  <c r="H422" i="17"/>
  <c r="G341" i="17"/>
  <c r="G520" i="17"/>
  <c r="H179" i="17"/>
  <c r="H436" i="17"/>
  <c r="G527" i="17"/>
  <c r="H251" i="17"/>
  <c r="H508" i="17"/>
  <c r="G563" i="17"/>
  <c r="H355" i="17"/>
  <c r="H185" i="17"/>
  <c r="G530" i="17"/>
  <c r="H488" i="17"/>
  <c r="G553" i="17"/>
  <c r="H192" i="17"/>
  <c r="G197" i="17"/>
  <c r="H453" i="17"/>
  <c r="G372" i="17"/>
  <c r="G134" i="17"/>
  <c r="G309" i="17"/>
  <c r="H115" i="17"/>
  <c r="G495" i="17"/>
  <c r="H444" i="17"/>
  <c r="H291" i="17"/>
  <c r="G466" i="17"/>
  <c r="G521" i="17"/>
  <c r="G165" i="17"/>
  <c r="G340" i="17"/>
  <c r="H582" i="17"/>
  <c r="G419" i="17"/>
  <c r="G163" i="17"/>
  <c r="G457" i="17"/>
  <c r="G276" i="17"/>
  <c r="H500" i="17"/>
  <c r="H552" i="17"/>
  <c r="H243" i="17"/>
  <c r="G373" i="17"/>
  <c r="B65" i="2"/>
  <c r="B209" i="2" l="1"/>
  <c r="Q3" i="17" s="1"/>
  <c r="B216" i="2"/>
  <c r="B208" i="2"/>
  <c r="D354" i="2"/>
  <c r="E354" i="2"/>
  <c r="C48" i="16" s="1"/>
  <c r="AG72" i="23"/>
  <c r="BB72" i="23" s="1"/>
  <c r="AG63" i="23"/>
  <c r="BC63" i="23" s="1"/>
  <c r="AW63" i="23" s="1"/>
  <c r="E43" i="1"/>
  <c r="D235" i="2"/>
  <c r="BC74" i="23"/>
  <c r="AW74" i="23" s="1"/>
  <c r="AT107" i="23"/>
  <c r="AV107" i="23" s="1"/>
  <c r="AZ107" i="23" s="1"/>
  <c r="BC94" i="23"/>
  <c r="AW94" i="23" s="1"/>
  <c r="BC102" i="23"/>
  <c r="AW102" i="23" s="1"/>
  <c r="AT17" i="23"/>
  <c r="AV17" i="23" s="1"/>
  <c r="AZ17" i="23" s="1"/>
  <c r="BC43" i="23"/>
  <c r="AW43" i="23" s="1"/>
  <c r="BC21" i="23"/>
  <c r="AW21" i="23" s="1"/>
  <c r="BC19" i="23"/>
  <c r="AW19" i="23" s="1"/>
  <c r="BC64" i="23"/>
  <c r="AW64" i="23" s="1"/>
  <c r="BB26" i="23"/>
  <c r="BC54" i="23"/>
  <c r="AW54" i="23" s="1"/>
  <c r="BC50" i="23"/>
  <c r="AW50" i="23" s="1"/>
  <c r="BC90" i="23"/>
  <c r="AW90" i="23" s="1"/>
  <c r="BC100" i="23"/>
  <c r="AW100" i="23" s="1"/>
  <c r="AT93" i="23"/>
  <c r="AV93" i="23" s="1"/>
  <c r="AZ93" i="23" s="1"/>
  <c r="BC46" i="23"/>
  <c r="AW46" i="23" s="1"/>
  <c r="BC61" i="23"/>
  <c r="AW61" i="23" s="1"/>
  <c r="BC79" i="23"/>
  <c r="AW79" i="23" s="1"/>
  <c r="BC32" i="23"/>
  <c r="AW32" i="23" s="1"/>
  <c r="BC37" i="23"/>
  <c r="AW37" i="23" s="1"/>
  <c r="BC10" i="23"/>
  <c r="AW10" i="23" s="1"/>
  <c r="AT80" i="23"/>
  <c r="AV80" i="23" s="1"/>
  <c r="AZ80" i="23" s="1"/>
  <c r="BC31" i="23"/>
  <c r="AW31" i="23" s="1"/>
  <c r="AT57" i="23"/>
  <c r="AV57" i="23" s="1"/>
  <c r="AZ57" i="23" s="1"/>
  <c r="BC77" i="23"/>
  <c r="AW77" i="23" s="1"/>
  <c r="BC84" i="23"/>
  <c r="AW84" i="23" s="1"/>
  <c r="AT97" i="23"/>
  <c r="AV97" i="23" s="1"/>
  <c r="AZ97" i="23" s="1"/>
  <c r="BC86" i="23"/>
  <c r="AW86" i="23" s="1"/>
  <c r="BC47" i="23"/>
  <c r="AW47" i="23" s="1"/>
  <c r="BB38" i="23"/>
  <c r="BC98" i="23"/>
  <c r="AW98" i="23" s="1"/>
  <c r="BC30" i="23"/>
  <c r="AW30" i="23" s="1"/>
  <c r="BC89" i="23"/>
  <c r="AW89" i="23" s="1"/>
  <c r="BC91" i="23"/>
  <c r="AW91" i="23" s="1"/>
  <c r="BC18" i="23"/>
  <c r="AW18" i="23" s="1"/>
  <c r="AT71" i="23"/>
  <c r="AV71" i="23" s="1"/>
  <c r="AZ71" i="23" s="1"/>
  <c r="BB24" i="23"/>
  <c r="AT101" i="23"/>
  <c r="AV101" i="23" s="1"/>
  <c r="AZ101" i="23" s="1"/>
  <c r="BC82" i="23"/>
  <c r="AW82" i="23" s="1"/>
  <c r="BB67" i="23"/>
  <c r="BC35" i="23"/>
  <c r="AW35" i="23" s="1"/>
  <c r="BC96" i="23"/>
  <c r="AW96" i="23" s="1"/>
  <c r="BB39" i="23"/>
  <c r="BC70" i="23"/>
  <c r="AW70" i="23" s="1"/>
  <c r="BC44" i="23"/>
  <c r="AW44" i="23" s="1"/>
  <c r="AT105" i="23"/>
  <c r="AV105" i="23" s="1"/>
  <c r="AZ105" i="23" s="1"/>
  <c r="BC83" i="23"/>
  <c r="AW83" i="23" s="1"/>
  <c r="BB66" i="23"/>
  <c r="BC76" i="23"/>
  <c r="AW76" i="23" s="1"/>
  <c r="BC62" i="23"/>
  <c r="AW62" i="23" s="1"/>
  <c r="BC22" i="23"/>
  <c r="AW22" i="23" s="1"/>
  <c r="BB103" i="23"/>
  <c r="BC59" i="23"/>
  <c r="AW59" i="23" s="1"/>
  <c r="BC95" i="23"/>
  <c r="AW95" i="23" s="1"/>
  <c r="BB99" i="23"/>
  <c r="BB36" i="23"/>
  <c r="BC60" i="23"/>
  <c r="AW60" i="23" s="1"/>
  <c r="BB68" i="23"/>
  <c r="BC88" i="23"/>
  <c r="AW88" i="23" s="1"/>
  <c r="BC75" i="23"/>
  <c r="AW75" i="23" s="1"/>
  <c r="BB33" i="23"/>
  <c r="BC78" i="23"/>
  <c r="AW78" i="23" s="1"/>
  <c r="BC12" i="23"/>
  <c r="AW12" i="23" s="1"/>
  <c r="BB16" i="23"/>
  <c r="BC14" i="23"/>
  <c r="AW14" i="23" s="1"/>
  <c r="AT29" i="23"/>
  <c r="AV29" i="23" s="1"/>
  <c r="AZ29" i="23" s="1"/>
  <c r="BB34" i="23"/>
  <c r="AT108" i="23"/>
  <c r="AV108" i="23" s="1"/>
  <c r="AZ108" i="23" s="1"/>
  <c r="D219" i="2"/>
  <c r="J64" i="1" s="1"/>
  <c r="D236" i="2"/>
  <c r="BB27" i="23"/>
  <c r="BC27" i="23"/>
  <c r="AW27" i="23" s="1"/>
  <c r="BB25" i="23"/>
  <c r="BC25" i="23"/>
  <c r="AW25" i="23" s="1"/>
  <c r="BB65" i="23"/>
  <c r="BC65" i="23"/>
  <c r="AW65" i="23" s="1"/>
  <c r="BC20" i="23"/>
  <c r="AW20" i="23" s="1"/>
  <c r="BB20" i="23"/>
  <c r="BB28" i="23"/>
  <c r="BC28" i="23"/>
  <c r="AW28" i="23" s="1"/>
  <c r="AT28" i="23"/>
  <c r="AV28" i="23" s="1"/>
  <c r="AZ28" i="23" s="1"/>
  <c r="AT20" i="23"/>
  <c r="AV20" i="23" s="1"/>
  <c r="AZ20" i="23" s="1"/>
  <c r="BC87" i="23"/>
  <c r="AW87" i="23" s="1"/>
  <c r="BB87" i="23"/>
  <c r="AT87" i="23"/>
  <c r="AV87" i="23" s="1"/>
  <c r="AZ87" i="23" s="1"/>
  <c r="BB9" i="23"/>
  <c r="AT9" i="23"/>
  <c r="AV9" i="23" s="1"/>
  <c r="AZ9" i="23" s="1"/>
  <c r="BC9" i="23"/>
  <c r="AW9" i="23" s="1"/>
  <c r="BC69" i="23"/>
  <c r="AW69" i="23" s="1"/>
  <c r="BB69" i="23"/>
  <c r="BA30" i="23"/>
  <c r="BB56" i="23"/>
  <c r="BC56" i="23"/>
  <c r="AW56" i="23" s="1"/>
  <c r="BA65" i="23"/>
  <c r="AT65" i="23"/>
  <c r="AV65" i="23" s="1"/>
  <c r="AZ65" i="23" s="1"/>
  <c r="BC49" i="23"/>
  <c r="AW49" i="23" s="1"/>
  <c r="BB49" i="23"/>
  <c r="BA38" i="23"/>
  <c r="BA12" i="23"/>
  <c r="BA74" i="23"/>
  <c r="BC104" i="23"/>
  <c r="AW104" i="23" s="1"/>
  <c r="BB104" i="23"/>
  <c r="BA85" i="23"/>
  <c r="AT85" i="23"/>
  <c r="AV85" i="23" s="1"/>
  <c r="AZ85" i="23" s="1"/>
  <c r="BC23" i="23"/>
  <c r="AW23" i="23" s="1"/>
  <c r="BB23" i="23"/>
  <c r="BB11" i="23"/>
  <c r="BC11" i="23"/>
  <c r="AW11" i="23" s="1"/>
  <c r="BA52" i="23"/>
  <c r="AT52" i="23"/>
  <c r="AV52" i="23" s="1"/>
  <c r="AZ52" i="23" s="1"/>
  <c r="BA109" i="23"/>
  <c r="AT109" i="23"/>
  <c r="AV109" i="23" s="1"/>
  <c r="AT92" i="23"/>
  <c r="AV92" i="23" s="1"/>
  <c r="AZ92" i="23" s="1"/>
  <c r="BA92" i="23"/>
  <c r="BA108" i="23"/>
  <c r="BA99" i="23"/>
  <c r="BB58" i="23"/>
  <c r="BC58" i="23"/>
  <c r="AW58" i="23" s="1"/>
  <c r="BC45" i="23"/>
  <c r="AW45" i="23" s="1"/>
  <c r="BB45" i="23"/>
  <c r="BA21" i="23"/>
  <c r="BA106" i="23"/>
  <c r="AT106" i="23"/>
  <c r="AV106" i="23" s="1"/>
  <c r="AZ106" i="23" s="1"/>
  <c r="BA35" i="23"/>
  <c r="AT69" i="23"/>
  <c r="AV69" i="23" s="1"/>
  <c r="AZ69" i="23" s="1"/>
  <c r="BA69" i="23"/>
  <c r="BB40" i="23"/>
  <c r="BC40" i="23"/>
  <c r="AW40" i="23" s="1"/>
  <c r="BA32" i="23"/>
  <c r="AT42" i="23"/>
  <c r="AV42" i="23" s="1"/>
  <c r="AZ42" i="23" s="1"/>
  <c r="BA42" i="23"/>
  <c r="BA51" i="23"/>
  <c r="AT51" i="23"/>
  <c r="AV51" i="23" s="1"/>
  <c r="AZ51" i="23" s="1"/>
  <c r="BA16" i="23"/>
  <c r="BA86" i="23"/>
  <c r="BA63" i="23"/>
  <c r="AT41" i="23"/>
  <c r="AV41" i="23" s="1"/>
  <c r="AZ41" i="23" s="1"/>
  <c r="BA41" i="23"/>
  <c r="BA39" i="23"/>
  <c r="BC41" i="23"/>
  <c r="AW41" i="23" s="1"/>
  <c r="BB41" i="23"/>
  <c r="BC13" i="23"/>
  <c r="AW13" i="23" s="1"/>
  <c r="BB13" i="23"/>
  <c r="BA46" i="23"/>
  <c r="BA50" i="23"/>
  <c r="BA67" i="23"/>
  <c r="BC109" i="23"/>
  <c r="AW109" i="23" s="1"/>
  <c r="BB109" i="23"/>
  <c r="BC15" i="23"/>
  <c r="AW15" i="23" s="1"/>
  <c r="BB15" i="23"/>
  <c r="BB51" i="23"/>
  <c r="BC51" i="23"/>
  <c r="AW51" i="23" s="1"/>
  <c r="BA14" i="23"/>
  <c r="AT73" i="23"/>
  <c r="AV73" i="23" s="1"/>
  <c r="AZ73" i="23" s="1"/>
  <c r="BA73" i="23"/>
  <c r="BB81" i="23"/>
  <c r="BC81" i="23"/>
  <c r="AW81" i="23" s="1"/>
  <c r="BC73" i="23"/>
  <c r="AW73" i="23" s="1"/>
  <c r="BB73" i="23"/>
  <c r="BA76" i="23"/>
  <c r="BA56" i="23"/>
  <c r="AT56" i="23"/>
  <c r="AV56" i="23" s="1"/>
  <c r="AZ56" i="23" s="1"/>
  <c r="BA90" i="23"/>
  <c r="BA33" i="23"/>
  <c r="AT45" i="23"/>
  <c r="AV45" i="23" s="1"/>
  <c r="AZ45" i="23" s="1"/>
  <c r="BA45" i="23"/>
  <c r="BA53" i="23"/>
  <c r="AT53" i="23"/>
  <c r="AV53" i="23" s="1"/>
  <c r="AZ53" i="23" s="1"/>
  <c r="BA68" i="23"/>
  <c r="BA44" i="23"/>
  <c r="BB55" i="23"/>
  <c r="BC55" i="23"/>
  <c r="AW55" i="23" s="1"/>
  <c r="BA37" i="23"/>
  <c r="BA54" i="23"/>
  <c r="BC42" i="23"/>
  <c r="AW42" i="23" s="1"/>
  <c r="BB42" i="23"/>
  <c r="BC92" i="23"/>
  <c r="AW92" i="23" s="1"/>
  <c r="BB92" i="23"/>
  <c r="BA98" i="23"/>
  <c r="BA95" i="23"/>
  <c r="BA81" i="23"/>
  <c r="AT81" i="23"/>
  <c r="AV81" i="23" s="1"/>
  <c r="AZ81" i="23" s="1"/>
  <c r="BA15" i="23"/>
  <c r="AT15" i="23"/>
  <c r="AV15" i="23" s="1"/>
  <c r="AZ15" i="23" s="1"/>
  <c r="AT40" i="23"/>
  <c r="AV40" i="23" s="1"/>
  <c r="AZ40" i="23" s="1"/>
  <c r="BA40" i="23"/>
  <c r="AT104" i="23"/>
  <c r="AV104" i="23" s="1"/>
  <c r="AZ104" i="23" s="1"/>
  <c r="BA104" i="23"/>
  <c r="BA11" i="23"/>
  <c r="AT11" i="23"/>
  <c r="AV11" i="23" s="1"/>
  <c r="AZ11" i="23" s="1"/>
  <c r="BA31" i="23"/>
  <c r="AT13" i="23"/>
  <c r="AV13" i="23" s="1"/>
  <c r="AZ13" i="23" s="1"/>
  <c r="BA13" i="23"/>
  <c r="BA22" i="23"/>
  <c r="BA27" i="23"/>
  <c r="AT27" i="23"/>
  <c r="AV27" i="23" s="1"/>
  <c r="AZ27" i="23" s="1"/>
  <c r="BC53" i="23"/>
  <c r="AW53" i="23" s="1"/>
  <c r="BB53" i="23"/>
  <c r="BA49" i="23"/>
  <c r="AT49" i="23"/>
  <c r="AV49" i="23" s="1"/>
  <c r="AZ49" i="23" s="1"/>
  <c r="BA55" i="23"/>
  <c r="AT55" i="23"/>
  <c r="AV55" i="23" s="1"/>
  <c r="AZ55" i="23" s="1"/>
  <c r="BA78" i="23"/>
  <c r="BB52" i="23"/>
  <c r="BC52" i="23"/>
  <c r="AW52" i="23" s="1"/>
  <c r="BA103" i="23"/>
  <c r="BB85" i="23"/>
  <c r="BC85" i="23"/>
  <c r="AW85" i="23" s="1"/>
  <c r="BA25" i="23"/>
  <c r="AT25" i="23"/>
  <c r="AV25" i="23" s="1"/>
  <c r="AZ25" i="23" s="1"/>
  <c r="BA94" i="23"/>
  <c r="BB48" i="23"/>
  <c r="BC48" i="23"/>
  <c r="AW48" i="23" s="1"/>
  <c r="BA23" i="23"/>
  <c r="AT23" i="23"/>
  <c r="AV23" i="23" s="1"/>
  <c r="AZ23" i="23" s="1"/>
  <c r="BA58" i="23"/>
  <c r="AT58" i="23"/>
  <c r="AV58" i="23" s="1"/>
  <c r="AZ58" i="23" s="1"/>
  <c r="BA66" i="23"/>
  <c r="BB106" i="23"/>
  <c r="BC106" i="23"/>
  <c r="AW106" i="23" s="1"/>
  <c r="BA19" i="23"/>
  <c r="BA96" i="23"/>
  <c r="BA48" i="23"/>
  <c r="AT48" i="23"/>
  <c r="AV48" i="23" s="1"/>
  <c r="AZ48" i="23" s="1"/>
  <c r="B114" i="2"/>
  <c r="E39" i="1" s="1"/>
  <c r="U82" i="21"/>
  <c r="AK97" i="21"/>
  <c r="BD97" i="21" s="1"/>
  <c r="AX97" i="21" s="1"/>
  <c r="U11" i="21"/>
  <c r="AK83" i="21"/>
  <c r="BD83" i="21" s="1"/>
  <c r="AX83" i="21" s="1"/>
  <c r="U22" i="21"/>
  <c r="AK35" i="21"/>
  <c r="BD35" i="21" s="1"/>
  <c r="AX35" i="21" s="1"/>
  <c r="AK47" i="21"/>
  <c r="BD47" i="21" s="1"/>
  <c r="AX47" i="21" s="1"/>
  <c r="AI67" i="21"/>
  <c r="AK67" i="21" s="1"/>
  <c r="BD67" i="21" s="1"/>
  <c r="AX67" i="21" s="1"/>
  <c r="AK81" i="21"/>
  <c r="BD81" i="21" s="1"/>
  <c r="AX81" i="21" s="1"/>
  <c r="AK82" i="21"/>
  <c r="BD82" i="21" s="1"/>
  <c r="AX82" i="21" s="1"/>
  <c r="AK106" i="21"/>
  <c r="BD106" i="21" s="1"/>
  <c r="AX106" i="21" s="1"/>
  <c r="AT58" i="21"/>
  <c r="AK105" i="21"/>
  <c r="BD105" i="21" s="1"/>
  <c r="AX105" i="21" s="1"/>
  <c r="AK109" i="21"/>
  <c r="BD109" i="21" s="1"/>
  <c r="AX109" i="21" s="1"/>
  <c r="AK93" i="21"/>
  <c r="BD93" i="21" s="1"/>
  <c r="AX93" i="21" s="1"/>
  <c r="AK45" i="21"/>
  <c r="BD45" i="21" s="1"/>
  <c r="AX45" i="21" s="1"/>
  <c r="AK90" i="21"/>
  <c r="BD90" i="21" s="1"/>
  <c r="AX90" i="21" s="1"/>
  <c r="AK101" i="21"/>
  <c r="BD101" i="21" s="1"/>
  <c r="AX101" i="21" s="1"/>
  <c r="AK43" i="21"/>
  <c r="BD43" i="21" s="1"/>
  <c r="AX43" i="21" s="1"/>
  <c r="AK62" i="21"/>
  <c r="BD62" i="21" s="1"/>
  <c r="AX62" i="21" s="1"/>
  <c r="U68" i="21"/>
  <c r="AT74" i="21"/>
  <c r="AT66" i="21"/>
  <c r="U9" i="21"/>
  <c r="U89" i="21"/>
  <c r="U14" i="21"/>
  <c r="U63" i="21"/>
  <c r="AT70" i="21"/>
  <c r="AK89" i="21"/>
  <c r="BD89" i="21" s="1"/>
  <c r="AX89" i="21" s="1"/>
  <c r="U72" i="21"/>
  <c r="U53" i="21"/>
  <c r="AK63" i="21"/>
  <c r="BD63" i="21" s="1"/>
  <c r="AX63" i="21" s="1"/>
  <c r="U44" i="21"/>
  <c r="AK56" i="21"/>
  <c r="BD56" i="21" s="1"/>
  <c r="AX56" i="21" s="1"/>
  <c r="U59" i="21"/>
  <c r="AK99" i="21"/>
  <c r="BD99" i="21" s="1"/>
  <c r="AX99" i="21" s="1"/>
  <c r="U102" i="21"/>
  <c r="AI59" i="21"/>
  <c r="AK59" i="21" s="1"/>
  <c r="BD59" i="21" s="1"/>
  <c r="AX59" i="21" s="1"/>
  <c r="AK55" i="21"/>
  <c r="BD55" i="21" s="1"/>
  <c r="AX55" i="21" s="1"/>
  <c r="AK76" i="21"/>
  <c r="BD76" i="21" s="1"/>
  <c r="AX76" i="21" s="1"/>
  <c r="AI9" i="21"/>
  <c r="AK9" i="21" s="1"/>
  <c r="BD9" i="21" s="1"/>
  <c r="AX9" i="21" s="1"/>
  <c r="BE9" i="21"/>
  <c r="AI14" i="21"/>
  <c r="AK14" i="21" s="1"/>
  <c r="BD14" i="21" s="1"/>
  <c r="AX14" i="21" s="1"/>
  <c r="U62" i="21"/>
  <c r="U93" i="21"/>
  <c r="U76" i="21"/>
  <c r="U24" i="21"/>
  <c r="AK42" i="21"/>
  <c r="BD42" i="21" s="1"/>
  <c r="AX42" i="21" s="1"/>
  <c r="U97" i="21"/>
  <c r="U98" i="21"/>
  <c r="AK87" i="21"/>
  <c r="BD87" i="21" s="1"/>
  <c r="AX87" i="21" s="1"/>
  <c r="AK85" i="21"/>
  <c r="BD85" i="21" s="1"/>
  <c r="AX85" i="21" s="1"/>
  <c r="AK107" i="21"/>
  <c r="BD107" i="21" s="1"/>
  <c r="AX107" i="21" s="1"/>
  <c r="AK61" i="21"/>
  <c r="BD61" i="21" s="1"/>
  <c r="AX61" i="21" s="1"/>
  <c r="AK64" i="21"/>
  <c r="BD64" i="21" s="1"/>
  <c r="AX64" i="21" s="1"/>
  <c r="AK91" i="21"/>
  <c r="BD91" i="21" s="1"/>
  <c r="AX91" i="21" s="1"/>
  <c r="AK46" i="21"/>
  <c r="BD46" i="21" s="1"/>
  <c r="AX46" i="21" s="1"/>
  <c r="AK28" i="21"/>
  <c r="BD28" i="21" s="1"/>
  <c r="AX28" i="21" s="1"/>
  <c r="AK21" i="21"/>
  <c r="BD21" i="21" s="1"/>
  <c r="AX21" i="21" s="1"/>
  <c r="AK24" i="21"/>
  <c r="BD24" i="21" s="1"/>
  <c r="AX24" i="21" s="1"/>
  <c r="AK32" i="21"/>
  <c r="BD32" i="21" s="1"/>
  <c r="AX32" i="21" s="1"/>
  <c r="AK12" i="21"/>
  <c r="BD12" i="21" s="1"/>
  <c r="AX12" i="21" s="1"/>
  <c r="AK16" i="21"/>
  <c r="BD16" i="21" s="1"/>
  <c r="AX16" i="21" s="1"/>
  <c r="AK25" i="21"/>
  <c r="BD25" i="21" s="1"/>
  <c r="AX25" i="21" s="1"/>
  <c r="AK34" i="21"/>
  <c r="BD34" i="21" s="1"/>
  <c r="AX34" i="21" s="1"/>
  <c r="AK11" i="21"/>
  <c r="BD11" i="21" s="1"/>
  <c r="AX11" i="21" s="1"/>
  <c r="AK15" i="21"/>
  <c r="BD15" i="21" s="1"/>
  <c r="AX15" i="21" s="1"/>
  <c r="AK26" i="21"/>
  <c r="BD26" i="21" s="1"/>
  <c r="AX26" i="21" s="1"/>
  <c r="AK20" i="21"/>
  <c r="BD20" i="21" s="1"/>
  <c r="AX20" i="21" s="1"/>
  <c r="AK29" i="21"/>
  <c r="BD29" i="21" s="1"/>
  <c r="AX29" i="21" s="1"/>
  <c r="AT94" i="21"/>
  <c r="AK27" i="21"/>
  <c r="BD27" i="21" s="1"/>
  <c r="AX27" i="21" s="1"/>
  <c r="AT84" i="21"/>
  <c r="AK10" i="21"/>
  <c r="BD10" i="21" s="1"/>
  <c r="AX10" i="21" s="1"/>
  <c r="U21" i="21"/>
  <c r="AK33" i="21"/>
  <c r="BD33" i="21" s="1"/>
  <c r="AX33" i="21" s="1"/>
  <c r="AK13" i="21"/>
  <c r="BD13" i="21" s="1"/>
  <c r="AX13" i="21" s="1"/>
  <c r="AK19" i="21"/>
  <c r="BD19" i="21" s="1"/>
  <c r="AX19" i="21" s="1"/>
  <c r="AK22" i="21"/>
  <c r="BD22" i="21" s="1"/>
  <c r="AX22" i="21" s="1"/>
  <c r="AK18" i="21"/>
  <c r="BD18" i="21" s="1"/>
  <c r="AX18" i="21" s="1"/>
  <c r="AK31" i="21"/>
  <c r="BD31" i="21" s="1"/>
  <c r="AX31" i="21" s="1"/>
  <c r="AK17" i="21"/>
  <c r="BD17" i="21" s="1"/>
  <c r="AX17" i="21" s="1"/>
  <c r="AK23" i="21"/>
  <c r="BD23" i="21" s="1"/>
  <c r="AX23" i="21" s="1"/>
  <c r="AK30" i="21"/>
  <c r="BD30" i="21" s="1"/>
  <c r="AX30" i="21" s="1"/>
  <c r="AT57" i="21"/>
  <c r="U83" i="21"/>
  <c r="U45" i="21"/>
  <c r="U49" i="21"/>
  <c r="U46" i="21"/>
  <c r="U36" i="21"/>
  <c r="U35" i="21"/>
  <c r="U38" i="21"/>
  <c r="U52" i="21"/>
  <c r="U54" i="21"/>
  <c r="U56" i="21"/>
  <c r="U43" i="21"/>
  <c r="U51" i="21"/>
  <c r="U41" i="21"/>
  <c r="U40" i="21"/>
  <c r="U42" i="21"/>
  <c r="U50" i="21"/>
  <c r="U37" i="21"/>
  <c r="U39" i="21"/>
  <c r="U48" i="21"/>
  <c r="AI41" i="21"/>
  <c r="AK41" i="21" s="1"/>
  <c r="BD41" i="21" s="1"/>
  <c r="AX41" i="21" s="1"/>
  <c r="AI71" i="21"/>
  <c r="AK71" i="21" s="1"/>
  <c r="BD71" i="21" s="1"/>
  <c r="AX71" i="21" s="1"/>
  <c r="AI95" i="21"/>
  <c r="AK95" i="21" s="1"/>
  <c r="BD95" i="21" s="1"/>
  <c r="AX95" i="21" s="1"/>
  <c r="U20" i="21"/>
  <c r="AI38" i="21"/>
  <c r="AK38" i="21" s="1"/>
  <c r="BD38" i="21" s="1"/>
  <c r="AX38" i="21" s="1"/>
  <c r="AI65" i="21"/>
  <c r="AK65" i="21" s="1"/>
  <c r="BD65" i="21" s="1"/>
  <c r="AX65" i="21" s="1"/>
  <c r="AI88" i="21"/>
  <c r="AK88" i="21" s="1"/>
  <c r="BD88" i="21" s="1"/>
  <c r="AX88" i="21" s="1"/>
  <c r="AI100" i="21"/>
  <c r="AK100" i="21" s="1"/>
  <c r="BD100" i="21" s="1"/>
  <c r="AX100" i="21" s="1"/>
  <c r="AI51" i="21"/>
  <c r="AK51" i="21" s="1"/>
  <c r="BD51" i="21" s="1"/>
  <c r="AX51" i="21" s="1"/>
  <c r="U18" i="21"/>
  <c r="AI60" i="21"/>
  <c r="AK60" i="21" s="1"/>
  <c r="BD60" i="21" s="1"/>
  <c r="AX60" i="21" s="1"/>
  <c r="AI75" i="21"/>
  <c r="AK75" i="21" s="1"/>
  <c r="BD75" i="21" s="1"/>
  <c r="AX75" i="21" s="1"/>
  <c r="U71" i="21"/>
  <c r="U99" i="21"/>
  <c r="U17" i="21"/>
  <c r="U108" i="21"/>
  <c r="U92" i="21"/>
  <c r="U32" i="21"/>
  <c r="U34" i="21"/>
  <c r="AI37" i="21"/>
  <c r="AK37" i="21" s="1"/>
  <c r="BD37" i="21" s="1"/>
  <c r="AX37" i="21" s="1"/>
  <c r="AI52" i="21"/>
  <c r="AK52" i="21" s="1"/>
  <c r="BD52" i="21" s="1"/>
  <c r="AX52" i="21" s="1"/>
  <c r="AI39" i="21"/>
  <c r="AK39" i="21" s="1"/>
  <c r="BD39" i="21" s="1"/>
  <c r="AX39" i="21" s="1"/>
  <c r="AI54" i="21"/>
  <c r="AK54" i="21" s="1"/>
  <c r="BD54" i="21" s="1"/>
  <c r="AX54" i="21" s="1"/>
  <c r="AI80" i="21"/>
  <c r="AK80" i="21" s="1"/>
  <c r="BD80" i="21" s="1"/>
  <c r="AX80" i="21" s="1"/>
  <c r="BA66" i="21"/>
  <c r="U95" i="21"/>
  <c r="U19" i="21"/>
  <c r="U23" i="21"/>
  <c r="U65" i="21"/>
  <c r="U77" i="21"/>
  <c r="U80" i="21"/>
  <c r="U79" i="21"/>
  <c r="U104" i="21"/>
  <c r="U12" i="21"/>
  <c r="U31" i="21"/>
  <c r="AI103" i="21"/>
  <c r="AK103" i="21" s="1"/>
  <c r="BD103" i="21" s="1"/>
  <c r="AX103" i="21" s="1"/>
  <c r="AI77" i="21"/>
  <c r="AK77" i="21" s="1"/>
  <c r="BD77" i="21" s="1"/>
  <c r="AX77" i="21" s="1"/>
  <c r="AI49" i="21"/>
  <c r="AK49" i="21" s="1"/>
  <c r="BD49" i="21" s="1"/>
  <c r="AX49" i="21" s="1"/>
  <c r="AI73" i="21"/>
  <c r="AK73" i="21" s="1"/>
  <c r="BD73" i="21" s="1"/>
  <c r="AX73" i="21" s="1"/>
  <c r="AI108" i="21"/>
  <c r="AK108" i="21" s="1"/>
  <c r="BD108" i="21" s="1"/>
  <c r="AX108" i="21" s="1"/>
  <c r="AI92" i="21"/>
  <c r="AK92" i="21" s="1"/>
  <c r="BD92" i="21" s="1"/>
  <c r="AX92" i="21" s="1"/>
  <c r="U25" i="21"/>
  <c r="AI69" i="21"/>
  <c r="AK69" i="21" s="1"/>
  <c r="BD69" i="21" s="1"/>
  <c r="AX69" i="21" s="1"/>
  <c r="AI50" i="21"/>
  <c r="AK50" i="21" s="1"/>
  <c r="BD50" i="21" s="1"/>
  <c r="AX50" i="21" s="1"/>
  <c r="U107" i="21"/>
  <c r="U91" i="21"/>
  <c r="U61" i="21"/>
  <c r="U87" i="21"/>
  <c r="U27" i="21"/>
  <c r="U88" i="21"/>
  <c r="U73" i="21"/>
  <c r="U100" i="21"/>
  <c r="U64" i="21"/>
  <c r="U85" i="21"/>
  <c r="AI78" i="21"/>
  <c r="AK78" i="21" s="1"/>
  <c r="BD78" i="21" s="1"/>
  <c r="AX78" i="21" s="1"/>
  <c r="U29" i="21"/>
  <c r="U28" i="21"/>
  <c r="AI79" i="21"/>
  <c r="AK79" i="21" s="1"/>
  <c r="BD79" i="21" s="1"/>
  <c r="AX79" i="21" s="1"/>
  <c r="AI104" i="21"/>
  <c r="AK104" i="21" s="1"/>
  <c r="BD104" i="21" s="1"/>
  <c r="AX104" i="21" s="1"/>
  <c r="AI96" i="21"/>
  <c r="AK96" i="21" s="1"/>
  <c r="BD96" i="21" s="1"/>
  <c r="AX96" i="21" s="1"/>
  <c r="AI48" i="21"/>
  <c r="AK48" i="21" s="1"/>
  <c r="BD48" i="21" s="1"/>
  <c r="AX48" i="21" s="1"/>
  <c r="U26" i="21"/>
  <c r="AI40" i="21"/>
  <c r="AK40" i="21" s="1"/>
  <c r="BD40" i="21" s="1"/>
  <c r="AX40" i="21" s="1"/>
  <c r="AI86" i="21"/>
  <c r="AK86" i="21" s="1"/>
  <c r="BD86" i="21" s="1"/>
  <c r="AX86" i="21" s="1"/>
  <c r="U78" i="21"/>
  <c r="U103" i="21"/>
  <c r="U13" i="21"/>
  <c r="AI36" i="21"/>
  <c r="AK36" i="21" s="1"/>
  <c r="BD36" i="21" s="1"/>
  <c r="AX36" i="21" s="1"/>
  <c r="U96" i="21"/>
  <c r="U16" i="21"/>
  <c r="U33" i="21"/>
  <c r="U60" i="21"/>
  <c r="U69" i="21"/>
  <c r="U75" i="21"/>
  <c r="U86" i="21"/>
  <c r="E22" i="1"/>
  <c r="E18" i="1"/>
  <c r="F4" i="17"/>
  <c r="E23" i="1"/>
  <c r="B72" i="1"/>
  <c r="E34" i="1"/>
  <c r="B125" i="2"/>
  <c r="L126" i="2" s="1"/>
  <c r="L127" i="2"/>
  <c r="K126" i="2"/>
  <c r="E45" i="1"/>
  <c r="B199" i="2"/>
  <c r="N4" i="17" s="1"/>
  <c r="F7" i="17"/>
  <c r="B217" i="2"/>
  <c r="H120" i="2"/>
  <c r="D48" i="16" l="1"/>
  <c r="BC72" i="23"/>
  <c r="AW72" i="23" s="1"/>
  <c r="AT63" i="23"/>
  <c r="AV63" i="23" s="1"/>
  <c r="AZ63" i="23" s="1"/>
  <c r="AT72" i="23"/>
  <c r="AV72" i="23" s="1"/>
  <c r="AZ72" i="23" s="1"/>
  <c r="BB63" i="23"/>
  <c r="AT42" i="21"/>
  <c r="AV42" i="21" s="1"/>
  <c r="AZ42" i="21" s="1"/>
  <c r="AT100" i="21"/>
  <c r="AV100" i="21" s="1"/>
  <c r="AZ100" i="21" s="1"/>
  <c r="AT34" i="21"/>
  <c r="AV34" i="21" s="1"/>
  <c r="AZ34" i="21" s="1"/>
  <c r="AT17" i="21"/>
  <c r="AV17" i="21" s="1"/>
  <c r="AZ17" i="21" s="1"/>
  <c r="AT35" i="21"/>
  <c r="AV35" i="21" s="1"/>
  <c r="AZ35" i="21" s="1"/>
  <c r="AT25" i="21"/>
  <c r="AV25" i="21" s="1"/>
  <c r="AZ25" i="21" s="1"/>
  <c r="AT106" i="21"/>
  <c r="AV106" i="21" s="1"/>
  <c r="AZ106" i="21" s="1"/>
  <c r="AT56" i="21"/>
  <c r="AV56" i="21" s="1"/>
  <c r="AZ56" i="21" s="1"/>
  <c r="AT75" i="21"/>
  <c r="AV75" i="21" s="1"/>
  <c r="AZ75" i="21" s="1"/>
  <c r="AT26" i="21"/>
  <c r="AV26" i="21" s="1"/>
  <c r="AZ26" i="21" s="1"/>
  <c r="AT85" i="21"/>
  <c r="AV85" i="21" s="1"/>
  <c r="AZ85" i="21" s="1"/>
  <c r="AT32" i="21"/>
  <c r="AV32" i="21" s="1"/>
  <c r="AZ32" i="21" s="1"/>
  <c r="AT99" i="21"/>
  <c r="AV99" i="21" s="1"/>
  <c r="AZ99" i="21" s="1"/>
  <c r="AT41" i="21"/>
  <c r="AV41" i="21" s="1"/>
  <c r="AZ41" i="21" s="1"/>
  <c r="AT83" i="21"/>
  <c r="AV83" i="21" s="1"/>
  <c r="AZ83" i="21" s="1"/>
  <c r="AT44" i="21"/>
  <c r="AV44" i="21" s="1"/>
  <c r="AZ44" i="21" s="1"/>
  <c r="AT103" i="21"/>
  <c r="AV103" i="21" s="1"/>
  <c r="AZ103" i="21" s="1"/>
  <c r="AT98" i="21"/>
  <c r="AV98" i="21" s="1"/>
  <c r="AZ98" i="21" s="1"/>
  <c r="AT96" i="21"/>
  <c r="AV96" i="21" s="1"/>
  <c r="AZ96" i="21" s="1"/>
  <c r="AT27" i="21"/>
  <c r="AV27" i="21" s="1"/>
  <c r="AZ27" i="21" s="1"/>
  <c r="AT50" i="21"/>
  <c r="AV50" i="21" s="1"/>
  <c r="AZ50" i="21" s="1"/>
  <c r="AT90" i="21"/>
  <c r="AV90" i="21" s="1"/>
  <c r="AZ90" i="21" s="1"/>
  <c r="AT105" i="21"/>
  <c r="AV105" i="21" s="1"/>
  <c r="AZ105" i="21" s="1"/>
  <c r="AT86" i="21"/>
  <c r="AV86" i="21" s="1"/>
  <c r="AZ86" i="21" s="1"/>
  <c r="AT33" i="21"/>
  <c r="AV33" i="21" s="1"/>
  <c r="AZ33" i="21" s="1"/>
  <c r="AT13" i="21"/>
  <c r="AV13" i="21" s="1"/>
  <c r="AZ13" i="21" s="1"/>
  <c r="AT73" i="21"/>
  <c r="AV73" i="21" s="1"/>
  <c r="AZ73" i="21" s="1"/>
  <c r="AT61" i="21"/>
  <c r="AV61" i="21" s="1"/>
  <c r="AZ61" i="21" s="1"/>
  <c r="AT31" i="21"/>
  <c r="AV31" i="21" s="1"/>
  <c r="AZ31" i="21" s="1"/>
  <c r="AT80" i="21"/>
  <c r="AV80" i="21" s="1"/>
  <c r="AZ80" i="21" s="1"/>
  <c r="AT19" i="21"/>
  <c r="AV19" i="21" s="1"/>
  <c r="AT39" i="21"/>
  <c r="AV39" i="21" s="1"/>
  <c r="AZ39" i="21" s="1"/>
  <c r="AT45" i="21"/>
  <c r="AV45" i="21" s="1"/>
  <c r="AZ45" i="21" s="1"/>
  <c r="AT24" i="21"/>
  <c r="AV24" i="21" s="1"/>
  <c r="AZ24" i="21" s="1"/>
  <c r="AT81" i="21"/>
  <c r="AV81" i="21" s="1"/>
  <c r="AZ81" i="21" s="1"/>
  <c r="AT9" i="21"/>
  <c r="AV9" i="21" s="1"/>
  <c r="AZ9" i="21" s="1"/>
  <c r="AT55" i="21"/>
  <c r="AV55" i="21" s="1"/>
  <c r="AZ55" i="21" s="1"/>
  <c r="AT101" i="21"/>
  <c r="AV101" i="21" s="1"/>
  <c r="AZ101" i="21" s="1"/>
  <c r="AT109" i="21"/>
  <c r="AV109" i="21" s="1"/>
  <c r="AZ109" i="21" s="1"/>
  <c r="AT47" i="21"/>
  <c r="AV47" i="21" s="1"/>
  <c r="AZ47" i="21" s="1"/>
  <c r="AT30" i="21"/>
  <c r="AV30" i="21" s="1"/>
  <c r="AZ30" i="21" s="1"/>
  <c r="AT102" i="21"/>
  <c r="AV102" i="21" s="1"/>
  <c r="AZ102" i="21" s="1"/>
  <c r="AT72" i="21"/>
  <c r="AV72" i="21" s="1"/>
  <c r="AZ72" i="21" s="1"/>
  <c r="AT15" i="21"/>
  <c r="AV15" i="21" s="1"/>
  <c r="AZ15" i="21" s="1"/>
  <c r="AT88" i="21"/>
  <c r="AV88" i="21" s="1"/>
  <c r="AZ88" i="21" s="1"/>
  <c r="AT12" i="21"/>
  <c r="AV12" i="21" s="1"/>
  <c r="AZ12" i="21" s="1"/>
  <c r="AT95" i="21"/>
  <c r="AV95" i="21" s="1"/>
  <c r="AZ95" i="21" s="1"/>
  <c r="AT37" i="21"/>
  <c r="AV37" i="21" s="1"/>
  <c r="AZ37" i="21" s="1"/>
  <c r="AT54" i="21"/>
  <c r="AV54" i="21" s="1"/>
  <c r="AZ54" i="21" s="1"/>
  <c r="AT76" i="21"/>
  <c r="AV76" i="21" s="1"/>
  <c r="AZ76" i="21" s="1"/>
  <c r="AT63" i="21"/>
  <c r="AV63" i="21" s="1"/>
  <c r="AZ63" i="21" s="1"/>
  <c r="AT22" i="21"/>
  <c r="AV22" i="21" s="1"/>
  <c r="AZ22" i="21" s="1"/>
  <c r="AT69" i="21"/>
  <c r="AV69" i="21" s="1"/>
  <c r="AZ69" i="21" s="1"/>
  <c r="AT78" i="21"/>
  <c r="AV78" i="21" s="1"/>
  <c r="AZ78" i="21" s="1"/>
  <c r="AT28" i="21"/>
  <c r="AV28" i="21" s="1"/>
  <c r="AZ28" i="21" s="1"/>
  <c r="AT64" i="21"/>
  <c r="AV64" i="21" s="1"/>
  <c r="AZ64" i="21" s="1"/>
  <c r="AT107" i="21"/>
  <c r="AV107" i="21" s="1"/>
  <c r="AZ107" i="21" s="1"/>
  <c r="AT104" i="21"/>
  <c r="AV104" i="21" s="1"/>
  <c r="AZ104" i="21" s="1"/>
  <c r="AT65" i="21"/>
  <c r="AV65" i="21" s="1"/>
  <c r="AZ65" i="21" s="1"/>
  <c r="AT92" i="21"/>
  <c r="AV92" i="21" s="1"/>
  <c r="AZ92" i="21" s="1"/>
  <c r="AT71" i="21"/>
  <c r="AV71" i="21" s="1"/>
  <c r="AZ71" i="21" s="1"/>
  <c r="AT51" i="21"/>
  <c r="AV51" i="21" s="1"/>
  <c r="AZ51" i="21" s="1"/>
  <c r="AT52" i="21"/>
  <c r="AV52" i="21" s="1"/>
  <c r="AZ52" i="21" s="1"/>
  <c r="AT46" i="21"/>
  <c r="AV46" i="21" s="1"/>
  <c r="AZ46" i="21" s="1"/>
  <c r="AT97" i="21"/>
  <c r="AV97" i="21" s="1"/>
  <c r="AZ97" i="21" s="1"/>
  <c r="AT93" i="21"/>
  <c r="AV93" i="21" s="1"/>
  <c r="AZ93" i="21" s="1"/>
  <c r="AT14" i="21"/>
  <c r="AV14" i="21" s="1"/>
  <c r="AZ14" i="21" s="1"/>
  <c r="AT67" i="21"/>
  <c r="AV67" i="21" s="1"/>
  <c r="AZ67" i="21" s="1"/>
  <c r="AT60" i="21"/>
  <c r="AV60" i="21" s="1"/>
  <c r="AZ60" i="21" s="1"/>
  <c r="AT29" i="21"/>
  <c r="AV29" i="21" s="1"/>
  <c r="AZ29" i="21" s="1"/>
  <c r="AT87" i="21"/>
  <c r="AV87" i="21" s="1"/>
  <c r="AZ87" i="21" s="1"/>
  <c r="AT79" i="21"/>
  <c r="AV79" i="21" s="1"/>
  <c r="AZ79" i="21" s="1"/>
  <c r="AT23" i="21"/>
  <c r="AT108" i="21"/>
  <c r="AV108" i="21" s="1"/>
  <c r="AZ108" i="21" s="1"/>
  <c r="AT20" i="21"/>
  <c r="AV20" i="21" s="1"/>
  <c r="AZ20" i="21" s="1"/>
  <c r="AT48" i="21"/>
  <c r="AV48" i="21" s="1"/>
  <c r="AZ48" i="21" s="1"/>
  <c r="AT43" i="21"/>
  <c r="AV43" i="21" s="1"/>
  <c r="AZ43" i="21" s="1"/>
  <c r="AT38" i="21"/>
  <c r="AV38" i="21" s="1"/>
  <c r="AZ38" i="21" s="1"/>
  <c r="AT49" i="21"/>
  <c r="AV49" i="21" s="1"/>
  <c r="AZ49" i="21" s="1"/>
  <c r="AT21" i="21"/>
  <c r="AV21" i="21" s="1"/>
  <c r="AZ21" i="21" s="1"/>
  <c r="AT62" i="21"/>
  <c r="AV62" i="21" s="1"/>
  <c r="AZ62" i="21" s="1"/>
  <c r="AT59" i="21"/>
  <c r="AV59" i="21" s="1"/>
  <c r="AT53" i="21"/>
  <c r="AV53" i="21" s="1"/>
  <c r="AZ53" i="21" s="1"/>
  <c r="AT89" i="21"/>
  <c r="AV89" i="21" s="1"/>
  <c r="AZ89" i="21" s="1"/>
  <c r="AT11" i="21"/>
  <c r="AV11" i="21" s="1"/>
  <c r="AZ11" i="21" s="1"/>
  <c r="AT40" i="21"/>
  <c r="AV40" i="21" s="1"/>
  <c r="AZ40" i="21" s="1"/>
  <c r="AT16" i="21"/>
  <c r="AV16" i="21" s="1"/>
  <c r="AZ16" i="21" s="1"/>
  <c r="AT91" i="21"/>
  <c r="AV91" i="21" s="1"/>
  <c r="AZ91" i="21" s="1"/>
  <c r="AT77" i="21"/>
  <c r="AV77" i="21" s="1"/>
  <c r="AZ77" i="21" s="1"/>
  <c r="AT18" i="21"/>
  <c r="AV18" i="21" s="1"/>
  <c r="AZ18" i="21" s="1"/>
  <c r="AT36" i="21"/>
  <c r="AV36" i="21" s="1"/>
  <c r="AZ36" i="21" s="1"/>
  <c r="AT68" i="21"/>
  <c r="AV68" i="21" s="1"/>
  <c r="AZ68" i="21" s="1"/>
  <c r="AT82" i="21"/>
  <c r="AV82" i="21" s="1"/>
  <c r="AZ82" i="21" s="1"/>
  <c r="AT35" i="23"/>
  <c r="AV35" i="23" s="1"/>
  <c r="AZ35" i="23" s="1"/>
  <c r="AT44" i="23"/>
  <c r="AV44" i="23" s="1"/>
  <c r="AZ44" i="23" s="1"/>
  <c r="BB76" i="23"/>
  <c r="F73" i="1"/>
  <c r="C5" i="25"/>
  <c r="F74" i="1"/>
  <c r="C4" i="25"/>
  <c r="F5" i="17"/>
  <c r="C632" i="25"/>
  <c r="D612" i="25"/>
  <c r="D610" i="25"/>
  <c r="A622" i="25"/>
  <c r="C612" i="25"/>
  <c r="C610" i="25"/>
  <c r="C613" i="25"/>
  <c r="C611" i="25"/>
  <c r="C609" i="25"/>
  <c r="C607" i="25"/>
  <c r="D613" i="25"/>
  <c r="C606" i="25"/>
  <c r="C604" i="25"/>
  <c r="C602" i="25"/>
  <c r="C600" i="25"/>
  <c r="C598" i="25"/>
  <c r="D605" i="25"/>
  <c r="D603" i="25"/>
  <c r="D601" i="25"/>
  <c r="D599" i="25"/>
  <c r="D597" i="25"/>
  <c r="D611" i="25"/>
  <c r="D609" i="25"/>
  <c r="C608" i="25"/>
  <c r="D607" i="25"/>
  <c r="D606" i="25"/>
  <c r="D604" i="25"/>
  <c r="D602" i="25"/>
  <c r="D600" i="25"/>
  <c r="D598" i="25"/>
  <c r="D596" i="25"/>
  <c r="D594" i="25"/>
  <c r="C599" i="25"/>
  <c r="C596" i="25"/>
  <c r="C595" i="25"/>
  <c r="D593" i="25"/>
  <c r="D591" i="25"/>
  <c r="D589" i="25"/>
  <c r="D587" i="25"/>
  <c r="D585" i="25"/>
  <c r="C601" i="25"/>
  <c r="C594" i="25"/>
  <c r="C593" i="25"/>
  <c r="C591" i="25"/>
  <c r="C589" i="25"/>
  <c r="C587" i="25"/>
  <c r="C585" i="25"/>
  <c r="D608" i="25"/>
  <c r="C605" i="25"/>
  <c r="C597" i="25"/>
  <c r="D595" i="25"/>
  <c r="C592" i="25"/>
  <c r="C590" i="25"/>
  <c r="C588" i="25"/>
  <c r="C586" i="25"/>
  <c r="C584" i="25"/>
  <c r="C582" i="25"/>
  <c r="C580" i="25"/>
  <c r="C578" i="25"/>
  <c r="D588" i="25"/>
  <c r="D584" i="25"/>
  <c r="D583" i="25"/>
  <c r="C576" i="25"/>
  <c r="C574" i="25"/>
  <c r="C572" i="25"/>
  <c r="C570" i="25"/>
  <c r="C568" i="25"/>
  <c r="C566" i="25"/>
  <c r="C564" i="25"/>
  <c r="C562" i="25"/>
  <c r="C560" i="25"/>
  <c r="C558" i="25"/>
  <c r="D590" i="25"/>
  <c r="C583" i="25"/>
  <c r="D582" i="25"/>
  <c r="D581" i="25"/>
  <c r="D577" i="25"/>
  <c r="D575" i="25"/>
  <c r="D573" i="25"/>
  <c r="D571" i="25"/>
  <c r="D569" i="25"/>
  <c r="D567" i="25"/>
  <c r="D565" i="25"/>
  <c r="C603" i="25"/>
  <c r="D586" i="25"/>
  <c r="C579" i="25"/>
  <c r="D578" i="25"/>
  <c r="D576" i="25"/>
  <c r="D574" i="25"/>
  <c r="D572" i="25"/>
  <c r="D570" i="25"/>
  <c r="D568" i="25"/>
  <c r="D566" i="25"/>
  <c r="D592" i="25"/>
  <c r="C571" i="25"/>
  <c r="C563" i="25"/>
  <c r="D562" i="25"/>
  <c r="D561" i="25"/>
  <c r="C555" i="25"/>
  <c r="C553" i="25"/>
  <c r="C551" i="25"/>
  <c r="C549" i="25"/>
  <c r="C547" i="25"/>
  <c r="C545" i="25"/>
  <c r="C543" i="25"/>
  <c r="C541" i="25"/>
  <c r="C539" i="25"/>
  <c r="C537" i="25"/>
  <c r="C535" i="25"/>
  <c r="C533" i="25"/>
  <c r="C531" i="25"/>
  <c r="C529" i="25"/>
  <c r="C527" i="25"/>
  <c r="C581" i="25"/>
  <c r="D580" i="25"/>
  <c r="C573" i="25"/>
  <c r="C565" i="25"/>
  <c r="C561" i="25"/>
  <c r="D560" i="25"/>
  <c r="D559" i="25"/>
  <c r="D556" i="25"/>
  <c r="D554" i="25"/>
  <c r="D552" i="25"/>
  <c r="D550" i="25"/>
  <c r="D548" i="25"/>
  <c r="D546" i="25"/>
  <c r="D544" i="25"/>
  <c r="D542" i="25"/>
  <c r="D540" i="25"/>
  <c r="C577" i="25"/>
  <c r="C569" i="25"/>
  <c r="D564" i="25"/>
  <c r="D563" i="25"/>
  <c r="C557" i="25"/>
  <c r="D555" i="25"/>
  <c r="D553" i="25"/>
  <c r="D551" i="25"/>
  <c r="D549" i="25"/>
  <c r="D547" i="25"/>
  <c r="D545" i="25"/>
  <c r="D543" i="25"/>
  <c r="D541" i="25"/>
  <c r="C559" i="25"/>
  <c r="D558" i="25"/>
  <c r="C552" i="25"/>
  <c r="C544" i="25"/>
  <c r="D539" i="25"/>
  <c r="C534" i="25"/>
  <c r="D533" i="25"/>
  <c r="D532" i="25"/>
  <c r="C526" i="25"/>
  <c r="D525" i="25"/>
  <c r="D557" i="25"/>
  <c r="C554" i="25"/>
  <c r="C546" i="25"/>
  <c r="D538" i="25"/>
  <c r="C532" i="25"/>
  <c r="D531" i="25"/>
  <c r="D530" i="25"/>
  <c r="C525" i="25"/>
  <c r="D579" i="25"/>
  <c r="C575" i="25"/>
  <c r="C550" i="25"/>
  <c r="C542" i="25"/>
  <c r="C536" i="25"/>
  <c r="D535" i="25"/>
  <c r="D534" i="25"/>
  <c r="C528" i="25"/>
  <c r="D527" i="25"/>
  <c r="D526" i="25"/>
  <c r="C524" i="25"/>
  <c r="C522" i="25"/>
  <c r="C520" i="25"/>
  <c r="C518" i="25"/>
  <c r="C516" i="25"/>
  <c r="C514" i="25"/>
  <c r="C512" i="25"/>
  <c r="C567" i="25"/>
  <c r="C521" i="25"/>
  <c r="D520" i="25"/>
  <c r="D519" i="25"/>
  <c r="C513" i="25"/>
  <c r="D512" i="25"/>
  <c r="C511" i="25"/>
  <c r="C509" i="25"/>
  <c r="C507" i="25"/>
  <c r="C505" i="25"/>
  <c r="C503" i="25"/>
  <c r="C501" i="25"/>
  <c r="C499" i="25"/>
  <c r="C497" i="25"/>
  <c r="C495" i="25"/>
  <c r="C493" i="25"/>
  <c r="C491" i="25"/>
  <c r="C489" i="25"/>
  <c r="C487" i="25"/>
  <c r="C485" i="25"/>
  <c r="C483" i="25"/>
  <c r="C481" i="25"/>
  <c r="C479" i="25"/>
  <c r="C477" i="25"/>
  <c r="C475" i="25"/>
  <c r="C473" i="25"/>
  <c r="C471" i="25"/>
  <c r="C469" i="25"/>
  <c r="C467" i="25"/>
  <c r="C465" i="25"/>
  <c r="C540" i="25"/>
  <c r="C538" i="25"/>
  <c r="D537" i="25"/>
  <c r="C519" i="25"/>
  <c r="D518" i="25"/>
  <c r="D517" i="25"/>
  <c r="D510" i="25"/>
  <c r="D508" i="25"/>
  <c r="D506" i="25"/>
  <c r="D504" i="25"/>
  <c r="D502" i="25"/>
  <c r="D500" i="25"/>
  <c r="D498" i="25"/>
  <c r="D496" i="25"/>
  <c r="D494" i="25"/>
  <c r="D492" i="25"/>
  <c r="D490" i="25"/>
  <c r="D488" i="25"/>
  <c r="D486" i="25"/>
  <c r="D484" i="25"/>
  <c r="C556" i="25"/>
  <c r="D528" i="25"/>
  <c r="C523" i="25"/>
  <c r="D522" i="25"/>
  <c r="D521" i="25"/>
  <c r="C515" i="25"/>
  <c r="D514" i="25"/>
  <c r="D513" i="25"/>
  <c r="D511" i="25"/>
  <c r="D509" i="25"/>
  <c r="D507" i="25"/>
  <c r="D505" i="25"/>
  <c r="D503" i="25"/>
  <c r="D501" i="25"/>
  <c r="D499" i="25"/>
  <c r="D497" i="25"/>
  <c r="D495" i="25"/>
  <c r="D493" i="25"/>
  <c r="D491" i="25"/>
  <c r="D489" i="25"/>
  <c r="D487" i="25"/>
  <c r="D485" i="25"/>
  <c r="C548" i="25"/>
  <c r="C504" i="25"/>
  <c r="C496" i="25"/>
  <c r="C488" i="25"/>
  <c r="D483" i="25"/>
  <c r="C478" i="25"/>
  <c r="D477" i="25"/>
  <c r="D476" i="25"/>
  <c r="C470" i="25"/>
  <c r="D469" i="25"/>
  <c r="D468" i="25"/>
  <c r="D464" i="25"/>
  <c r="D462" i="25"/>
  <c r="D460" i="25"/>
  <c r="D458" i="25"/>
  <c r="D456" i="25"/>
  <c r="D454" i="25"/>
  <c r="D452" i="25"/>
  <c r="D450" i="25"/>
  <c r="D448" i="25"/>
  <c r="D446" i="25"/>
  <c r="D444" i="25"/>
  <c r="D442" i="25"/>
  <c r="D440" i="25"/>
  <c r="D438" i="25"/>
  <c r="D436" i="25"/>
  <c r="D434" i="25"/>
  <c r="D432" i="25"/>
  <c r="D430" i="25"/>
  <c r="D428" i="25"/>
  <c r="D426" i="25"/>
  <c r="D424" i="25"/>
  <c r="D422" i="25"/>
  <c r="D420" i="25"/>
  <c r="D418" i="25"/>
  <c r="D416" i="25"/>
  <c r="D414" i="25"/>
  <c r="D412" i="25"/>
  <c r="D410" i="25"/>
  <c r="D408" i="25"/>
  <c r="D406" i="25"/>
  <c r="D404" i="25"/>
  <c r="D402" i="25"/>
  <c r="D536" i="25"/>
  <c r="C530" i="25"/>
  <c r="D524" i="25"/>
  <c r="D523" i="25"/>
  <c r="C517" i="25"/>
  <c r="D516" i="25"/>
  <c r="C506" i="25"/>
  <c r="C498" i="25"/>
  <c r="C490" i="25"/>
  <c r="D482" i="25"/>
  <c r="C476" i="25"/>
  <c r="D475" i="25"/>
  <c r="D474" i="25"/>
  <c r="C468" i="25"/>
  <c r="D467" i="25"/>
  <c r="D466" i="25"/>
  <c r="C464" i="25"/>
  <c r="C462" i="25"/>
  <c r="C460" i="25"/>
  <c r="C458" i="25"/>
  <c r="C456" i="25"/>
  <c r="C454" i="25"/>
  <c r="C452" i="25"/>
  <c r="C450" i="25"/>
  <c r="C448" i="25"/>
  <c r="C446" i="25"/>
  <c r="C444" i="25"/>
  <c r="C442" i="25"/>
  <c r="C440" i="25"/>
  <c r="C438" i="25"/>
  <c r="C436" i="25"/>
  <c r="C434" i="25"/>
  <c r="C432" i="25"/>
  <c r="C430" i="25"/>
  <c r="C428" i="25"/>
  <c r="D529" i="25"/>
  <c r="C510" i="25"/>
  <c r="C502" i="25"/>
  <c r="C494" i="25"/>
  <c r="C486" i="25"/>
  <c r="C480" i="25"/>
  <c r="D479" i="25"/>
  <c r="D478" i="25"/>
  <c r="C472" i="25"/>
  <c r="D471" i="25"/>
  <c r="D470" i="25"/>
  <c r="C463" i="25"/>
  <c r="C461" i="25"/>
  <c r="C459" i="25"/>
  <c r="C457" i="25"/>
  <c r="C455" i="25"/>
  <c r="C453" i="25"/>
  <c r="C451" i="25"/>
  <c r="C449" i="25"/>
  <c r="C447" i="25"/>
  <c r="C445" i="25"/>
  <c r="C443" i="25"/>
  <c r="C441" i="25"/>
  <c r="C439" i="25"/>
  <c r="C437" i="25"/>
  <c r="C435" i="25"/>
  <c r="C433" i="25"/>
  <c r="C431" i="25"/>
  <c r="C429" i="25"/>
  <c r="C508" i="25"/>
  <c r="D472" i="25"/>
  <c r="C466" i="25"/>
  <c r="D465" i="25"/>
  <c r="D459" i="25"/>
  <c r="D451" i="25"/>
  <c r="D443" i="25"/>
  <c r="D435" i="25"/>
  <c r="C426" i="25"/>
  <c r="C425" i="25"/>
  <c r="D423" i="25"/>
  <c r="C418" i="25"/>
  <c r="C417" i="25"/>
  <c r="D415" i="25"/>
  <c r="C410" i="25"/>
  <c r="C409" i="25"/>
  <c r="D407" i="25"/>
  <c r="C402" i="25"/>
  <c r="C401" i="25"/>
  <c r="D515" i="25"/>
  <c r="D461" i="25"/>
  <c r="D453" i="25"/>
  <c r="D445" i="25"/>
  <c r="D437" i="25"/>
  <c r="D429" i="25"/>
  <c r="C424" i="25"/>
  <c r="C423" i="25"/>
  <c r="D421" i="25"/>
  <c r="C416" i="25"/>
  <c r="C415" i="25"/>
  <c r="D413" i="25"/>
  <c r="C408" i="25"/>
  <c r="C407" i="25"/>
  <c r="D405" i="25"/>
  <c r="C500" i="25"/>
  <c r="D480" i="25"/>
  <c r="C474" i="25"/>
  <c r="D473" i="25"/>
  <c r="D457" i="25"/>
  <c r="D449" i="25"/>
  <c r="D441" i="25"/>
  <c r="D433" i="25"/>
  <c r="C427" i="25"/>
  <c r="D425" i="25"/>
  <c r="C420" i="25"/>
  <c r="C419" i="25"/>
  <c r="D417" i="25"/>
  <c r="C412" i="25"/>
  <c r="C411" i="25"/>
  <c r="D409" i="25"/>
  <c r="C404" i="25"/>
  <c r="C403" i="25"/>
  <c r="D401" i="25"/>
  <c r="D399" i="25"/>
  <c r="D397" i="25"/>
  <c r="D395" i="25"/>
  <c r="D393" i="25"/>
  <c r="D391" i="25"/>
  <c r="D389" i="25"/>
  <c r="D387" i="25"/>
  <c r="D385" i="25"/>
  <c r="D383" i="25"/>
  <c r="D381" i="25"/>
  <c r="D379" i="25"/>
  <c r="D377" i="25"/>
  <c r="C484" i="25"/>
  <c r="D455" i="25"/>
  <c r="D419" i="25"/>
  <c r="C406" i="25"/>
  <c r="C405" i="25"/>
  <c r="C399" i="25"/>
  <c r="C398" i="25"/>
  <c r="D396" i="25"/>
  <c r="C391" i="25"/>
  <c r="C390" i="25"/>
  <c r="D388" i="25"/>
  <c r="C383" i="25"/>
  <c r="C382" i="25"/>
  <c r="D380" i="25"/>
  <c r="D375" i="25"/>
  <c r="D373" i="25"/>
  <c r="D371" i="25"/>
  <c r="D369" i="25"/>
  <c r="D367" i="25"/>
  <c r="D365" i="25"/>
  <c r="D363" i="25"/>
  <c r="D361" i="25"/>
  <c r="D359" i="25"/>
  <c r="D357" i="25"/>
  <c r="D355" i="25"/>
  <c r="D353" i="25"/>
  <c r="D351" i="25"/>
  <c r="D349" i="25"/>
  <c r="D347" i="25"/>
  <c r="D345" i="25"/>
  <c r="D343" i="25"/>
  <c r="D341" i="25"/>
  <c r="D339" i="25"/>
  <c r="D337" i="25"/>
  <c r="D335" i="25"/>
  <c r="D333" i="25"/>
  <c r="D331" i="25"/>
  <c r="D329" i="25"/>
  <c r="D327" i="25"/>
  <c r="D325" i="25"/>
  <c r="D323" i="25"/>
  <c r="D321" i="25"/>
  <c r="D319" i="25"/>
  <c r="D317" i="25"/>
  <c r="D315" i="25"/>
  <c r="D313" i="25"/>
  <c r="D311" i="25"/>
  <c r="D309" i="25"/>
  <c r="D307" i="25"/>
  <c r="D305" i="25"/>
  <c r="D303" i="25"/>
  <c r="D301" i="25"/>
  <c r="D299" i="25"/>
  <c r="D297" i="25"/>
  <c r="D295" i="25"/>
  <c r="D293" i="25"/>
  <c r="D291" i="25"/>
  <c r="D289" i="25"/>
  <c r="D287" i="25"/>
  <c r="D285" i="25"/>
  <c r="D283" i="25"/>
  <c r="D281" i="25"/>
  <c r="D279" i="25"/>
  <c r="C482" i="25"/>
  <c r="D463" i="25"/>
  <c r="D431" i="25"/>
  <c r="D411" i="25"/>
  <c r="C397" i="25"/>
  <c r="C396" i="25"/>
  <c r="D394" i="25"/>
  <c r="C389" i="25"/>
  <c r="C388" i="25"/>
  <c r="D386" i="25"/>
  <c r="C381" i="25"/>
  <c r="C380" i="25"/>
  <c r="D378" i="25"/>
  <c r="C375" i="25"/>
  <c r="C373" i="25"/>
  <c r="C371" i="25"/>
  <c r="C369" i="25"/>
  <c r="C367" i="25"/>
  <c r="C365" i="25"/>
  <c r="D481" i="25"/>
  <c r="D447" i="25"/>
  <c r="D427" i="25"/>
  <c r="C414" i="25"/>
  <c r="C413" i="25"/>
  <c r="C400" i="25"/>
  <c r="D398" i="25"/>
  <c r="C393" i="25"/>
  <c r="C392" i="25"/>
  <c r="D390" i="25"/>
  <c r="C385" i="25"/>
  <c r="C384" i="25"/>
  <c r="D382" i="25"/>
  <c r="C377" i="25"/>
  <c r="C376" i="25"/>
  <c r="C374" i="25"/>
  <c r="C372" i="25"/>
  <c r="C370" i="25"/>
  <c r="C368" i="25"/>
  <c r="C366" i="25"/>
  <c r="C364" i="25"/>
  <c r="C362" i="25"/>
  <c r="C360" i="25"/>
  <c r="C358" i="25"/>
  <c r="C356" i="25"/>
  <c r="C354" i="25"/>
  <c r="C352" i="25"/>
  <c r="C350" i="25"/>
  <c r="C348" i="25"/>
  <c r="C346" i="25"/>
  <c r="D392" i="25"/>
  <c r="C379" i="25"/>
  <c r="C378" i="25"/>
  <c r="D368" i="25"/>
  <c r="C341" i="25"/>
  <c r="C340" i="25"/>
  <c r="D338" i="25"/>
  <c r="C333" i="25"/>
  <c r="C332" i="25"/>
  <c r="D330" i="25"/>
  <c r="C325" i="25"/>
  <c r="C324" i="25"/>
  <c r="D322" i="25"/>
  <c r="C317" i="25"/>
  <c r="C316" i="25"/>
  <c r="D314" i="25"/>
  <c r="C309" i="25"/>
  <c r="C308" i="25"/>
  <c r="D306" i="25"/>
  <c r="C301" i="25"/>
  <c r="C300" i="25"/>
  <c r="D298" i="25"/>
  <c r="C293" i="25"/>
  <c r="C292" i="25"/>
  <c r="D290" i="25"/>
  <c r="C285" i="25"/>
  <c r="C284" i="25"/>
  <c r="D282" i="25"/>
  <c r="D278" i="25"/>
  <c r="D276" i="25"/>
  <c r="D274" i="25"/>
  <c r="D272" i="25"/>
  <c r="D270" i="25"/>
  <c r="D268" i="25"/>
  <c r="D266" i="25"/>
  <c r="C421" i="25"/>
  <c r="D384" i="25"/>
  <c r="D370" i="25"/>
  <c r="D364" i="25"/>
  <c r="C363" i="25"/>
  <c r="D360" i="25"/>
  <c r="C359" i="25"/>
  <c r="D356" i="25"/>
  <c r="C355" i="25"/>
  <c r="D352" i="25"/>
  <c r="C351" i="25"/>
  <c r="D348" i="25"/>
  <c r="C347" i="25"/>
  <c r="D344" i="25"/>
  <c r="C339" i="25"/>
  <c r="C338" i="25"/>
  <c r="D336" i="25"/>
  <c r="C331" i="25"/>
  <c r="C330" i="25"/>
  <c r="D328" i="25"/>
  <c r="C323" i="25"/>
  <c r="C322" i="25"/>
  <c r="D320" i="25"/>
  <c r="C315" i="25"/>
  <c r="C314" i="25"/>
  <c r="D312" i="25"/>
  <c r="C307" i="25"/>
  <c r="C306" i="25"/>
  <c r="D304" i="25"/>
  <c r="C299" i="25"/>
  <c r="C298" i="25"/>
  <c r="D296" i="25"/>
  <c r="C291" i="25"/>
  <c r="C290" i="25"/>
  <c r="D288" i="25"/>
  <c r="C283" i="25"/>
  <c r="C282" i="25"/>
  <c r="D280" i="25"/>
  <c r="C278" i="25"/>
  <c r="C276" i="25"/>
  <c r="C274" i="25"/>
  <c r="C272" i="25"/>
  <c r="C270" i="25"/>
  <c r="C268" i="25"/>
  <c r="C266" i="25"/>
  <c r="C492" i="25"/>
  <c r="D439" i="25"/>
  <c r="C422" i="25"/>
  <c r="D403" i="25"/>
  <c r="D400" i="25"/>
  <c r="C387" i="25"/>
  <c r="C386" i="25"/>
  <c r="D374" i="25"/>
  <c r="D366" i="25"/>
  <c r="D362" i="25"/>
  <c r="C361" i="25"/>
  <c r="D358" i="25"/>
  <c r="C357" i="25"/>
  <c r="D354" i="25"/>
  <c r="C353" i="25"/>
  <c r="D350" i="25"/>
  <c r="C349" i="25"/>
  <c r="D346" i="25"/>
  <c r="C345" i="25"/>
  <c r="C343" i="25"/>
  <c r="C342" i="25"/>
  <c r="D340" i="25"/>
  <c r="C335" i="25"/>
  <c r="C334" i="25"/>
  <c r="D332" i="25"/>
  <c r="C327" i="25"/>
  <c r="C326" i="25"/>
  <c r="D324" i="25"/>
  <c r="C319" i="25"/>
  <c r="C318" i="25"/>
  <c r="D316" i="25"/>
  <c r="C311" i="25"/>
  <c r="C310" i="25"/>
  <c r="D308" i="25"/>
  <c r="C303" i="25"/>
  <c r="C302" i="25"/>
  <c r="D300" i="25"/>
  <c r="C295" i="25"/>
  <c r="C294" i="25"/>
  <c r="D292" i="25"/>
  <c r="C287" i="25"/>
  <c r="C286" i="25"/>
  <c r="D284" i="25"/>
  <c r="C279" i="25"/>
  <c r="C277" i="25"/>
  <c r="C275" i="25"/>
  <c r="C273" i="25"/>
  <c r="C271" i="25"/>
  <c r="C269" i="25"/>
  <c r="C267" i="25"/>
  <c r="C265" i="25"/>
  <c r="C263" i="25"/>
  <c r="C261" i="25"/>
  <c r="C259" i="25"/>
  <c r="C257" i="25"/>
  <c r="C255" i="25"/>
  <c r="C253" i="25"/>
  <c r="C251" i="25"/>
  <c r="C249" i="25"/>
  <c r="C247" i="25"/>
  <c r="C245" i="25"/>
  <c r="C243" i="25"/>
  <c r="C241" i="25"/>
  <c r="C239" i="25"/>
  <c r="C237" i="25"/>
  <c r="C235" i="25"/>
  <c r="C233" i="25"/>
  <c r="C231" i="25"/>
  <c r="C229" i="25"/>
  <c r="C227" i="25"/>
  <c r="C394" i="25"/>
  <c r="C337" i="25"/>
  <c r="C336" i="25"/>
  <c r="D318" i="25"/>
  <c r="C305" i="25"/>
  <c r="C304" i="25"/>
  <c r="D286" i="25"/>
  <c r="D271" i="25"/>
  <c r="C260" i="25"/>
  <c r="D259" i="25"/>
  <c r="D258" i="25"/>
  <c r="C252" i="25"/>
  <c r="D251" i="25"/>
  <c r="D250" i="25"/>
  <c r="C244" i="25"/>
  <c r="D243" i="25"/>
  <c r="D242" i="25"/>
  <c r="C236" i="25"/>
  <c r="D235" i="25"/>
  <c r="D234" i="25"/>
  <c r="C228" i="25"/>
  <c r="D227" i="25"/>
  <c r="D226" i="25"/>
  <c r="C225" i="25"/>
  <c r="C223" i="25"/>
  <c r="C221" i="25"/>
  <c r="C219" i="25"/>
  <c r="C217" i="25"/>
  <c r="C215" i="25"/>
  <c r="C213" i="25"/>
  <c r="C211" i="25"/>
  <c r="C209" i="25"/>
  <c r="C207" i="25"/>
  <c r="C205" i="25"/>
  <c r="C203" i="25"/>
  <c r="C201" i="25"/>
  <c r="C199" i="25"/>
  <c r="C197" i="25"/>
  <c r="C195" i="25"/>
  <c r="C193" i="25"/>
  <c r="C191" i="25"/>
  <c r="C189" i="25"/>
  <c r="C187" i="25"/>
  <c r="C185" i="25"/>
  <c r="C183" i="25"/>
  <c r="C181" i="25"/>
  <c r="C179" i="25"/>
  <c r="C177" i="25"/>
  <c r="C175" i="25"/>
  <c r="C173" i="25"/>
  <c r="C171" i="25"/>
  <c r="C169" i="25"/>
  <c r="C167" i="25"/>
  <c r="C165" i="25"/>
  <c r="C163" i="25"/>
  <c r="C161" i="25"/>
  <c r="C159" i="25"/>
  <c r="C157" i="25"/>
  <c r="C155" i="25"/>
  <c r="C153" i="25"/>
  <c r="C151" i="25"/>
  <c r="C149" i="25"/>
  <c r="C147" i="25"/>
  <c r="C145" i="25"/>
  <c r="C143" i="25"/>
  <c r="C141" i="25"/>
  <c r="C139" i="25"/>
  <c r="C137" i="25"/>
  <c r="C135" i="25"/>
  <c r="C133" i="25"/>
  <c r="C131" i="25"/>
  <c r="C129" i="25"/>
  <c r="C127" i="25"/>
  <c r="C125" i="25"/>
  <c r="C123" i="25"/>
  <c r="C121" i="25"/>
  <c r="D372" i="25"/>
  <c r="D342" i="25"/>
  <c r="C329" i="25"/>
  <c r="C328" i="25"/>
  <c r="D310" i="25"/>
  <c r="C297" i="25"/>
  <c r="C296" i="25"/>
  <c r="D273" i="25"/>
  <c r="D265" i="25"/>
  <c r="D264" i="25"/>
  <c r="C258" i="25"/>
  <c r="D257" i="25"/>
  <c r="D256" i="25"/>
  <c r="C250" i="25"/>
  <c r="D249" i="25"/>
  <c r="D248" i="25"/>
  <c r="C242" i="25"/>
  <c r="D241" i="25"/>
  <c r="D240" i="25"/>
  <c r="C234" i="25"/>
  <c r="D233" i="25"/>
  <c r="D232" i="25"/>
  <c r="C226" i="25"/>
  <c r="D224" i="25"/>
  <c r="D222" i="25"/>
  <c r="D220" i="25"/>
  <c r="C344" i="25"/>
  <c r="D326" i="25"/>
  <c r="C313" i="25"/>
  <c r="C312" i="25"/>
  <c r="D294" i="25"/>
  <c r="C281" i="25"/>
  <c r="C280" i="25"/>
  <c r="D277" i="25"/>
  <c r="D269" i="25"/>
  <c r="C262" i="25"/>
  <c r="D261" i="25"/>
  <c r="D260" i="25"/>
  <c r="C254" i="25"/>
  <c r="D253" i="25"/>
  <c r="D252" i="25"/>
  <c r="C246" i="25"/>
  <c r="D245" i="25"/>
  <c r="D244" i="25"/>
  <c r="C238" i="25"/>
  <c r="D237" i="25"/>
  <c r="D236" i="25"/>
  <c r="C230" i="25"/>
  <c r="D229" i="25"/>
  <c r="D228" i="25"/>
  <c r="D225" i="25"/>
  <c r="D223" i="25"/>
  <c r="D221" i="25"/>
  <c r="D219" i="25"/>
  <c r="D217" i="25"/>
  <c r="D215" i="25"/>
  <c r="D213" i="25"/>
  <c r="D211" i="25"/>
  <c r="D209" i="25"/>
  <c r="D207" i="25"/>
  <c r="D205" i="25"/>
  <c r="D203" i="25"/>
  <c r="D201" i="25"/>
  <c r="D199" i="25"/>
  <c r="D197" i="25"/>
  <c r="D195" i="25"/>
  <c r="D193" i="25"/>
  <c r="D191" i="25"/>
  <c r="D189" i="25"/>
  <c r="D187" i="25"/>
  <c r="D185" i="25"/>
  <c r="D183" i="25"/>
  <c r="D181" i="25"/>
  <c r="D179" i="25"/>
  <c r="D177" i="25"/>
  <c r="D175" i="25"/>
  <c r="D173" i="25"/>
  <c r="D171" i="25"/>
  <c r="D169" i="25"/>
  <c r="D167" i="25"/>
  <c r="D165" i="25"/>
  <c r="D163" i="25"/>
  <c r="D161" i="25"/>
  <c r="D159" i="25"/>
  <c r="D157" i="25"/>
  <c r="D155" i="25"/>
  <c r="D153" i="25"/>
  <c r="D151" i="25"/>
  <c r="D149" i="25"/>
  <c r="D147" i="25"/>
  <c r="D145" i="25"/>
  <c r="D143" i="25"/>
  <c r="D141" i="25"/>
  <c r="D139" i="25"/>
  <c r="D137" i="25"/>
  <c r="D135" i="25"/>
  <c r="D133" i="25"/>
  <c r="D131" i="25"/>
  <c r="D129" i="25"/>
  <c r="D127" i="25"/>
  <c r="D125" i="25"/>
  <c r="D123" i="25"/>
  <c r="D121" i="25"/>
  <c r="D119" i="25"/>
  <c r="D117" i="25"/>
  <c r="D115" i="25"/>
  <c r="D113" i="25"/>
  <c r="D111" i="25"/>
  <c r="D109" i="25"/>
  <c r="D107" i="25"/>
  <c r="D105" i="25"/>
  <c r="D103" i="25"/>
  <c r="D101" i="25"/>
  <c r="D99" i="25"/>
  <c r="D97" i="25"/>
  <c r="D95" i="25"/>
  <c r="D93" i="25"/>
  <c r="D91" i="25"/>
  <c r="D89" i="25"/>
  <c r="D87" i="25"/>
  <c r="D85" i="25"/>
  <c r="D83" i="25"/>
  <c r="D81" i="25"/>
  <c r="D79" i="25"/>
  <c r="D77" i="25"/>
  <c r="D75" i="25"/>
  <c r="D73" i="25"/>
  <c r="D71" i="25"/>
  <c r="D69" i="25"/>
  <c r="D67" i="25"/>
  <c r="D65" i="25"/>
  <c r="D63" i="25"/>
  <c r="D61" i="25"/>
  <c r="D59" i="25"/>
  <c r="D57" i="25"/>
  <c r="D55" i="25"/>
  <c r="D53" i="25"/>
  <c r="D51" i="25"/>
  <c r="D49" i="25"/>
  <c r="D47" i="25"/>
  <c r="D45" i="25"/>
  <c r="D43" i="25"/>
  <c r="D41" i="25"/>
  <c r="D39" i="25"/>
  <c r="D37" i="25"/>
  <c r="D35" i="25"/>
  <c r="D33" i="25"/>
  <c r="D31" i="25"/>
  <c r="D29" i="25"/>
  <c r="D376" i="25"/>
  <c r="C289" i="25"/>
  <c r="D275" i="25"/>
  <c r="D262" i="25"/>
  <c r="C256" i="25"/>
  <c r="D255" i="25"/>
  <c r="D230" i="25"/>
  <c r="C224" i="25"/>
  <c r="D218" i="25"/>
  <c r="D214" i="25"/>
  <c r="D210" i="25"/>
  <c r="D206" i="25"/>
  <c r="D202" i="25"/>
  <c r="D198" i="25"/>
  <c r="D194" i="25"/>
  <c r="D190" i="25"/>
  <c r="D186" i="25"/>
  <c r="D182" i="25"/>
  <c r="D178" i="25"/>
  <c r="D174" i="25"/>
  <c r="D170" i="25"/>
  <c r="D166" i="25"/>
  <c r="D162" i="25"/>
  <c r="D158" i="25"/>
  <c r="D154" i="25"/>
  <c r="D150" i="25"/>
  <c r="D146" i="25"/>
  <c r="D142" i="25"/>
  <c r="D138" i="25"/>
  <c r="D134" i="25"/>
  <c r="D130" i="25"/>
  <c r="D126" i="25"/>
  <c r="D122" i="25"/>
  <c r="C115" i="25"/>
  <c r="C114" i="25"/>
  <c r="D112" i="25"/>
  <c r="C107" i="25"/>
  <c r="C106" i="25"/>
  <c r="D104" i="25"/>
  <c r="C99" i="25"/>
  <c r="C98" i="25"/>
  <c r="D96" i="25"/>
  <c r="C91" i="25"/>
  <c r="C90" i="25"/>
  <c r="D88" i="25"/>
  <c r="C83" i="25"/>
  <c r="C82" i="25"/>
  <c r="D80" i="25"/>
  <c r="C75" i="25"/>
  <c r="C74" i="25"/>
  <c r="D72" i="25"/>
  <c r="C67" i="25"/>
  <c r="C66" i="25"/>
  <c r="D64" i="25"/>
  <c r="C59" i="25"/>
  <c r="C50" i="25"/>
  <c r="D48" i="25"/>
  <c r="C27" i="25"/>
  <c r="C320" i="25"/>
  <c r="D254" i="25"/>
  <c r="C248" i="25"/>
  <c r="D247" i="25"/>
  <c r="C218" i="25"/>
  <c r="C214" i="25"/>
  <c r="C210" i="25"/>
  <c r="C206" i="25"/>
  <c r="C202" i="25"/>
  <c r="C198" i="25"/>
  <c r="C194" i="25"/>
  <c r="C190" i="25"/>
  <c r="C186" i="25"/>
  <c r="C182" i="25"/>
  <c r="C178" i="25"/>
  <c r="C174" i="25"/>
  <c r="C170" i="25"/>
  <c r="C166" i="25"/>
  <c r="C162" i="25"/>
  <c r="C158" i="25"/>
  <c r="C154" i="25"/>
  <c r="C150" i="25"/>
  <c r="C146" i="25"/>
  <c r="C142" i="25"/>
  <c r="C138" i="25"/>
  <c r="C134" i="25"/>
  <c r="C130" i="25"/>
  <c r="C126" i="25"/>
  <c r="C122" i="25"/>
  <c r="D118" i="25"/>
  <c r="C113" i="25"/>
  <c r="C112" i="25"/>
  <c r="D110" i="25"/>
  <c r="C105" i="25"/>
  <c r="C104" i="25"/>
  <c r="D102" i="25"/>
  <c r="C97" i="25"/>
  <c r="C96" i="25"/>
  <c r="D94" i="25"/>
  <c r="C89" i="25"/>
  <c r="C88" i="25"/>
  <c r="D86" i="25"/>
  <c r="C81" i="25"/>
  <c r="C80" i="25"/>
  <c r="D78" i="25"/>
  <c r="C73" i="25"/>
  <c r="C72" i="25"/>
  <c r="D70" i="25"/>
  <c r="C65" i="25"/>
  <c r="C64" i="25"/>
  <c r="D62" i="25"/>
  <c r="C57" i="25"/>
  <c r="C56" i="25"/>
  <c r="D54" i="25"/>
  <c r="C49" i="25"/>
  <c r="C48" i="25"/>
  <c r="D46" i="25"/>
  <c r="C41" i="25"/>
  <c r="C40" i="25"/>
  <c r="C395" i="25"/>
  <c r="C321" i="25"/>
  <c r="D302" i="25"/>
  <c r="D267" i="25"/>
  <c r="C264" i="25"/>
  <c r="D263" i="25"/>
  <c r="D238" i="25"/>
  <c r="C232" i="25"/>
  <c r="D231" i="25"/>
  <c r="C222" i="25"/>
  <c r="C216" i="25"/>
  <c r="C212" i="25"/>
  <c r="C208" i="25"/>
  <c r="C204" i="25"/>
  <c r="C200" i="25"/>
  <c r="C196" i="25"/>
  <c r="C192" i="25"/>
  <c r="C188" i="25"/>
  <c r="C184" i="25"/>
  <c r="C180" i="25"/>
  <c r="C176" i="25"/>
  <c r="C172" i="25"/>
  <c r="C168" i="25"/>
  <c r="C164" i="25"/>
  <c r="C160" i="25"/>
  <c r="C156" i="25"/>
  <c r="C152" i="25"/>
  <c r="C148" i="25"/>
  <c r="C144" i="25"/>
  <c r="C140" i="25"/>
  <c r="C136" i="25"/>
  <c r="C132" i="25"/>
  <c r="C128" i="25"/>
  <c r="C124" i="25"/>
  <c r="C120" i="25"/>
  <c r="C117" i="25"/>
  <c r="C116" i="25"/>
  <c r="D114" i="25"/>
  <c r="C109" i="25"/>
  <c r="C108" i="25"/>
  <c r="D106" i="25"/>
  <c r="C101" i="25"/>
  <c r="C100" i="25"/>
  <c r="D98" i="25"/>
  <c r="C93" i="25"/>
  <c r="C92" i="25"/>
  <c r="D90" i="25"/>
  <c r="C85" i="25"/>
  <c r="C84" i="25"/>
  <c r="D82" i="25"/>
  <c r="C77" i="25"/>
  <c r="C76" i="25"/>
  <c r="D74" i="25"/>
  <c r="C69" i="25"/>
  <c r="C68" i="25"/>
  <c r="D66" i="25"/>
  <c r="C61" i="25"/>
  <c r="C60" i="25"/>
  <c r="D58" i="25"/>
  <c r="C53" i="25"/>
  <c r="C52" i="25"/>
  <c r="D50" i="25"/>
  <c r="C45" i="25"/>
  <c r="C44" i="25"/>
  <c r="D42" i="25"/>
  <c r="C37" i="25"/>
  <c r="C36" i="25"/>
  <c r="D34" i="25"/>
  <c r="C29" i="25"/>
  <c r="D27" i="25"/>
  <c r="D25" i="25"/>
  <c r="D23" i="25"/>
  <c r="D21" i="25"/>
  <c r="D19" i="25"/>
  <c r="D17" i="25"/>
  <c r="D15" i="25"/>
  <c r="D13" i="25"/>
  <c r="C58" i="25"/>
  <c r="D56" i="25"/>
  <c r="C51" i="25"/>
  <c r="C43" i="25"/>
  <c r="C42" i="25"/>
  <c r="D40" i="25"/>
  <c r="C35" i="25"/>
  <c r="C34" i="25"/>
  <c r="D32" i="25"/>
  <c r="D334" i="25"/>
  <c r="D216" i="25"/>
  <c r="D200" i="25"/>
  <c r="D184" i="25"/>
  <c r="D168" i="25"/>
  <c r="D152" i="25"/>
  <c r="D136" i="25"/>
  <c r="D120" i="25"/>
  <c r="C119" i="25"/>
  <c r="C118" i="25"/>
  <c r="D100" i="25"/>
  <c r="C87" i="25"/>
  <c r="C86" i="25"/>
  <c r="D68" i="25"/>
  <c r="C55" i="25"/>
  <c r="C54" i="25"/>
  <c r="D36" i="25"/>
  <c r="C30" i="25"/>
  <c r="C26" i="25"/>
  <c r="C25" i="25"/>
  <c r="C24" i="25"/>
  <c r="D22" i="25"/>
  <c r="D14" i="25"/>
  <c r="D128" i="25"/>
  <c r="D116" i="25"/>
  <c r="D84" i="25"/>
  <c r="C70" i="25"/>
  <c r="C38" i="25"/>
  <c r="C13" i="25"/>
  <c r="D246" i="25"/>
  <c r="C240" i="25"/>
  <c r="D204" i="25"/>
  <c r="D188" i="25"/>
  <c r="D172" i="25"/>
  <c r="D156" i="25"/>
  <c r="D140" i="25"/>
  <c r="D124" i="25"/>
  <c r="C111" i="25"/>
  <c r="C110" i="25"/>
  <c r="D92" i="25"/>
  <c r="C79" i="25"/>
  <c r="C78" i="25"/>
  <c r="D60" i="25"/>
  <c r="C47" i="25"/>
  <c r="C46" i="25"/>
  <c r="C39" i="25"/>
  <c r="D38" i="25"/>
  <c r="D28" i="25"/>
  <c r="C23" i="25"/>
  <c r="C22" i="25"/>
  <c r="D20" i="25"/>
  <c r="C15" i="25"/>
  <c r="C288" i="25"/>
  <c r="C220" i="25"/>
  <c r="D192" i="25"/>
  <c r="D176" i="25"/>
  <c r="D160" i="25"/>
  <c r="D144" i="25"/>
  <c r="C103" i="25"/>
  <c r="C71" i="25"/>
  <c r="C21" i="25"/>
  <c r="C20" i="25"/>
  <c r="D18" i="25"/>
  <c r="D239" i="25"/>
  <c r="D212" i="25"/>
  <c r="D196" i="25"/>
  <c r="D180" i="25"/>
  <c r="D164" i="25"/>
  <c r="D148" i="25"/>
  <c r="D132" i="25"/>
  <c r="D108" i="25"/>
  <c r="C95" i="25"/>
  <c r="C94" i="25"/>
  <c r="D76" i="25"/>
  <c r="C63" i="25"/>
  <c r="C62" i="25"/>
  <c r="D44" i="25"/>
  <c r="C33" i="25"/>
  <c r="C31" i="25"/>
  <c r="D30" i="25"/>
  <c r="D26" i="25"/>
  <c r="D24" i="25"/>
  <c r="C19" i="25"/>
  <c r="C18" i="25"/>
  <c r="D16" i="25"/>
  <c r="C17" i="25"/>
  <c r="C16" i="25"/>
  <c r="C14" i="25"/>
  <c r="D208" i="25"/>
  <c r="C102" i="25"/>
  <c r="D52" i="25"/>
  <c r="C32" i="25"/>
  <c r="C28" i="25"/>
  <c r="C626" i="25"/>
  <c r="AA626" i="25" s="1"/>
  <c r="E636" i="25" s="1"/>
  <c r="D626" i="25"/>
  <c r="AB626" i="25" s="1"/>
  <c r="C628" i="25"/>
  <c r="D628" i="25"/>
  <c r="C623" i="25"/>
  <c r="D623" i="25"/>
  <c r="AT64" i="23"/>
  <c r="AV64" i="23" s="1"/>
  <c r="AZ64" i="23" s="1"/>
  <c r="BB100" i="23"/>
  <c r="BC38" i="23"/>
  <c r="AW38" i="23" s="1"/>
  <c r="AT76" i="23"/>
  <c r="AV76" i="23" s="1"/>
  <c r="AZ76" i="23" s="1"/>
  <c r="BB61" i="23"/>
  <c r="BB64" i="23"/>
  <c r="U10" i="21"/>
  <c r="AT38" i="23"/>
  <c r="AV38" i="23" s="1"/>
  <c r="AZ38" i="23" s="1"/>
  <c r="BB107" i="23"/>
  <c r="BB80" i="23"/>
  <c r="AT78" i="23"/>
  <c r="AV78" i="23" s="1"/>
  <c r="AZ78" i="23" s="1"/>
  <c r="AT68" i="23"/>
  <c r="AV68" i="23" s="1"/>
  <c r="AZ68" i="23" s="1"/>
  <c r="BB43" i="23"/>
  <c r="BB78" i="23"/>
  <c r="BB29" i="23"/>
  <c r="BB95" i="23"/>
  <c r="AT96" i="23"/>
  <c r="AV96" i="23" s="1"/>
  <c r="AZ96" i="23" s="1"/>
  <c r="AT95" i="23"/>
  <c r="AV95" i="23" s="1"/>
  <c r="AZ95" i="23" s="1"/>
  <c r="AT32" i="23"/>
  <c r="AV32" i="23" s="1"/>
  <c r="AZ32" i="23" s="1"/>
  <c r="BB93" i="23"/>
  <c r="BC107" i="23"/>
  <c r="AW107" i="23" s="1"/>
  <c r="BB62" i="23"/>
  <c r="BB79" i="23"/>
  <c r="AT84" i="23"/>
  <c r="AV84" i="23" s="1"/>
  <c r="AZ84" i="23" s="1"/>
  <c r="BC26" i="23"/>
  <c r="AW26" i="23" s="1"/>
  <c r="AT100" i="23"/>
  <c r="AV100" i="23" s="1"/>
  <c r="AZ100" i="23" s="1"/>
  <c r="BC93" i="23"/>
  <c r="AW93" i="23" s="1"/>
  <c r="AT22" i="23"/>
  <c r="AV22" i="23" s="1"/>
  <c r="AZ22" i="23" s="1"/>
  <c r="BB21" i="23"/>
  <c r="AT26" i="23"/>
  <c r="AV26" i="23" s="1"/>
  <c r="AZ26" i="23" s="1"/>
  <c r="BB105" i="23"/>
  <c r="AT79" i="23"/>
  <c r="AV79" i="23" s="1"/>
  <c r="AZ79" i="23" s="1"/>
  <c r="BB91" i="23"/>
  <c r="AT43" i="23"/>
  <c r="AV43" i="23" s="1"/>
  <c r="AZ43" i="23" s="1"/>
  <c r="BC29" i="23"/>
  <c r="AW29" i="23" s="1"/>
  <c r="AT90" i="23"/>
  <c r="AV90" i="23" s="1"/>
  <c r="AZ90" i="23" s="1"/>
  <c r="AT74" i="23"/>
  <c r="AV74" i="23" s="1"/>
  <c r="AZ74" i="23" s="1"/>
  <c r="BB90" i="23"/>
  <c r="BB17" i="23"/>
  <c r="BB59" i="23"/>
  <c r="AT89" i="23"/>
  <c r="AV89" i="23" s="1"/>
  <c r="AZ89" i="23" s="1"/>
  <c r="BC24" i="23"/>
  <c r="AW24" i="23" s="1"/>
  <c r="BC17" i="23"/>
  <c r="AW17" i="23" s="1"/>
  <c r="AT59" i="23"/>
  <c r="AV59" i="23" s="1"/>
  <c r="H3" i="23" s="1"/>
  <c r="AT77" i="23"/>
  <c r="AV77" i="23" s="1"/>
  <c r="AZ77" i="23" s="1"/>
  <c r="AT61" i="23"/>
  <c r="AV61" i="23" s="1"/>
  <c r="AZ61" i="23" s="1"/>
  <c r="AT10" i="23"/>
  <c r="AV10" i="23" s="1"/>
  <c r="AZ10" i="23" s="1"/>
  <c r="BB74" i="23"/>
  <c r="BB35" i="23"/>
  <c r="AT60" i="23"/>
  <c r="AV60" i="23" s="1"/>
  <c r="AZ60" i="23" s="1"/>
  <c r="AT50" i="23"/>
  <c r="AV50" i="23" s="1"/>
  <c r="AZ50" i="23" s="1"/>
  <c r="AT39" i="23"/>
  <c r="AV39" i="23" s="1"/>
  <c r="AZ39" i="23" s="1"/>
  <c r="AT54" i="23"/>
  <c r="AV54" i="23" s="1"/>
  <c r="AZ54" i="23" s="1"/>
  <c r="AT75" i="23"/>
  <c r="AV75" i="23" s="1"/>
  <c r="AZ75" i="23" s="1"/>
  <c r="BB75" i="23"/>
  <c r="AT94" i="23"/>
  <c r="AV94" i="23" s="1"/>
  <c r="AZ94" i="23" s="1"/>
  <c r="AT31" i="23"/>
  <c r="AV31" i="23" s="1"/>
  <c r="AZ31" i="23" s="1"/>
  <c r="AT16" i="23"/>
  <c r="AV16" i="23" s="1"/>
  <c r="AZ16" i="23" s="1"/>
  <c r="BB37" i="23"/>
  <c r="AT30" i="23"/>
  <c r="AV30" i="23" s="1"/>
  <c r="AZ30" i="23" s="1"/>
  <c r="BB19" i="23"/>
  <c r="BB54" i="23"/>
  <c r="BB32" i="23"/>
  <c r="BB30" i="23"/>
  <c r="BB94" i="23"/>
  <c r="BB108" i="23"/>
  <c r="AT102" i="23"/>
  <c r="AV102" i="23" s="1"/>
  <c r="AZ102" i="23" s="1"/>
  <c r="AT98" i="23"/>
  <c r="AV98" i="23" s="1"/>
  <c r="AZ98" i="23" s="1"/>
  <c r="AT21" i="23"/>
  <c r="AV21" i="23" s="1"/>
  <c r="AZ21" i="23" s="1"/>
  <c r="AT12" i="23"/>
  <c r="AV12" i="23" s="1"/>
  <c r="AZ12" i="23" s="1"/>
  <c r="AT103" i="23"/>
  <c r="AV103" i="23" s="1"/>
  <c r="AZ103" i="23" s="1"/>
  <c r="BB50" i="23"/>
  <c r="AT19" i="23"/>
  <c r="AV19" i="23" s="1"/>
  <c r="AZ19" i="23" s="1"/>
  <c r="AT66" i="23"/>
  <c r="AV66" i="23" s="1"/>
  <c r="AZ66" i="23" s="1"/>
  <c r="BB46" i="23"/>
  <c r="AT37" i="23"/>
  <c r="AV37" i="23" s="1"/>
  <c r="AZ37" i="23" s="1"/>
  <c r="BB86" i="23"/>
  <c r="BB71" i="23"/>
  <c r="BB102" i="23"/>
  <c r="AT67" i="23"/>
  <c r="AV67" i="23" s="1"/>
  <c r="AZ67" i="23" s="1"/>
  <c r="AT46" i="23"/>
  <c r="AV46" i="23" s="1"/>
  <c r="AZ46" i="23" s="1"/>
  <c r="AT86" i="23"/>
  <c r="AV86" i="23" s="1"/>
  <c r="AZ86" i="23" s="1"/>
  <c r="AT70" i="23"/>
  <c r="AV70" i="23" s="1"/>
  <c r="AZ70" i="23" s="1"/>
  <c r="BB70" i="23"/>
  <c r="BB88" i="23"/>
  <c r="BC34" i="23"/>
  <c r="AW34" i="23" s="1"/>
  <c r="AT99" i="23"/>
  <c r="AV99" i="23" s="1"/>
  <c r="AZ99" i="23" s="1"/>
  <c r="BB12" i="23"/>
  <c r="AT34" i="23"/>
  <c r="AV34" i="23" s="1"/>
  <c r="AZ34" i="23" s="1"/>
  <c r="BC99" i="23"/>
  <c r="AW99" i="23" s="1"/>
  <c r="AT88" i="23"/>
  <c r="AV88" i="23" s="1"/>
  <c r="AZ88" i="23" s="1"/>
  <c r="AT18" i="23"/>
  <c r="AV18" i="23" s="1"/>
  <c r="AZ18" i="23" s="1"/>
  <c r="BB22" i="23"/>
  <c r="BB96" i="23"/>
  <c r="BB18" i="23"/>
  <c r="BC105" i="23"/>
  <c r="AW105" i="23" s="1"/>
  <c r="BC16" i="23"/>
  <c r="AW16" i="23" s="1"/>
  <c r="BC66" i="23"/>
  <c r="AW66" i="23" s="1"/>
  <c r="BC71" i="23"/>
  <c r="AW71" i="23" s="1"/>
  <c r="BC68" i="23"/>
  <c r="AW68" i="23" s="1"/>
  <c r="AT36" i="23"/>
  <c r="AV36" i="23" s="1"/>
  <c r="AZ36" i="23" s="1"/>
  <c r="AT82" i="23"/>
  <c r="AV82" i="23" s="1"/>
  <c r="AZ82" i="23" s="1"/>
  <c r="BB101" i="23"/>
  <c r="BB98" i="23"/>
  <c r="BB84" i="23"/>
  <c r="BB97" i="23"/>
  <c r="BB47" i="23"/>
  <c r="BB89" i="23"/>
  <c r="BB31" i="23"/>
  <c r="BB10" i="23"/>
  <c r="AT91" i="23"/>
  <c r="AV91" i="23" s="1"/>
  <c r="AZ91" i="23" s="1"/>
  <c r="AT47" i="23"/>
  <c r="AV47" i="23" s="1"/>
  <c r="AZ47" i="23" s="1"/>
  <c r="BC108" i="23"/>
  <c r="AW108" i="23" s="1"/>
  <c r="BC36" i="23"/>
  <c r="AW36" i="23" s="1"/>
  <c r="BC103" i="23"/>
  <c r="AW103" i="23" s="1"/>
  <c r="AT62" i="23"/>
  <c r="AV62" i="23" s="1"/>
  <c r="AZ62" i="23" s="1"/>
  <c r="BC67" i="23"/>
  <c r="AW67" i="23" s="1"/>
  <c r="BC101" i="23"/>
  <c r="AW101" i="23" s="1"/>
  <c r="BC57" i="23"/>
  <c r="AW57" i="23" s="1"/>
  <c r="BC80" i="23"/>
  <c r="AW80" i="23" s="1"/>
  <c r="AT33" i="23"/>
  <c r="AV33" i="23" s="1"/>
  <c r="AZ33" i="23" s="1"/>
  <c r="AT14" i="23"/>
  <c r="AV14" i="23" s="1"/>
  <c r="AZ14" i="23" s="1"/>
  <c r="BB14" i="23"/>
  <c r="BB83" i="23"/>
  <c r="BB60" i="23"/>
  <c r="BC33" i="23"/>
  <c r="AW33" i="23" s="1"/>
  <c r="AT83" i="23"/>
  <c r="AV83" i="23" s="1"/>
  <c r="AZ83" i="23" s="1"/>
  <c r="BC39" i="23"/>
  <c r="AW39" i="23" s="1"/>
  <c r="BB44" i="23"/>
  <c r="BB82" i="23"/>
  <c r="AT24" i="23"/>
  <c r="AV24" i="23" s="1"/>
  <c r="AZ24" i="23" s="1"/>
  <c r="BB57" i="23"/>
  <c r="BC97" i="23"/>
  <c r="AW97" i="23" s="1"/>
  <c r="BB77" i="23"/>
  <c r="AZ109" i="23"/>
  <c r="H4" i="23"/>
  <c r="BA50" i="21"/>
  <c r="BC90" i="21"/>
  <c r="AW90" i="21" s="1"/>
  <c r="BB90" i="21"/>
  <c r="BC32" i="21"/>
  <c r="AW32" i="21" s="1"/>
  <c r="BB32" i="21"/>
  <c r="BC17" i="21"/>
  <c r="AW17" i="21" s="1"/>
  <c r="BB17" i="21"/>
  <c r="BC94" i="21"/>
  <c r="AW94" i="21" s="1"/>
  <c r="BB94" i="21"/>
  <c r="BA41" i="21"/>
  <c r="BA54" i="21"/>
  <c r="BA36" i="21"/>
  <c r="BA81" i="21"/>
  <c r="BA83" i="21"/>
  <c r="BC43" i="21"/>
  <c r="AW43" i="21" s="1"/>
  <c r="BB43" i="21"/>
  <c r="BC45" i="21"/>
  <c r="AW45" i="21" s="1"/>
  <c r="BB45" i="21"/>
  <c r="BC13" i="21"/>
  <c r="AW13" i="21" s="1"/>
  <c r="BB13" i="21"/>
  <c r="BC33" i="21"/>
  <c r="AW33" i="21" s="1"/>
  <c r="BB33" i="21"/>
  <c r="BC92" i="21"/>
  <c r="AW92" i="21" s="1"/>
  <c r="BB92" i="21"/>
  <c r="BB108" i="21"/>
  <c r="BC108" i="21"/>
  <c r="AW108" i="21" s="1"/>
  <c r="BC78" i="21"/>
  <c r="AW78" i="21" s="1"/>
  <c r="BB78" i="21"/>
  <c r="BC23" i="21"/>
  <c r="AW23" i="21" s="1"/>
  <c r="BB23" i="21"/>
  <c r="BB95" i="21"/>
  <c r="BC95" i="21"/>
  <c r="AW95" i="21" s="1"/>
  <c r="BC71" i="21"/>
  <c r="AW71" i="21" s="1"/>
  <c r="BB71" i="21"/>
  <c r="BC31" i="21"/>
  <c r="AW31" i="21" s="1"/>
  <c r="BB31" i="21"/>
  <c r="BC51" i="21"/>
  <c r="AW51" i="21" s="1"/>
  <c r="BB51" i="21"/>
  <c r="BB106" i="21"/>
  <c r="BC106" i="21"/>
  <c r="AW106" i="21" s="1"/>
  <c r="BC68" i="21"/>
  <c r="AW68" i="21" s="1"/>
  <c r="BB68" i="21"/>
  <c r="BC73" i="21"/>
  <c r="AW73" i="21" s="1"/>
  <c r="BB73" i="21"/>
  <c r="BA90" i="21"/>
  <c r="BA97" i="21"/>
  <c r="BA72" i="21"/>
  <c r="BC70" i="21"/>
  <c r="AW70" i="21" s="1"/>
  <c r="BB70" i="21"/>
  <c r="BA9" i="21"/>
  <c r="BC74" i="21"/>
  <c r="AW74" i="21" s="1"/>
  <c r="BB74" i="21"/>
  <c r="BA22" i="21"/>
  <c r="BA47" i="21"/>
  <c r="BC55" i="21"/>
  <c r="AW55" i="21" s="1"/>
  <c r="BB55" i="21"/>
  <c r="BC76" i="21"/>
  <c r="AW76" i="21" s="1"/>
  <c r="BB76" i="21"/>
  <c r="BC86" i="21"/>
  <c r="AW86" i="21" s="1"/>
  <c r="BB86" i="21"/>
  <c r="BC63" i="21"/>
  <c r="AW63" i="21" s="1"/>
  <c r="BB63" i="21"/>
  <c r="BB109" i="21"/>
  <c r="BC109" i="21"/>
  <c r="AW109" i="21" s="1"/>
  <c r="BC77" i="21"/>
  <c r="AW77" i="21" s="1"/>
  <c r="BB77" i="21"/>
  <c r="BA52" i="21"/>
  <c r="BC26" i="21"/>
  <c r="AW26" i="21" s="1"/>
  <c r="BB26" i="21"/>
  <c r="BC29" i="21"/>
  <c r="AW29" i="21" s="1"/>
  <c r="BB29" i="21"/>
  <c r="BC84" i="21"/>
  <c r="AW84" i="21" s="1"/>
  <c r="BB84" i="21"/>
  <c r="BB99" i="21"/>
  <c r="BC99" i="21"/>
  <c r="AW99" i="21" s="1"/>
  <c r="BC35" i="21"/>
  <c r="AW35" i="21" s="1"/>
  <c r="BB35" i="21"/>
  <c r="BC20" i="21"/>
  <c r="AW20" i="21" s="1"/>
  <c r="BB20" i="21"/>
  <c r="BC49" i="21"/>
  <c r="AW49" i="21" s="1"/>
  <c r="BB49" i="21"/>
  <c r="BA93" i="21"/>
  <c r="BC81" i="21"/>
  <c r="AW81" i="21" s="1"/>
  <c r="BB81" i="21"/>
  <c r="BA58" i="21"/>
  <c r="AV58" i="21"/>
  <c r="AZ58" i="21" s="1"/>
  <c r="BA44" i="21"/>
  <c r="BC36" i="21"/>
  <c r="AW36" i="21" s="1"/>
  <c r="BB36" i="21"/>
  <c r="BA74" i="21"/>
  <c r="BC66" i="21"/>
  <c r="AW66" i="21" s="1"/>
  <c r="BB66" i="21"/>
  <c r="BA68" i="21"/>
  <c r="BA84" i="21"/>
  <c r="AV84" i="21"/>
  <c r="AZ84" i="21" s="1"/>
  <c r="BA82" i="21"/>
  <c r="BC93" i="21"/>
  <c r="AW93" i="21" s="1"/>
  <c r="BB93" i="21"/>
  <c r="BB97" i="21"/>
  <c r="BC97" i="21"/>
  <c r="AW97" i="21" s="1"/>
  <c r="BC11" i="21"/>
  <c r="AW11" i="21" s="1"/>
  <c r="BB11" i="21"/>
  <c r="BC15" i="21"/>
  <c r="AW15" i="21" s="1"/>
  <c r="BB15" i="21"/>
  <c r="BC101" i="21"/>
  <c r="AW101" i="21" s="1"/>
  <c r="BB101" i="21"/>
  <c r="BA46" i="21"/>
  <c r="BC56" i="21"/>
  <c r="AW56" i="21" s="1"/>
  <c r="BB56" i="21"/>
  <c r="BC40" i="21"/>
  <c r="AW40" i="21" s="1"/>
  <c r="BB40" i="21"/>
  <c r="BC54" i="21"/>
  <c r="AW54" i="21" s="1"/>
  <c r="BB54" i="21"/>
  <c r="BA48" i="21"/>
  <c r="BA42" i="21"/>
  <c r="BA38" i="21"/>
  <c r="BA49" i="21"/>
  <c r="BA106" i="21"/>
  <c r="BC82" i="21"/>
  <c r="AW82" i="21" s="1"/>
  <c r="BB82" i="21"/>
  <c r="BC64" i="21"/>
  <c r="AW64" i="21" s="1"/>
  <c r="BB64" i="21"/>
  <c r="BC16" i="21"/>
  <c r="AW16" i="21" s="1"/>
  <c r="BB16" i="21"/>
  <c r="BC88" i="21"/>
  <c r="AW88" i="21" s="1"/>
  <c r="BB88" i="21"/>
  <c r="BC61" i="21"/>
  <c r="AW61" i="21" s="1"/>
  <c r="BB61" i="21"/>
  <c r="BC19" i="21"/>
  <c r="AW19" i="21" s="1"/>
  <c r="BB19" i="21"/>
  <c r="BC59" i="21"/>
  <c r="AW59" i="21" s="1"/>
  <c r="BB59" i="21"/>
  <c r="BA21" i="21"/>
  <c r="BB100" i="21"/>
  <c r="BC100" i="21"/>
  <c r="AW100" i="21" s="1"/>
  <c r="BC79" i="21"/>
  <c r="AW79" i="21" s="1"/>
  <c r="BB79" i="21"/>
  <c r="BC42" i="21"/>
  <c r="AW42" i="21" s="1"/>
  <c r="BB42" i="21"/>
  <c r="BB103" i="21"/>
  <c r="BC103" i="21"/>
  <c r="AW103" i="21" s="1"/>
  <c r="BC50" i="21"/>
  <c r="AW50" i="21" s="1"/>
  <c r="BB50" i="21"/>
  <c r="BC25" i="21"/>
  <c r="AW25" i="21" s="1"/>
  <c r="BB25" i="21"/>
  <c r="BB98" i="21"/>
  <c r="BC98" i="21"/>
  <c r="AW98" i="21" s="1"/>
  <c r="BC39" i="21"/>
  <c r="AW39" i="21" s="1"/>
  <c r="BB39" i="21"/>
  <c r="BC48" i="21"/>
  <c r="AW48" i="21" s="1"/>
  <c r="BB48" i="21"/>
  <c r="BC27" i="21"/>
  <c r="AW27" i="21" s="1"/>
  <c r="BB27" i="21"/>
  <c r="BA30" i="21"/>
  <c r="BA24" i="21"/>
  <c r="BA62" i="21"/>
  <c r="BC67" i="21"/>
  <c r="AW67" i="21" s="1"/>
  <c r="BB67" i="21"/>
  <c r="BA94" i="21"/>
  <c r="AV94" i="21"/>
  <c r="AZ94" i="21" s="1"/>
  <c r="BA105" i="21"/>
  <c r="BC85" i="21"/>
  <c r="AW85" i="21" s="1"/>
  <c r="BB85" i="21"/>
  <c r="BA70" i="21"/>
  <c r="AV70" i="21"/>
  <c r="AZ70" i="21" s="1"/>
  <c r="BA63" i="21"/>
  <c r="BA14" i="21"/>
  <c r="BC53" i="21"/>
  <c r="AW53" i="21" s="1"/>
  <c r="BB53" i="21"/>
  <c r="BC58" i="21"/>
  <c r="AW58" i="21" s="1"/>
  <c r="BB58" i="21"/>
  <c r="BA11" i="21"/>
  <c r="BC69" i="21"/>
  <c r="AW69" i="21" s="1"/>
  <c r="BB69" i="21"/>
  <c r="BC24" i="21"/>
  <c r="AW24" i="21" s="1"/>
  <c r="BB24" i="21"/>
  <c r="BC75" i="21"/>
  <c r="AW75" i="21" s="1"/>
  <c r="BB75" i="21"/>
  <c r="BA67" i="21"/>
  <c r="BC14" i="21"/>
  <c r="AW14" i="21" s="1"/>
  <c r="BB14" i="21"/>
  <c r="BC30" i="21"/>
  <c r="AW30" i="21" s="1"/>
  <c r="BB30" i="21"/>
  <c r="BA51" i="21"/>
  <c r="BC65" i="21"/>
  <c r="AW65" i="21" s="1"/>
  <c r="BB65" i="21"/>
  <c r="BB96" i="21"/>
  <c r="BC96" i="21"/>
  <c r="AW96" i="21" s="1"/>
  <c r="BC41" i="21"/>
  <c r="AW41" i="21" s="1"/>
  <c r="BB41" i="21"/>
  <c r="BA40" i="21"/>
  <c r="BA56" i="21"/>
  <c r="BA35" i="21"/>
  <c r="BA45" i="21"/>
  <c r="BC57" i="21"/>
  <c r="AW57" i="21" s="1"/>
  <c r="BB57" i="21"/>
  <c r="BC52" i="21"/>
  <c r="AW52" i="21" s="1"/>
  <c r="BB52" i="21"/>
  <c r="BC60" i="21"/>
  <c r="AW60" i="21" s="1"/>
  <c r="BB60" i="21"/>
  <c r="BC12" i="21"/>
  <c r="AW12" i="21" s="1"/>
  <c r="BB12" i="21"/>
  <c r="BC80" i="21"/>
  <c r="AW80" i="21" s="1"/>
  <c r="BB80" i="21"/>
  <c r="BC38" i="21"/>
  <c r="AW38" i="21" s="1"/>
  <c r="BB38" i="21"/>
  <c r="BC46" i="21"/>
  <c r="AW46" i="21" s="1"/>
  <c r="BB46" i="21"/>
  <c r="BB104" i="21"/>
  <c r="BC104" i="21"/>
  <c r="AW104" i="21" s="1"/>
  <c r="BC28" i="21"/>
  <c r="AW28" i="21" s="1"/>
  <c r="BB28" i="21"/>
  <c r="BC37" i="21"/>
  <c r="AW37" i="21" s="1"/>
  <c r="BB37" i="21"/>
  <c r="BC91" i="21"/>
  <c r="AW91" i="21" s="1"/>
  <c r="BB91" i="21"/>
  <c r="BB107" i="21"/>
  <c r="BC107" i="21"/>
  <c r="AW107" i="21" s="1"/>
  <c r="BC34" i="21"/>
  <c r="AW34" i="21" s="1"/>
  <c r="BB34" i="21"/>
  <c r="BC18" i="21"/>
  <c r="AW18" i="21" s="1"/>
  <c r="BB18" i="21"/>
  <c r="BB102" i="21"/>
  <c r="BC102" i="21"/>
  <c r="AW102" i="21" s="1"/>
  <c r="BC72" i="21"/>
  <c r="AW72" i="21" s="1"/>
  <c r="BB72" i="21"/>
  <c r="BC10" i="21"/>
  <c r="AW10" i="21" s="1"/>
  <c r="BB10" i="21"/>
  <c r="BC87" i="21"/>
  <c r="AW87" i="21" s="1"/>
  <c r="BB87" i="21"/>
  <c r="BA57" i="21"/>
  <c r="AV57" i="21"/>
  <c r="AZ57" i="21" s="1"/>
  <c r="BA55" i="21"/>
  <c r="BA15" i="21"/>
  <c r="BA98" i="21"/>
  <c r="BA76" i="21"/>
  <c r="BA102" i="21"/>
  <c r="BA59" i="21"/>
  <c r="BA53" i="21"/>
  <c r="BC44" i="21"/>
  <c r="AW44" i="21" s="1"/>
  <c r="BB44" i="21"/>
  <c r="BA89" i="21"/>
  <c r="BB9" i="21"/>
  <c r="BC9" i="21"/>
  <c r="AW9" i="21" s="1"/>
  <c r="BC47" i="21"/>
  <c r="AW47" i="21" s="1"/>
  <c r="BB47" i="21"/>
  <c r="BC21" i="21"/>
  <c r="AW21" i="21" s="1"/>
  <c r="BB21" i="21"/>
  <c r="BC62" i="21"/>
  <c r="AW62" i="21" s="1"/>
  <c r="BB62" i="21"/>
  <c r="BC83" i="21"/>
  <c r="AW83" i="21" s="1"/>
  <c r="BB83" i="21"/>
  <c r="BC89" i="21"/>
  <c r="AW89" i="21" s="1"/>
  <c r="BB89" i="21"/>
  <c r="BB105" i="21"/>
  <c r="BC105" i="21"/>
  <c r="AW105" i="21" s="1"/>
  <c r="BC22" i="21"/>
  <c r="AW22" i="21" s="1"/>
  <c r="BB22" i="21"/>
  <c r="AV66" i="21"/>
  <c r="AZ66" i="21" s="1"/>
  <c r="E61" i="1"/>
  <c r="AV74" i="21"/>
  <c r="AZ74" i="21" s="1"/>
  <c r="BA109" i="21"/>
  <c r="BA101" i="21"/>
  <c r="BA43" i="21"/>
  <c r="BA75" i="21"/>
  <c r="BA60" i="21"/>
  <c r="BA33" i="21"/>
  <c r="BA39" i="21"/>
  <c r="BA37" i="21"/>
  <c r="BA78" i="21"/>
  <c r="BA26" i="21"/>
  <c r="BA28" i="21"/>
  <c r="BA64" i="21"/>
  <c r="BA73" i="21"/>
  <c r="BA88" i="21"/>
  <c r="BA87" i="21"/>
  <c r="BA25" i="21"/>
  <c r="BA79" i="21"/>
  <c r="BA77" i="21"/>
  <c r="BA19" i="21"/>
  <c r="BA95" i="21"/>
  <c r="BA34" i="21"/>
  <c r="BA108" i="21"/>
  <c r="BA17" i="21"/>
  <c r="BA18" i="21"/>
  <c r="BA20" i="21"/>
  <c r="BA86" i="21"/>
  <c r="BA69" i="21"/>
  <c r="BA16" i="21"/>
  <c r="BA96" i="21"/>
  <c r="BA13" i="21"/>
  <c r="BA103" i="21"/>
  <c r="BA29" i="21"/>
  <c r="BA85" i="21"/>
  <c r="BA100" i="21"/>
  <c r="BA27" i="21"/>
  <c r="BA61" i="21"/>
  <c r="BA91" i="21"/>
  <c r="BA107" i="21"/>
  <c r="BA31" i="21"/>
  <c r="BA12" i="21"/>
  <c r="BA104" i="21"/>
  <c r="BA80" i="21"/>
  <c r="BA65" i="21"/>
  <c r="BA23" i="21"/>
  <c r="BA32" i="21"/>
  <c r="BA92" i="21"/>
  <c r="BA99" i="21"/>
  <c r="BA71" i="21"/>
  <c r="N16" i="8"/>
  <c r="E36" i="1"/>
  <c r="K4" i="17"/>
  <c r="H622" i="25" l="1"/>
  <c r="G622" i="25"/>
  <c r="AT10" i="21"/>
  <c r="AV10" i="21" s="1"/>
  <c r="AZ10" i="21" s="1"/>
  <c r="O622" i="25"/>
  <c r="P622" i="25"/>
  <c r="AA623" i="25"/>
  <c r="E633" i="25" s="1"/>
  <c r="AB623" i="25"/>
  <c r="P612" i="25"/>
  <c r="AB612" i="25" s="1"/>
  <c r="P610" i="25"/>
  <c r="AB610" i="25" s="1"/>
  <c r="P613" i="25"/>
  <c r="AB613" i="25" s="1"/>
  <c r="P608" i="25"/>
  <c r="AB608" i="25" s="1"/>
  <c r="P607" i="25"/>
  <c r="AB607" i="25" s="1"/>
  <c r="P605" i="25"/>
  <c r="AB605" i="25" s="1"/>
  <c r="P603" i="25"/>
  <c r="AB603" i="25" s="1"/>
  <c r="P601" i="25"/>
  <c r="AB601" i="25" s="1"/>
  <c r="P599" i="25"/>
  <c r="AB599" i="25" s="1"/>
  <c r="P597" i="25"/>
  <c r="AB597" i="25" s="1"/>
  <c r="P611" i="25"/>
  <c r="AB611" i="25" s="1"/>
  <c r="P606" i="25"/>
  <c r="AB606" i="25" s="1"/>
  <c r="P604" i="25"/>
  <c r="AB604" i="25" s="1"/>
  <c r="P602" i="25"/>
  <c r="AB602" i="25" s="1"/>
  <c r="P600" i="25"/>
  <c r="AB600" i="25" s="1"/>
  <c r="P598" i="25"/>
  <c r="AB598" i="25" s="1"/>
  <c r="P596" i="25"/>
  <c r="AB596" i="25" s="1"/>
  <c r="P594" i="25"/>
  <c r="AB594" i="25" s="1"/>
  <c r="P592" i="25"/>
  <c r="AB592" i="25" s="1"/>
  <c r="P591" i="25"/>
  <c r="AB591" i="25" s="1"/>
  <c r="P589" i="25"/>
  <c r="AB589" i="25" s="1"/>
  <c r="P587" i="25"/>
  <c r="AB587" i="25" s="1"/>
  <c r="P585" i="25"/>
  <c r="AB585" i="25" s="1"/>
  <c r="P609" i="25"/>
  <c r="AB609" i="25" s="1"/>
  <c r="P593" i="25"/>
  <c r="AB593" i="25" s="1"/>
  <c r="P588" i="25"/>
  <c r="AB588" i="25" s="1"/>
  <c r="P581" i="25"/>
  <c r="AB581" i="25" s="1"/>
  <c r="P580" i="25"/>
  <c r="AB580" i="25" s="1"/>
  <c r="P590" i="25"/>
  <c r="AB590" i="25" s="1"/>
  <c r="P584" i="25"/>
  <c r="AB584" i="25" s="1"/>
  <c r="P579" i="25"/>
  <c r="AB579" i="25" s="1"/>
  <c r="P578" i="25"/>
  <c r="AB578" i="25" s="1"/>
  <c r="P575" i="25"/>
  <c r="AB575" i="25" s="1"/>
  <c r="P573" i="25"/>
  <c r="AB573" i="25" s="1"/>
  <c r="P571" i="25"/>
  <c r="AB571" i="25" s="1"/>
  <c r="P569" i="25"/>
  <c r="AB569" i="25" s="1"/>
  <c r="P567" i="25"/>
  <c r="AB567" i="25" s="1"/>
  <c r="P565" i="25"/>
  <c r="AB565" i="25" s="1"/>
  <c r="P595" i="25"/>
  <c r="AB595" i="25" s="1"/>
  <c r="P586" i="25"/>
  <c r="AB586" i="25" s="1"/>
  <c r="P583" i="25"/>
  <c r="AB583" i="25" s="1"/>
  <c r="P582" i="25"/>
  <c r="AB582" i="25" s="1"/>
  <c r="P576" i="25"/>
  <c r="AB576" i="25" s="1"/>
  <c r="P574" i="25"/>
  <c r="AB574" i="25" s="1"/>
  <c r="P572" i="25"/>
  <c r="AB572" i="25" s="1"/>
  <c r="P570" i="25"/>
  <c r="AB570" i="25" s="1"/>
  <c r="P568" i="25"/>
  <c r="AB568" i="25" s="1"/>
  <c r="P566" i="25"/>
  <c r="AB566" i="25" s="1"/>
  <c r="P559" i="25"/>
  <c r="AB559" i="25" s="1"/>
  <c r="P558" i="25"/>
  <c r="AB558" i="25" s="1"/>
  <c r="P564" i="25"/>
  <c r="AB564" i="25" s="1"/>
  <c r="P557" i="25"/>
  <c r="AB557" i="25" s="1"/>
  <c r="P556" i="25"/>
  <c r="AB556" i="25" s="1"/>
  <c r="P554" i="25"/>
  <c r="AB554" i="25" s="1"/>
  <c r="P552" i="25"/>
  <c r="AB552" i="25" s="1"/>
  <c r="P550" i="25"/>
  <c r="AB550" i="25" s="1"/>
  <c r="P548" i="25"/>
  <c r="AB548" i="25" s="1"/>
  <c r="P546" i="25"/>
  <c r="AB546" i="25" s="1"/>
  <c r="P544" i="25"/>
  <c r="AB544" i="25" s="1"/>
  <c r="P542" i="25"/>
  <c r="AB542" i="25" s="1"/>
  <c r="P540" i="25"/>
  <c r="AB540" i="25" s="1"/>
  <c r="P538" i="25"/>
  <c r="AB538" i="25" s="1"/>
  <c r="P577" i="25"/>
  <c r="AB577" i="25" s="1"/>
  <c r="P561" i="25"/>
  <c r="AB561" i="25" s="1"/>
  <c r="P560" i="25"/>
  <c r="AB560" i="25" s="1"/>
  <c r="P555" i="25"/>
  <c r="AB555" i="25" s="1"/>
  <c r="P553" i="25"/>
  <c r="AB553" i="25" s="1"/>
  <c r="P551" i="25"/>
  <c r="AB551" i="25" s="1"/>
  <c r="P549" i="25"/>
  <c r="AB549" i="25" s="1"/>
  <c r="P547" i="25"/>
  <c r="AB547" i="25" s="1"/>
  <c r="P545" i="25"/>
  <c r="AB545" i="25" s="1"/>
  <c r="P543" i="25"/>
  <c r="AB543" i="25" s="1"/>
  <c r="P541" i="25"/>
  <c r="AB541" i="25" s="1"/>
  <c r="P539" i="25"/>
  <c r="AB539" i="25" s="1"/>
  <c r="P537" i="25"/>
  <c r="AB537" i="25" s="1"/>
  <c r="P530" i="25"/>
  <c r="AB530" i="25" s="1"/>
  <c r="P529" i="25"/>
  <c r="AB529" i="25" s="1"/>
  <c r="P563" i="25"/>
  <c r="AB563" i="25" s="1"/>
  <c r="P562" i="25"/>
  <c r="AB562" i="25" s="1"/>
  <c r="P536" i="25"/>
  <c r="AB536" i="25" s="1"/>
  <c r="P535" i="25"/>
  <c r="AB535" i="25" s="1"/>
  <c r="P528" i="25"/>
  <c r="AB528" i="25" s="1"/>
  <c r="P527" i="25"/>
  <c r="AB527" i="25" s="1"/>
  <c r="P532" i="25"/>
  <c r="AB532" i="25" s="1"/>
  <c r="P531" i="25"/>
  <c r="AB531" i="25" s="1"/>
  <c r="P526" i="25"/>
  <c r="AB526" i="25" s="1"/>
  <c r="P525" i="25"/>
  <c r="AB525" i="25" s="1"/>
  <c r="P517" i="25"/>
  <c r="AB517" i="25" s="1"/>
  <c r="P516" i="25"/>
  <c r="AB516" i="25" s="1"/>
  <c r="P524" i="25"/>
  <c r="AB524" i="25" s="1"/>
  <c r="P522" i="25"/>
  <c r="AB522" i="25" s="1"/>
  <c r="P515" i="25"/>
  <c r="AB515" i="25" s="1"/>
  <c r="P514" i="25"/>
  <c r="AB514" i="25" s="1"/>
  <c r="P510" i="25"/>
  <c r="AB510" i="25" s="1"/>
  <c r="P508" i="25"/>
  <c r="AB508" i="25" s="1"/>
  <c r="P506" i="25"/>
  <c r="AB506" i="25" s="1"/>
  <c r="P504" i="25"/>
  <c r="AB504" i="25" s="1"/>
  <c r="P502" i="25"/>
  <c r="AB502" i="25" s="1"/>
  <c r="P500" i="25"/>
  <c r="AB500" i="25" s="1"/>
  <c r="P498" i="25"/>
  <c r="AB498" i="25" s="1"/>
  <c r="P496" i="25"/>
  <c r="AB496" i="25" s="1"/>
  <c r="P494" i="25"/>
  <c r="AB494" i="25" s="1"/>
  <c r="P492" i="25"/>
  <c r="AB492" i="25" s="1"/>
  <c r="P490" i="25"/>
  <c r="AB490" i="25" s="1"/>
  <c r="P488" i="25"/>
  <c r="AB488" i="25" s="1"/>
  <c r="P486" i="25"/>
  <c r="AB486" i="25" s="1"/>
  <c r="P484" i="25"/>
  <c r="AB484" i="25" s="1"/>
  <c r="P482" i="25"/>
  <c r="AB482" i="25" s="1"/>
  <c r="P534" i="25"/>
  <c r="AB534" i="25" s="1"/>
  <c r="P533" i="25"/>
  <c r="AB533" i="25" s="1"/>
  <c r="P519" i="25"/>
  <c r="AB519" i="25" s="1"/>
  <c r="P518" i="25"/>
  <c r="AB518" i="25" s="1"/>
  <c r="P511" i="25"/>
  <c r="AB511" i="25" s="1"/>
  <c r="P509" i="25"/>
  <c r="AB509" i="25" s="1"/>
  <c r="P507" i="25"/>
  <c r="AB507" i="25" s="1"/>
  <c r="P505" i="25"/>
  <c r="AB505" i="25" s="1"/>
  <c r="P503" i="25"/>
  <c r="AB503" i="25" s="1"/>
  <c r="P501" i="25"/>
  <c r="AB501" i="25" s="1"/>
  <c r="P499" i="25"/>
  <c r="AB499" i="25" s="1"/>
  <c r="P497" i="25"/>
  <c r="AB497" i="25" s="1"/>
  <c r="P495" i="25"/>
  <c r="AB495" i="25" s="1"/>
  <c r="P493" i="25"/>
  <c r="AB493" i="25" s="1"/>
  <c r="P491" i="25"/>
  <c r="AB491" i="25" s="1"/>
  <c r="P489" i="25"/>
  <c r="AB489" i="25" s="1"/>
  <c r="P487" i="25"/>
  <c r="AB487" i="25" s="1"/>
  <c r="P485" i="25"/>
  <c r="AB485" i="25" s="1"/>
  <c r="P481" i="25"/>
  <c r="AB481" i="25" s="1"/>
  <c r="P474" i="25"/>
  <c r="AB474" i="25" s="1"/>
  <c r="P473" i="25"/>
  <c r="AB473" i="25" s="1"/>
  <c r="P466" i="25"/>
  <c r="AB466" i="25" s="1"/>
  <c r="P465" i="25"/>
  <c r="AB465" i="25" s="1"/>
  <c r="P462" i="25"/>
  <c r="AB462" i="25" s="1"/>
  <c r="P460" i="25"/>
  <c r="AB460" i="25" s="1"/>
  <c r="P458" i="25"/>
  <c r="AB458" i="25" s="1"/>
  <c r="P456" i="25"/>
  <c r="AB456" i="25" s="1"/>
  <c r="P454" i="25"/>
  <c r="AB454" i="25" s="1"/>
  <c r="P452" i="25"/>
  <c r="AB452" i="25" s="1"/>
  <c r="P450" i="25"/>
  <c r="AB450" i="25" s="1"/>
  <c r="P448" i="25"/>
  <c r="AB448" i="25" s="1"/>
  <c r="P446" i="25"/>
  <c r="AB446" i="25" s="1"/>
  <c r="P444" i="25"/>
  <c r="AB444" i="25" s="1"/>
  <c r="P442" i="25"/>
  <c r="AB442" i="25" s="1"/>
  <c r="P440" i="25"/>
  <c r="AB440" i="25" s="1"/>
  <c r="P438" i="25"/>
  <c r="AB438" i="25" s="1"/>
  <c r="P436" i="25"/>
  <c r="AB436" i="25" s="1"/>
  <c r="P434" i="25"/>
  <c r="AB434" i="25" s="1"/>
  <c r="P432" i="25"/>
  <c r="AB432" i="25" s="1"/>
  <c r="P430" i="25"/>
  <c r="AB430" i="25" s="1"/>
  <c r="P428" i="25"/>
  <c r="AB428" i="25" s="1"/>
  <c r="P426" i="25"/>
  <c r="AB426" i="25" s="1"/>
  <c r="P424" i="25"/>
  <c r="AB424" i="25" s="1"/>
  <c r="P422" i="25"/>
  <c r="AB422" i="25" s="1"/>
  <c r="P420" i="25"/>
  <c r="AB420" i="25" s="1"/>
  <c r="P418" i="25"/>
  <c r="AB418" i="25" s="1"/>
  <c r="P416" i="25"/>
  <c r="AB416" i="25" s="1"/>
  <c r="P414" i="25"/>
  <c r="AB414" i="25" s="1"/>
  <c r="P412" i="25"/>
  <c r="AB412" i="25" s="1"/>
  <c r="P410" i="25"/>
  <c r="AB410" i="25" s="1"/>
  <c r="P408" i="25"/>
  <c r="AB408" i="25" s="1"/>
  <c r="P406" i="25"/>
  <c r="AB406" i="25" s="1"/>
  <c r="P404" i="25"/>
  <c r="AB404" i="25" s="1"/>
  <c r="P402" i="25"/>
  <c r="AB402" i="25" s="1"/>
  <c r="P400" i="25"/>
  <c r="AB400" i="25" s="1"/>
  <c r="P523" i="25"/>
  <c r="AB523" i="25" s="1"/>
  <c r="P483" i="25"/>
  <c r="AB483" i="25" s="1"/>
  <c r="P480" i="25"/>
  <c r="AB480" i="25" s="1"/>
  <c r="P479" i="25"/>
  <c r="AB479" i="25" s="1"/>
  <c r="P472" i="25"/>
  <c r="AB472" i="25" s="1"/>
  <c r="P471" i="25"/>
  <c r="AB471" i="25" s="1"/>
  <c r="P464" i="25"/>
  <c r="AB464" i="25" s="1"/>
  <c r="P513" i="25"/>
  <c r="AB513" i="25" s="1"/>
  <c r="P512" i="25"/>
  <c r="AB512" i="25" s="1"/>
  <c r="P476" i="25"/>
  <c r="AB476" i="25" s="1"/>
  <c r="P475" i="25"/>
  <c r="AB475" i="25" s="1"/>
  <c r="P468" i="25"/>
  <c r="AB468" i="25" s="1"/>
  <c r="P467" i="25"/>
  <c r="AB467" i="25" s="1"/>
  <c r="P478" i="25"/>
  <c r="AB478" i="25" s="1"/>
  <c r="P477" i="25"/>
  <c r="AB477" i="25" s="1"/>
  <c r="P459" i="25"/>
  <c r="AB459" i="25" s="1"/>
  <c r="P451" i="25"/>
  <c r="AB451" i="25" s="1"/>
  <c r="P443" i="25"/>
  <c r="AB443" i="25" s="1"/>
  <c r="P435" i="25"/>
  <c r="AB435" i="25" s="1"/>
  <c r="P421" i="25"/>
  <c r="AB421" i="25" s="1"/>
  <c r="P413" i="25"/>
  <c r="AB413" i="25" s="1"/>
  <c r="P405" i="25"/>
  <c r="AB405" i="25" s="1"/>
  <c r="P520" i="25"/>
  <c r="AB520" i="25" s="1"/>
  <c r="P470" i="25"/>
  <c r="AB470" i="25" s="1"/>
  <c r="P469" i="25"/>
  <c r="AB469" i="25" s="1"/>
  <c r="P461" i="25"/>
  <c r="AB461" i="25" s="1"/>
  <c r="P453" i="25"/>
  <c r="AB453" i="25" s="1"/>
  <c r="P445" i="25"/>
  <c r="AB445" i="25" s="1"/>
  <c r="P437" i="25"/>
  <c r="AB437" i="25" s="1"/>
  <c r="P429" i="25"/>
  <c r="AB429" i="25" s="1"/>
  <c r="P427" i="25"/>
  <c r="AB427" i="25" s="1"/>
  <c r="P419" i="25"/>
  <c r="AB419" i="25" s="1"/>
  <c r="P411" i="25"/>
  <c r="AB411" i="25" s="1"/>
  <c r="P403" i="25"/>
  <c r="AB403" i="25" s="1"/>
  <c r="P521" i="25"/>
  <c r="AB521" i="25" s="1"/>
  <c r="P457" i="25"/>
  <c r="AB457" i="25" s="1"/>
  <c r="P449" i="25"/>
  <c r="AB449" i="25" s="1"/>
  <c r="P441" i="25"/>
  <c r="AB441" i="25" s="1"/>
  <c r="P433" i="25"/>
  <c r="AB433" i="25" s="1"/>
  <c r="P423" i="25"/>
  <c r="AB423" i="25" s="1"/>
  <c r="P415" i="25"/>
  <c r="AB415" i="25" s="1"/>
  <c r="P407" i="25"/>
  <c r="AB407" i="25" s="1"/>
  <c r="P399" i="25"/>
  <c r="AB399" i="25" s="1"/>
  <c r="P397" i="25"/>
  <c r="AB397" i="25" s="1"/>
  <c r="P395" i="25"/>
  <c r="AB395" i="25" s="1"/>
  <c r="P393" i="25"/>
  <c r="AB393" i="25" s="1"/>
  <c r="P391" i="25"/>
  <c r="AB391" i="25" s="1"/>
  <c r="P389" i="25"/>
  <c r="AB389" i="25" s="1"/>
  <c r="P387" i="25"/>
  <c r="AB387" i="25" s="1"/>
  <c r="P385" i="25"/>
  <c r="AB385" i="25" s="1"/>
  <c r="P383" i="25"/>
  <c r="AB383" i="25" s="1"/>
  <c r="P381" i="25"/>
  <c r="AB381" i="25" s="1"/>
  <c r="P379" i="25"/>
  <c r="AB379" i="25" s="1"/>
  <c r="P377" i="25"/>
  <c r="AB377" i="25" s="1"/>
  <c r="P375" i="25"/>
  <c r="AB375" i="25" s="1"/>
  <c r="P447" i="25"/>
  <c r="AB447" i="25" s="1"/>
  <c r="P417" i="25"/>
  <c r="AB417" i="25" s="1"/>
  <c r="P394" i="25"/>
  <c r="AB394" i="25" s="1"/>
  <c r="P386" i="25"/>
  <c r="AB386" i="25" s="1"/>
  <c r="P378" i="25"/>
  <c r="AB378" i="25" s="1"/>
  <c r="P373" i="25"/>
  <c r="AB373" i="25" s="1"/>
  <c r="P371" i="25"/>
  <c r="AB371" i="25" s="1"/>
  <c r="P369" i="25"/>
  <c r="AB369" i="25" s="1"/>
  <c r="P367" i="25"/>
  <c r="AB367" i="25" s="1"/>
  <c r="P365" i="25"/>
  <c r="AB365" i="25" s="1"/>
  <c r="P363" i="25"/>
  <c r="AB363" i="25" s="1"/>
  <c r="P361" i="25"/>
  <c r="AB361" i="25" s="1"/>
  <c r="P359" i="25"/>
  <c r="AB359" i="25" s="1"/>
  <c r="P357" i="25"/>
  <c r="AB357" i="25" s="1"/>
  <c r="P355" i="25"/>
  <c r="AB355" i="25" s="1"/>
  <c r="P353" i="25"/>
  <c r="AB353" i="25" s="1"/>
  <c r="P351" i="25"/>
  <c r="AB351" i="25" s="1"/>
  <c r="P349" i="25"/>
  <c r="AB349" i="25" s="1"/>
  <c r="P347" i="25"/>
  <c r="AB347" i="25" s="1"/>
  <c r="P345" i="25"/>
  <c r="AB345" i="25" s="1"/>
  <c r="P343" i="25"/>
  <c r="AB343" i="25" s="1"/>
  <c r="P341" i="25"/>
  <c r="AB341" i="25" s="1"/>
  <c r="P339" i="25"/>
  <c r="AB339" i="25" s="1"/>
  <c r="P337" i="25"/>
  <c r="AB337" i="25" s="1"/>
  <c r="P335" i="25"/>
  <c r="AB335" i="25" s="1"/>
  <c r="P333" i="25"/>
  <c r="AB333" i="25" s="1"/>
  <c r="P331" i="25"/>
  <c r="AB331" i="25" s="1"/>
  <c r="P329" i="25"/>
  <c r="AB329" i="25" s="1"/>
  <c r="P327" i="25"/>
  <c r="AB327" i="25" s="1"/>
  <c r="P325" i="25"/>
  <c r="AB325" i="25" s="1"/>
  <c r="P323" i="25"/>
  <c r="AB323" i="25" s="1"/>
  <c r="P321" i="25"/>
  <c r="AB321" i="25" s="1"/>
  <c r="P319" i="25"/>
  <c r="AB319" i="25" s="1"/>
  <c r="P317" i="25"/>
  <c r="AB317" i="25" s="1"/>
  <c r="P315" i="25"/>
  <c r="AB315" i="25" s="1"/>
  <c r="P313" i="25"/>
  <c r="AB313" i="25" s="1"/>
  <c r="P311" i="25"/>
  <c r="AB311" i="25" s="1"/>
  <c r="P309" i="25"/>
  <c r="AB309" i="25" s="1"/>
  <c r="P307" i="25"/>
  <c r="AB307" i="25" s="1"/>
  <c r="P305" i="25"/>
  <c r="AB305" i="25" s="1"/>
  <c r="P303" i="25"/>
  <c r="AB303" i="25" s="1"/>
  <c r="P301" i="25"/>
  <c r="AB301" i="25" s="1"/>
  <c r="P299" i="25"/>
  <c r="AB299" i="25" s="1"/>
  <c r="P297" i="25"/>
  <c r="AB297" i="25" s="1"/>
  <c r="P295" i="25"/>
  <c r="AB295" i="25" s="1"/>
  <c r="P293" i="25"/>
  <c r="AB293" i="25" s="1"/>
  <c r="P291" i="25"/>
  <c r="AB291" i="25" s="1"/>
  <c r="P289" i="25"/>
  <c r="AB289" i="25" s="1"/>
  <c r="P287" i="25"/>
  <c r="AB287" i="25" s="1"/>
  <c r="P285" i="25"/>
  <c r="AB285" i="25" s="1"/>
  <c r="P283" i="25"/>
  <c r="AB283" i="25" s="1"/>
  <c r="P281" i="25"/>
  <c r="AB281" i="25" s="1"/>
  <c r="P279" i="25"/>
  <c r="AB279" i="25" s="1"/>
  <c r="P455" i="25"/>
  <c r="AB455" i="25" s="1"/>
  <c r="P409" i="25"/>
  <c r="AB409" i="25" s="1"/>
  <c r="P392" i="25"/>
  <c r="AB392" i="25" s="1"/>
  <c r="P384" i="25"/>
  <c r="AB384" i="25" s="1"/>
  <c r="P376" i="25"/>
  <c r="AB376" i="25" s="1"/>
  <c r="P439" i="25"/>
  <c r="AB439" i="25" s="1"/>
  <c r="P425" i="25"/>
  <c r="AB425" i="25" s="1"/>
  <c r="P396" i="25"/>
  <c r="AB396" i="25" s="1"/>
  <c r="P388" i="25"/>
  <c r="AB388" i="25" s="1"/>
  <c r="P380" i="25"/>
  <c r="AB380" i="25" s="1"/>
  <c r="P463" i="25"/>
  <c r="AB463" i="25" s="1"/>
  <c r="P401" i="25"/>
  <c r="AB401" i="25" s="1"/>
  <c r="P390" i="25"/>
  <c r="AB390" i="25" s="1"/>
  <c r="P368" i="25"/>
  <c r="AB368" i="25" s="1"/>
  <c r="P362" i="25"/>
  <c r="AB362" i="25" s="1"/>
  <c r="P358" i="25"/>
  <c r="AB358" i="25" s="1"/>
  <c r="P354" i="25"/>
  <c r="AB354" i="25" s="1"/>
  <c r="P350" i="25"/>
  <c r="AB350" i="25" s="1"/>
  <c r="P346" i="25"/>
  <c r="AB346" i="25" s="1"/>
  <c r="P336" i="25"/>
  <c r="AB336" i="25" s="1"/>
  <c r="P328" i="25"/>
  <c r="AB328" i="25" s="1"/>
  <c r="P320" i="25"/>
  <c r="AB320" i="25" s="1"/>
  <c r="P312" i="25"/>
  <c r="AB312" i="25" s="1"/>
  <c r="P304" i="25"/>
  <c r="AB304" i="25" s="1"/>
  <c r="P296" i="25"/>
  <c r="AB296" i="25" s="1"/>
  <c r="P288" i="25"/>
  <c r="AB288" i="25" s="1"/>
  <c r="P280" i="25"/>
  <c r="AB280" i="25" s="1"/>
  <c r="P278" i="25"/>
  <c r="AB278" i="25" s="1"/>
  <c r="P276" i="25"/>
  <c r="AB276" i="25" s="1"/>
  <c r="P274" i="25"/>
  <c r="AB274" i="25" s="1"/>
  <c r="P272" i="25"/>
  <c r="AB272" i="25" s="1"/>
  <c r="P270" i="25"/>
  <c r="AB270" i="25" s="1"/>
  <c r="P268" i="25"/>
  <c r="AB268" i="25" s="1"/>
  <c r="P266" i="25"/>
  <c r="AB266" i="25" s="1"/>
  <c r="P264" i="25"/>
  <c r="AB264" i="25" s="1"/>
  <c r="P382" i="25"/>
  <c r="AB382" i="25" s="1"/>
  <c r="P370" i="25"/>
  <c r="AB370" i="25" s="1"/>
  <c r="P342" i="25"/>
  <c r="AB342" i="25" s="1"/>
  <c r="P334" i="25"/>
  <c r="AB334" i="25" s="1"/>
  <c r="P326" i="25"/>
  <c r="AB326" i="25" s="1"/>
  <c r="P318" i="25"/>
  <c r="AB318" i="25" s="1"/>
  <c r="P310" i="25"/>
  <c r="AB310" i="25" s="1"/>
  <c r="P302" i="25"/>
  <c r="AB302" i="25" s="1"/>
  <c r="P294" i="25"/>
  <c r="AB294" i="25" s="1"/>
  <c r="P286" i="25"/>
  <c r="AB286" i="25" s="1"/>
  <c r="P431" i="25"/>
  <c r="AB431" i="25" s="1"/>
  <c r="P398" i="25"/>
  <c r="AB398" i="25" s="1"/>
  <c r="P374" i="25"/>
  <c r="AB374" i="25" s="1"/>
  <c r="P366" i="25"/>
  <c r="AB366" i="25" s="1"/>
  <c r="P338" i="25"/>
  <c r="AB338" i="25" s="1"/>
  <c r="P330" i="25"/>
  <c r="AB330" i="25" s="1"/>
  <c r="P322" i="25"/>
  <c r="AB322" i="25" s="1"/>
  <c r="P314" i="25"/>
  <c r="AB314" i="25" s="1"/>
  <c r="P306" i="25"/>
  <c r="AB306" i="25" s="1"/>
  <c r="P298" i="25"/>
  <c r="AB298" i="25" s="1"/>
  <c r="P290" i="25"/>
  <c r="AB290" i="25" s="1"/>
  <c r="P282" i="25"/>
  <c r="AB282" i="25" s="1"/>
  <c r="P360" i="25"/>
  <c r="AB360" i="25" s="1"/>
  <c r="P344" i="25"/>
  <c r="AB344" i="25" s="1"/>
  <c r="P316" i="25"/>
  <c r="AB316" i="25" s="1"/>
  <c r="P284" i="25"/>
  <c r="AB284" i="25" s="1"/>
  <c r="P271" i="25"/>
  <c r="AB271" i="25" s="1"/>
  <c r="P263" i="25"/>
  <c r="AB263" i="25" s="1"/>
  <c r="P256" i="25"/>
  <c r="AB256" i="25" s="1"/>
  <c r="P255" i="25"/>
  <c r="AB255" i="25" s="1"/>
  <c r="P248" i="25"/>
  <c r="AB248" i="25" s="1"/>
  <c r="P247" i="25"/>
  <c r="AB247" i="25" s="1"/>
  <c r="P240" i="25"/>
  <c r="AB240" i="25" s="1"/>
  <c r="P239" i="25"/>
  <c r="AB239" i="25" s="1"/>
  <c r="P232" i="25"/>
  <c r="AB232" i="25" s="1"/>
  <c r="P231" i="25"/>
  <c r="AB231" i="25" s="1"/>
  <c r="P364" i="25"/>
  <c r="AB364" i="25" s="1"/>
  <c r="P348" i="25"/>
  <c r="AB348" i="25" s="1"/>
  <c r="P340" i="25"/>
  <c r="AB340" i="25" s="1"/>
  <c r="P308" i="25"/>
  <c r="AB308" i="25" s="1"/>
  <c r="P273" i="25"/>
  <c r="AB273" i="25" s="1"/>
  <c r="P265" i="25"/>
  <c r="AB265" i="25" s="1"/>
  <c r="P262" i="25"/>
  <c r="AB262" i="25" s="1"/>
  <c r="P261" i="25"/>
  <c r="AB261" i="25" s="1"/>
  <c r="P254" i="25"/>
  <c r="AB254" i="25" s="1"/>
  <c r="P253" i="25"/>
  <c r="AB253" i="25" s="1"/>
  <c r="P246" i="25"/>
  <c r="AB246" i="25" s="1"/>
  <c r="P245" i="25"/>
  <c r="AB245" i="25" s="1"/>
  <c r="P238" i="25"/>
  <c r="AB238" i="25" s="1"/>
  <c r="P237" i="25"/>
  <c r="AB237" i="25" s="1"/>
  <c r="P230" i="25"/>
  <c r="AB230" i="25" s="1"/>
  <c r="P229" i="25"/>
  <c r="AB229" i="25" s="1"/>
  <c r="P224" i="25"/>
  <c r="AB224" i="25" s="1"/>
  <c r="P222" i="25"/>
  <c r="AB222" i="25" s="1"/>
  <c r="P220" i="25"/>
  <c r="AB220" i="25" s="1"/>
  <c r="P356" i="25"/>
  <c r="AB356" i="25" s="1"/>
  <c r="P324" i="25"/>
  <c r="AB324" i="25" s="1"/>
  <c r="P292" i="25"/>
  <c r="AB292" i="25" s="1"/>
  <c r="P277" i="25"/>
  <c r="AB277" i="25" s="1"/>
  <c r="P269" i="25"/>
  <c r="AB269" i="25" s="1"/>
  <c r="P258" i="25"/>
  <c r="AB258" i="25" s="1"/>
  <c r="P257" i="25"/>
  <c r="AB257" i="25" s="1"/>
  <c r="P250" i="25"/>
  <c r="AB250" i="25" s="1"/>
  <c r="P249" i="25"/>
  <c r="AB249" i="25" s="1"/>
  <c r="P242" i="25"/>
  <c r="AB242" i="25" s="1"/>
  <c r="P241" i="25"/>
  <c r="AB241" i="25" s="1"/>
  <c r="P234" i="25"/>
  <c r="AB234" i="25" s="1"/>
  <c r="P233" i="25"/>
  <c r="AB233" i="25" s="1"/>
  <c r="P226" i="25"/>
  <c r="AB226" i="25" s="1"/>
  <c r="P225" i="25"/>
  <c r="AB225" i="25" s="1"/>
  <c r="P223" i="25"/>
  <c r="AB223" i="25" s="1"/>
  <c r="P221" i="25"/>
  <c r="AB221" i="25" s="1"/>
  <c r="P219" i="25"/>
  <c r="AB219" i="25" s="1"/>
  <c r="P217" i="25"/>
  <c r="AB217" i="25" s="1"/>
  <c r="P215" i="25"/>
  <c r="AB215" i="25" s="1"/>
  <c r="P213" i="25"/>
  <c r="AB213" i="25" s="1"/>
  <c r="P211" i="25"/>
  <c r="AB211" i="25" s="1"/>
  <c r="P209" i="25"/>
  <c r="AB209" i="25" s="1"/>
  <c r="P207" i="25"/>
  <c r="AB207" i="25" s="1"/>
  <c r="P205" i="25"/>
  <c r="AB205" i="25" s="1"/>
  <c r="P203" i="25"/>
  <c r="AB203" i="25" s="1"/>
  <c r="P201" i="25"/>
  <c r="AB201" i="25" s="1"/>
  <c r="P199" i="25"/>
  <c r="AB199" i="25" s="1"/>
  <c r="P197" i="25"/>
  <c r="AB197" i="25" s="1"/>
  <c r="P195" i="25"/>
  <c r="AB195" i="25" s="1"/>
  <c r="P193" i="25"/>
  <c r="AB193" i="25" s="1"/>
  <c r="P191" i="25"/>
  <c r="AB191" i="25" s="1"/>
  <c r="P189" i="25"/>
  <c r="AB189" i="25" s="1"/>
  <c r="P187" i="25"/>
  <c r="AB187" i="25" s="1"/>
  <c r="P185" i="25"/>
  <c r="AB185" i="25" s="1"/>
  <c r="P183" i="25"/>
  <c r="AB183" i="25" s="1"/>
  <c r="P181" i="25"/>
  <c r="AB181" i="25" s="1"/>
  <c r="P179" i="25"/>
  <c r="AB179" i="25" s="1"/>
  <c r="P177" i="25"/>
  <c r="AB177" i="25" s="1"/>
  <c r="P175" i="25"/>
  <c r="AB175" i="25" s="1"/>
  <c r="P173" i="25"/>
  <c r="AB173" i="25" s="1"/>
  <c r="P171" i="25"/>
  <c r="AB171" i="25" s="1"/>
  <c r="P169" i="25"/>
  <c r="AB169" i="25" s="1"/>
  <c r="P167" i="25"/>
  <c r="AB167" i="25" s="1"/>
  <c r="P165" i="25"/>
  <c r="AB165" i="25" s="1"/>
  <c r="P163" i="25"/>
  <c r="AB163" i="25" s="1"/>
  <c r="P161" i="25"/>
  <c r="AB161" i="25" s="1"/>
  <c r="P159" i="25"/>
  <c r="AB159" i="25" s="1"/>
  <c r="P157" i="25"/>
  <c r="AB157" i="25" s="1"/>
  <c r="P155" i="25"/>
  <c r="AB155" i="25" s="1"/>
  <c r="P153" i="25"/>
  <c r="AB153" i="25" s="1"/>
  <c r="P151" i="25"/>
  <c r="AB151" i="25" s="1"/>
  <c r="P149" i="25"/>
  <c r="AB149" i="25" s="1"/>
  <c r="P147" i="25"/>
  <c r="AB147" i="25" s="1"/>
  <c r="P145" i="25"/>
  <c r="AB145" i="25" s="1"/>
  <c r="P143" i="25"/>
  <c r="AB143" i="25" s="1"/>
  <c r="P141" i="25"/>
  <c r="AB141" i="25" s="1"/>
  <c r="P139" i="25"/>
  <c r="AB139" i="25" s="1"/>
  <c r="P137" i="25"/>
  <c r="AB137" i="25" s="1"/>
  <c r="P135" i="25"/>
  <c r="AB135" i="25" s="1"/>
  <c r="P133" i="25"/>
  <c r="AB133" i="25" s="1"/>
  <c r="P131" i="25"/>
  <c r="AB131" i="25" s="1"/>
  <c r="P129" i="25"/>
  <c r="AB129" i="25" s="1"/>
  <c r="P127" i="25"/>
  <c r="AB127" i="25" s="1"/>
  <c r="P125" i="25"/>
  <c r="AB125" i="25" s="1"/>
  <c r="P123" i="25"/>
  <c r="AB123" i="25" s="1"/>
  <c r="P121" i="25"/>
  <c r="AB121" i="25" s="1"/>
  <c r="P119" i="25"/>
  <c r="AB119" i="25" s="1"/>
  <c r="P117" i="25"/>
  <c r="AB117" i="25" s="1"/>
  <c r="P115" i="25"/>
  <c r="AB115" i="25" s="1"/>
  <c r="P113" i="25"/>
  <c r="AB113" i="25" s="1"/>
  <c r="P111" i="25"/>
  <c r="AB111" i="25" s="1"/>
  <c r="P109" i="25"/>
  <c r="AB109" i="25" s="1"/>
  <c r="P107" i="25"/>
  <c r="AB107" i="25" s="1"/>
  <c r="P105" i="25"/>
  <c r="AB105" i="25" s="1"/>
  <c r="P103" i="25"/>
  <c r="AB103" i="25" s="1"/>
  <c r="P101" i="25"/>
  <c r="AB101" i="25" s="1"/>
  <c r="P99" i="25"/>
  <c r="AB99" i="25" s="1"/>
  <c r="P97" i="25"/>
  <c r="AB97" i="25" s="1"/>
  <c r="P95" i="25"/>
  <c r="AB95" i="25" s="1"/>
  <c r="P93" i="25"/>
  <c r="AB93" i="25" s="1"/>
  <c r="P91" i="25"/>
  <c r="AB91" i="25" s="1"/>
  <c r="P89" i="25"/>
  <c r="AB89" i="25" s="1"/>
  <c r="P87" i="25"/>
  <c r="AB87" i="25" s="1"/>
  <c r="P85" i="25"/>
  <c r="AB85" i="25" s="1"/>
  <c r="P83" i="25"/>
  <c r="AB83" i="25" s="1"/>
  <c r="P81" i="25"/>
  <c r="AB81" i="25" s="1"/>
  <c r="P79" i="25"/>
  <c r="AB79" i="25" s="1"/>
  <c r="P77" i="25"/>
  <c r="AB77" i="25" s="1"/>
  <c r="P75" i="25"/>
  <c r="AB75" i="25" s="1"/>
  <c r="P73" i="25"/>
  <c r="AB73" i="25" s="1"/>
  <c r="P71" i="25"/>
  <c r="AB71" i="25" s="1"/>
  <c r="P69" i="25"/>
  <c r="AB69" i="25" s="1"/>
  <c r="P67" i="25"/>
  <c r="AB67" i="25" s="1"/>
  <c r="P65" i="25"/>
  <c r="AB65" i="25" s="1"/>
  <c r="P63" i="25"/>
  <c r="AB63" i="25" s="1"/>
  <c r="P61" i="25"/>
  <c r="AB61" i="25" s="1"/>
  <c r="P59" i="25"/>
  <c r="AB59" i="25" s="1"/>
  <c r="P57" i="25"/>
  <c r="AB57" i="25" s="1"/>
  <c r="P55" i="25"/>
  <c r="AB55" i="25" s="1"/>
  <c r="P53" i="25"/>
  <c r="AB53" i="25" s="1"/>
  <c r="P51" i="25"/>
  <c r="AB51" i="25" s="1"/>
  <c r="P49" i="25"/>
  <c r="AB49" i="25" s="1"/>
  <c r="P47" i="25"/>
  <c r="AB47" i="25" s="1"/>
  <c r="P45" i="25"/>
  <c r="AB45" i="25" s="1"/>
  <c r="P43" i="25"/>
  <c r="AB43" i="25" s="1"/>
  <c r="P41" i="25"/>
  <c r="AB41" i="25" s="1"/>
  <c r="P39" i="25"/>
  <c r="AB39" i="25" s="1"/>
  <c r="P37" i="25"/>
  <c r="AB37" i="25" s="1"/>
  <c r="P35" i="25"/>
  <c r="AB35" i="25" s="1"/>
  <c r="P33" i="25"/>
  <c r="AB33" i="25" s="1"/>
  <c r="P31" i="25"/>
  <c r="AB31" i="25" s="1"/>
  <c r="P29" i="25"/>
  <c r="AB29" i="25" s="1"/>
  <c r="P300" i="25"/>
  <c r="AB300" i="25" s="1"/>
  <c r="P267" i="25"/>
  <c r="AB267" i="25" s="1"/>
  <c r="P236" i="25"/>
  <c r="AB236" i="25" s="1"/>
  <c r="P235" i="25"/>
  <c r="AB235" i="25" s="1"/>
  <c r="P216" i="25"/>
  <c r="AB216" i="25" s="1"/>
  <c r="P212" i="25"/>
  <c r="AB212" i="25" s="1"/>
  <c r="P208" i="25"/>
  <c r="AB208" i="25" s="1"/>
  <c r="P204" i="25"/>
  <c r="AB204" i="25" s="1"/>
  <c r="P200" i="25"/>
  <c r="AB200" i="25" s="1"/>
  <c r="P196" i="25"/>
  <c r="AB196" i="25" s="1"/>
  <c r="P192" i="25"/>
  <c r="AB192" i="25" s="1"/>
  <c r="P188" i="25"/>
  <c r="AB188" i="25" s="1"/>
  <c r="P184" i="25"/>
  <c r="AB184" i="25" s="1"/>
  <c r="P180" i="25"/>
  <c r="AB180" i="25" s="1"/>
  <c r="P176" i="25"/>
  <c r="AB176" i="25" s="1"/>
  <c r="P172" i="25"/>
  <c r="AB172" i="25" s="1"/>
  <c r="P168" i="25"/>
  <c r="AB168" i="25" s="1"/>
  <c r="P164" i="25"/>
  <c r="AB164" i="25" s="1"/>
  <c r="P160" i="25"/>
  <c r="AB160" i="25" s="1"/>
  <c r="P156" i="25"/>
  <c r="AB156" i="25" s="1"/>
  <c r="P152" i="25"/>
  <c r="AB152" i="25" s="1"/>
  <c r="P148" i="25"/>
  <c r="AB148" i="25" s="1"/>
  <c r="P144" i="25"/>
  <c r="AB144" i="25" s="1"/>
  <c r="P140" i="25"/>
  <c r="AB140" i="25" s="1"/>
  <c r="P136" i="25"/>
  <c r="AB136" i="25" s="1"/>
  <c r="P132" i="25"/>
  <c r="AB132" i="25" s="1"/>
  <c r="P128" i="25"/>
  <c r="P124" i="25"/>
  <c r="AB124" i="25" s="1"/>
  <c r="P120" i="25"/>
  <c r="AB120" i="25" s="1"/>
  <c r="P118" i="25"/>
  <c r="AB118" i="25" s="1"/>
  <c r="P110" i="25"/>
  <c r="AB110" i="25" s="1"/>
  <c r="P102" i="25"/>
  <c r="AB102" i="25" s="1"/>
  <c r="P94" i="25"/>
  <c r="AB94" i="25" s="1"/>
  <c r="P86" i="25"/>
  <c r="AB86" i="25" s="1"/>
  <c r="P78" i="25"/>
  <c r="AB78" i="25" s="1"/>
  <c r="P70" i="25"/>
  <c r="AB70" i="25" s="1"/>
  <c r="P62" i="25"/>
  <c r="AB62" i="25" s="1"/>
  <c r="P54" i="25"/>
  <c r="AB54" i="25" s="1"/>
  <c r="P275" i="25"/>
  <c r="AB275" i="25" s="1"/>
  <c r="P260" i="25"/>
  <c r="AB260" i="25" s="1"/>
  <c r="P259" i="25"/>
  <c r="AB259" i="25" s="1"/>
  <c r="P228" i="25"/>
  <c r="AB228" i="25" s="1"/>
  <c r="P227" i="25"/>
  <c r="AB227" i="25" s="1"/>
  <c r="P116" i="25"/>
  <c r="AB116" i="25" s="1"/>
  <c r="P108" i="25"/>
  <c r="AB108" i="25" s="1"/>
  <c r="P100" i="25"/>
  <c r="AB100" i="25" s="1"/>
  <c r="P92" i="25"/>
  <c r="AB92" i="25" s="1"/>
  <c r="P84" i="25"/>
  <c r="AB84" i="25" s="1"/>
  <c r="P76" i="25"/>
  <c r="AB76" i="25" s="1"/>
  <c r="P68" i="25"/>
  <c r="AB68" i="25" s="1"/>
  <c r="P60" i="25"/>
  <c r="AB60" i="25" s="1"/>
  <c r="P52" i="25"/>
  <c r="AB52" i="25" s="1"/>
  <c r="P44" i="25"/>
  <c r="AB44" i="25" s="1"/>
  <c r="P372" i="25"/>
  <c r="AB372" i="25" s="1"/>
  <c r="P352" i="25"/>
  <c r="AB352" i="25" s="1"/>
  <c r="P332" i="25"/>
  <c r="AB332" i="25" s="1"/>
  <c r="P244" i="25"/>
  <c r="AB244" i="25" s="1"/>
  <c r="P243" i="25"/>
  <c r="AB243" i="25" s="1"/>
  <c r="P112" i="25"/>
  <c r="AB112" i="25" s="1"/>
  <c r="P104" i="25"/>
  <c r="AB104" i="25" s="1"/>
  <c r="P96" i="25"/>
  <c r="AB96" i="25" s="1"/>
  <c r="P88" i="25"/>
  <c r="AB88" i="25" s="1"/>
  <c r="P80" i="25"/>
  <c r="AB80" i="25" s="1"/>
  <c r="P72" i="25"/>
  <c r="AB72" i="25" s="1"/>
  <c r="P64" i="25"/>
  <c r="AB64" i="25" s="1"/>
  <c r="P56" i="25"/>
  <c r="AB56" i="25" s="1"/>
  <c r="P48" i="25"/>
  <c r="AB48" i="25" s="1"/>
  <c r="P40" i="25"/>
  <c r="AB40" i="25" s="1"/>
  <c r="P32" i="25"/>
  <c r="AB32" i="25" s="1"/>
  <c r="P27" i="25"/>
  <c r="AB27" i="25" s="1"/>
  <c r="P25" i="25"/>
  <c r="AB25" i="25" s="1"/>
  <c r="P23" i="25"/>
  <c r="AB23" i="25" s="1"/>
  <c r="P21" i="25"/>
  <c r="AB21" i="25" s="1"/>
  <c r="P19" i="25"/>
  <c r="AB19" i="25" s="1"/>
  <c r="P17" i="25"/>
  <c r="AB17" i="25" s="1"/>
  <c r="P15" i="25"/>
  <c r="AB15" i="25" s="1"/>
  <c r="P13" i="25"/>
  <c r="AB13" i="25" s="1"/>
  <c r="P46" i="25"/>
  <c r="AB46" i="25" s="1"/>
  <c r="P38" i="25"/>
  <c r="AB38" i="25" s="1"/>
  <c r="P30" i="25"/>
  <c r="AB30" i="25" s="1"/>
  <c r="P214" i="25"/>
  <c r="AB214" i="25" s="1"/>
  <c r="P198" i="25"/>
  <c r="AB198" i="25" s="1"/>
  <c r="P182" i="25"/>
  <c r="AB182" i="25" s="1"/>
  <c r="P166" i="25"/>
  <c r="AB166" i="25" s="1"/>
  <c r="P150" i="25"/>
  <c r="AB150" i="25" s="1"/>
  <c r="P134" i="25"/>
  <c r="AB134" i="25" s="1"/>
  <c r="P98" i="25"/>
  <c r="AB98" i="25" s="1"/>
  <c r="P66" i="25"/>
  <c r="AB66" i="25" s="1"/>
  <c r="P174" i="25"/>
  <c r="AB174" i="25" s="1"/>
  <c r="P158" i="25"/>
  <c r="AB158" i="25" s="1"/>
  <c r="P24" i="25"/>
  <c r="AB24" i="25" s="1"/>
  <c r="P251" i="25"/>
  <c r="AB251" i="25" s="1"/>
  <c r="P218" i="25"/>
  <c r="AB218" i="25" s="1"/>
  <c r="P202" i="25"/>
  <c r="AB202" i="25" s="1"/>
  <c r="P186" i="25"/>
  <c r="AB186" i="25" s="1"/>
  <c r="P170" i="25"/>
  <c r="AB170" i="25" s="1"/>
  <c r="P154" i="25"/>
  <c r="AB154" i="25" s="1"/>
  <c r="P138" i="25"/>
  <c r="AB138" i="25" s="1"/>
  <c r="P122" i="25"/>
  <c r="AB122" i="25" s="1"/>
  <c r="P90" i="25"/>
  <c r="AB90" i="25" s="1"/>
  <c r="P58" i="25"/>
  <c r="AB58" i="25" s="1"/>
  <c r="P36" i="25"/>
  <c r="AB36" i="25" s="1"/>
  <c r="P26" i="25"/>
  <c r="AB26" i="25" s="1"/>
  <c r="P18" i="25"/>
  <c r="AB18" i="25" s="1"/>
  <c r="P190" i="25"/>
  <c r="AB190" i="25" s="1"/>
  <c r="P142" i="25"/>
  <c r="AB142" i="25" s="1"/>
  <c r="P126" i="25"/>
  <c r="AB126" i="25" s="1"/>
  <c r="P16" i="25"/>
  <c r="AB16" i="25" s="1"/>
  <c r="P252" i="25"/>
  <c r="AB252" i="25" s="1"/>
  <c r="P210" i="25"/>
  <c r="AB210" i="25" s="1"/>
  <c r="P194" i="25"/>
  <c r="AB194" i="25" s="1"/>
  <c r="P178" i="25"/>
  <c r="AB178" i="25" s="1"/>
  <c r="P162" i="25"/>
  <c r="AB162" i="25" s="1"/>
  <c r="P146" i="25"/>
  <c r="AB146" i="25" s="1"/>
  <c r="P130" i="25"/>
  <c r="AB130" i="25" s="1"/>
  <c r="P106" i="25"/>
  <c r="AB106" i="25" s="1"/>
  <c r="P74" i="25"/>
  <c r="AB74" i="25" s="1"/>
  <c r="P42" i="25"/>
  <c r="AB42" i="25" s="1"/>
  <c r="P28" i="25"/>
  <c r="AB28" i="25" s="1"/>
  <c r="P22" i="25"/>
  <c r="AB22" i="25" s="1"/>
  <c r="P14" i="25"/>
  <c r="AB14" i="25" s="1"/>
  <c r="P20" i="25"/>
  <c r="AB20" i="25" s="1"/>
  <c r="P206" i="25"/>
  <c r="AB206" i="25" s="1"/>
  <c r="P114" i="25"/>
  <c r="AB114" i="25" s="1"/>
  <c r="P82" i="25"/>
  <c r="AB82" i="25" s="1"/>
  <c r="P50" i="25"/>
  <c r="AB50" i="25" s="1"/>
  <c r="P34" i="25"/>
  <c r="AB34" i="25" s="1"/>
  <c r="O293" i="25"/>
  <c r="AA293" i="25" s="1"/>
  <c r="O123" i="25"/>
  <c r="AA123" i="25" s="1"/>
  <c r="O139" i="25"/>
  <c r="AA139" i="25" s="1"/>
  <c r="O155" i="25"/>
  <c r="AA155" i="25" s="1"/>
  <c r="O171" i="25"/>
  <c r="AA171" i="25" s="1"/>
  <c r="O187" i="25"/>
  <c r="AA187" i="25" s="1"/>
  <c r="O203" i="25"/>
  <c r="AA203" i="25" s="1"/>
  <c r="O227" i="25"/>
  <c r="AA227" i="25" s="1"/>
  <c r="O233" i="25"/>
  <c r="AA233" i="25" s="1"/>
  <c r="O265" i="25"/>
  <c r="AA265" i="25" s="1"/>
  <c r="O229" i="25"/>
  <c r="AA229" i="25" s="1"/>
  <c r="O261" i="25"/>
  <c r="AA261" i="25" s="1"/>
  <c r="O332" i="25"/>
  <c r="AA332" i="25" s="1"/>
  <c r="O239" i="25"/>
  <c r="AA239" i="25" s="1"/>
  <c r="O267" i="25"/>
  <c r="AA267" i="25" s="1"/>
  <c r="O340" i="25"/>
  <c r="AA340" i="25" s="1"/>
  <c r="O344" i="25"/>
  <c r="AA344" i="25" s="1"/>
  <c r="O360" i="25"/>
  <c r="AA360" i="25" s="1"/>
  <c r="O346" i="25"/>
  <c r="AA346" i="25" s="1"/>
  <c r="O362" i="25"/>
  <c r="AA362" i="25" s="1"/>
  <c r="O364" i="25"/>
  <c r="AA364" i="25" s="1"/>
  <c r="O454" i="25"/>
  <c r="AA454" i="25" s="1"/>
  <c r="O501" i="25"/>
  <c r="AA501" i="25" s="1"/>
  <c r="O438" i="25"/>
  <c r="AA438" i="25" s="1"/>
  <c r="O456" i="25"/>
  <c r="AA456" i="25" s="1"/>
  <c r="O436" i="25"/>
  <c r="AA436" i="25" s="1"/>
  <c r="O493" i="25"/>
  <c r="AA493" i="25" s="1"/>
  <c r="O458" i="25"/>
  <c r="AA458" i="25" s="1"/>
  <c r="O512" i="25"/>
  <c r="AA512" i="25" s="1"/>
  <c r="O495" i="25"/>
  <c r="AA495" i="25" s="1"/>
  <c r="O491" i="25"/>
  <c r="AA491" i="25" s="1"/>
  <c r="O465" i="25"/>
  <c r="AA465" i="25" s="1"/>
  <c r="O497" i="25"/>
  <c r="AA497" i="25" s="1"/>
  <c r="O524" i="25"/>
  <c r="AA524" i="25" s="1"/>
  <c r="O549" i="25"/>
  <c r="AA549" i="25" s="1"/>
  <c r="O531" i="25"/>
  <c r="AA531" i="25" s="1"/>
  <c r="O535" i="25"/>
  <c r="AA535" i="25" s="1"/>
  <c r="O568" i="25"/>
  <c r="AA568" i="25" s="1"/>
  <c r="O553" i="25"/>
  <c r="AA553" i="25" s="1"/>
  <c r="O584" i="25"/>
  <c r="AA584" i="25" s="1"/>
  <c r="O566" i="25"/>
  <c r="AA566" i="25" s="1"/>
  <c r="O572" i="25"/>
  <c r="AA572" i="25" s="1"/>
  <c r="O586" i="25"/>
  <c r="AA586" i="25" s="1"/>
  <c r="O602" i="25"/>
  <c r="AA602" i="25" s="1"/>
  <c r="O611" i="25"/>
  <c r="AA611" i="25" s="1"/>
  <c r="O59" i="25"/>
  <c r="AA59" i="25" s="1"/>
  <c r="O66" i="25"/>
  <c r="AA66" i="25" s="1"/>
  <c r="O193" i="25"/>
  <c r="AA193" i="25" s="1"/>
  <c r="O74" i="25"/>
  <c r="AA74" i="25" s="1"/>
  <c r="O137" i="25"/>
  <c r="AA137" i="25" s="1"/>
  <c r="O205" i="25"/>
  <c r="AA205" i="25" s="1"/>
  <c r="O243" i="25"/>
  <c r="AA243" i="25" s="1"/>
  <c r="O131" i="25"/>
  <c r="AA131" i="25" s="1"/>
  <c r="O195" i="25"/>
  <c r="AA195" i="25" s="1"/>
  <c r="O249" i="25"/>
  <c r="AA249" i="25" s="1"/>
  <c r="O277" i="25"/>
  <c r="AA277" i="25" s="1"/>
  <c r="O352" i="25"/>
  <c r="AA352" i="25" s="1"/>
  <c r="O374" i="25"/>
  <c r="AA374" i="25" s="1"/>
  <c r="O446" i="25"/>
  <c r="AA446" i="25" s="1"/>
  <c r="O442" i="25"/>
  <c r="AA442" i="25" s="1"/>
  <c r="O471" i="25"/>
  <c r="AA471" i="25" s="1"/>
  <c r="O533" i="25"/>
  <c r="AA533" i="25" s="1"/>
  <c r="O551" i="25"/>
  <c r="AA551" i="25" s="1"/>
  <c r="O537" i="25"/>
  <c r="AA537" i="25" s="1"/>
  <c r="O590" i="25"/>
  <c r="AA590" i="25" s="1"/>
  <c r="O324" i="25"/>
  <c r="AA324" i="25" s="1"/>
  <c r="O189" i="25"/>
  <c r="AA189" i="25" s="1"/>
  <c r="O78" i="25"/>
  <c r="AA78" i="25" s="1"/>
  <c r="O149" i="25"/>
  <c r="AA149" i="25" s="1"/>
  <c r="O213" i="25"/>
  <c r="AA213" i="25" s="1"/>
  <c r="O223" i="25"/>
  <c r="AA223" i="25" s="1"/>
  <c r="O219" i="25"/>
  <c r="AA219" i="25" s="1"/>
  <c r="O127" i="25"/>
  <c r="AA127" i="25" s="1"/>
  <c r="O143" i="25"/>
  <c r="AA143" i="25" s="1"/>
  <c r="O159" i="25"/>
  <c r="AA159" i="25" s="1"/>
  <c r="O175" i="25"/>
  <c r="AA175" i="25" s="1"/>
  <c r="O191" i="25"/>
  <c r="AA191" i="25" s="1"/>
  <c r="O207" i="25"/>
  <c r="AA207" i="25" s="1"/>
  <c r="O259" i="25"/>
  <c r="AA259" i="25" s="1"/>
  <c r="O241" i="25"/>
  <c r="AA241" i="25" s="1"/>
  <c r="O273" i="25"/>
  <c r="AA273" i="25" s="1"/>
  <c r="O237" i="25"/>
  <c r="AA237" i="25" s="1"/>
  <c r="O269" i="25"/>
  <c r="AA269" i="25" s="1"/>
  <c r="O398" i="25"/>
  <c r="AA398" i="25" s="1"/>
  <c r="O247" i="25"/>
  <c r="AA247" i="25" s="1"/>
  <c r="O275" i="25"/>
  <c r="AA275" i="25" s="1"/>
  <c r="O391" i="25"/>
  <c r="AA391" i="25" s="1"/>
  <c r="O348" i="25"/>
  <c r="AA348" i="25" s="1"/>
  <c r="O370" i="25"/>
  <c r="AA370" i="25" s="1"/>
  <c r="O350" i="25"/>
  <c r="AA350" i="25" s="1"/>
  <c r="O366" i="25"/>
  <c r="AA366" i="25" s="1"/>
  <c r="O372" i="25"/>
  <c r="AA372" i="25" s="1"/>
  <c r="O417" i="25"/>
  <c r="AA417" i="25" s="1"/>
  <c r="O401" i="25"/>
  <c r="AA401" i="25" s="1"/>
  <c r="O432" i="25"/>
  <c r="AA432" i="25" s="1"/>
  <c r="O477" i="25"/>
  <c r="AA477" i="25" s="1"/>
  <c r="O444" i="25"/>
  <c r="AA444" i="25" s="1"/>
  <c r="O434" i="25"/>
  <c r="AA434" i="25" s="1"/>
  <c r="O469" i="25"/>
  <c r="AA469" i="25" s="1"/>
  <c r="O467" i="25"/>
  <c r="AA467" i="25" s="1"/>
  <c r="O503" i="25"/>
  <c r="AA503" i="25" s="1"/>
  <c r="O499" i="25"/>
  <c r="AA499" i="25" s="1"/>
  <c r="O473" i="25"/>
  <c r="AA473" i="25" s="1"/>
  <c r="O505" i="25"/>
  <c r="AA505" i="25" s="1"/>
  <c r="O525" i="25"/>
  <c r="AA525" i="25" s="1"/>
  <c r="O576" i="25"/>
  <c r="AA576" i="25" s="1"/>
  <c r="O543" i="25"/>
  <c r="AA543" i="25" s="1"/>
  <c r="O539" i="25"/>
  <c r="AA539" i="25" s="1"/>
  <c r="O529" i="25"/>
  <c r="AA529" i="25" s="1"/>
  <c r="O562" i="25"/>
  <c r="AA562" i="25" s="1"/>
  <c r="O595" i="25"/>
  <c r="AA595" i="25" s="1"/>
  <c r="O574" i="25"/>
  <c r="AA574" i="25" s="1"/>
  <c r="O582" i="25"/>
  <c r="AA582" i="25" s="1"/>
  <c r="O580" i="25"/>
  <c r="AA580" i="25" s="1"/>
  <c r="O600" i="25"/>
  <c r="AA600" i="25" s="1"/>
  <c r="O609" i="25"/>
  <c r="AA609" i="25" s="1"/>
  <c r="O28" i="25"/>
  <c r="AA28" i="25" s="1"/>
  <c r="O129" i="25"/>
  <c r="AA129" i="25" s="1"/>
  <c r="O173" i="25"/>
  <c r="AA173" i="25" s="1"/>
  <c r="O201" i="25"/>
  <c r="AA201" i="25" s="1"/>
  <c r="O90" i="25"/>
  <c r="AA90" i="25" s="1"/>
  <c r="O235" i="25"/>
  <c r="AA235" i="25" s="1"/>
  <c r="O147" i="25"/>
  <c r="AA147" i="25" s="1"/>
  <c r="O211" i="25"/>
  <c r="AA211" i="25" s="1"/>
  <c r="O284" i="25"/>
  <c r="AA284" i="25" s="1"/>
  <c r="O399" i="25"/>
  <c r="AA399" i="25" s="1"/>
  <c r="O425" i="25"/>
  <c r="AA425" i="25" s="1"/>
  <c r="O354" i="25"/>
  <c r="AA354" i="25" s="1"/>
  <c r="O430" i="25"/>
  <c r="AA430" i="25" s="1"/>
  <c r="O509" i="25"/>
  <c r="AA509" i="25" s="1"/>
  <c r="O483" i="25"/>
  <c r="AA483" i="25" s="1"/>
  <c r="O481" i="25"/>
  <c r="AA481" i="25" s="1"/>
  <c r="O516" i="25"/>
  <c r="AA516" i="25" s="1"/>
  <c r="O560" i="25"/>
  <c r="AA560" i="25" s="1"/>
  <c r="O598" i="25"/>
  <c r="AA598" i="25" s="1"/>
  <c r="O94" i="25"/>
  <c r="AA94" i="25" s="1"/>
  <c r="O25" i="25"/>
  <c r="AA25" i="25" s="1"/>
  <c r="O102" i="25"/>
  <c r="AA102" i="25" s="1"/>
  <c r="O153" i="25"/>
  <c r="AA153" i="25" s="1"/>
  <c r="O217" i="25"/>
  <c r="AA217" i="25" s="1"/>
  <c r="O125" i="25"/>
  <c r="AA125" i="25" s="1"/>
  <c r="O34" i="25"/>
  <c r="AA34" i="25" s="1"/>
  <c r="O110" i="25"/>
  <c r="AA110" i="25" s="1"/>
  <c r="O181" i="25"/>
  <c r="AA181" i="25" s="1"/>
  <c r="O292" i="25"/>
  <c r="AA292" i="25" s="1"/>
  <c r="O271" i="25"/>
  <c r="AA271" i="25" s="1"/>
  <c r="O135" i="25"/>
  <c r="AA135" i="25" s="1"/>
  <c r="O151" i="25"/>
  <c r="AA151" i="25" s="1"/>
  <c r="O167" i="25"/>
  <c r="AA167" i="25" s="1"/>
  <c r="O183" i="25"/>
  <c r="AA183" i="25" s="1"/>
  <c r="O199" i="25"/>
  <c r="AA199" i="25" s="1"/>
  <c r="O215" i="25"/>
  <c r="AA215" i="25" s="1"/>
  <c r="O396" i="25"/>
  <c r="AA396" i="25" s="1"/>
  <c r="O257" i="25"/>
  <c r="AA257" i="25" s="1"/>
  <c r="O316" i="25"/>
  <c r="AA316" i="25" s="1"/>
  <c r="O253" i="25"/>
  <c r="AA253" i="25" s="1"/>
  <c r="O300" i="25"/>
  <c r="AA300" i="25" s="1"/>
  <c r="O231" i="25"/>
  <c r="AA231" i="25" s="1"/>
  <c r="O263" i="25"/>
  <c r="AA263" i="25" s="1"/>
  <c r="O328" i="25"/>
  <c r="AA328" i="25" s="1"/>
  <c r="O426" i="25"/>
  <c r="AA426" i="25" s="1"/>
  <c r="O356" i="25"/>
  <c r="AA356" i="25" s="1"/>
  <c r="O390" i="25"/>
  <c r="AA390" i="25" s="1"/>
  <c r="O358" i="25"/>
  <c r="AA358" i="25" s="1"/>
  <c r="O418" i="25"/>
  <c r="AA418" i="25" s="1"/>
  <c r="O382" i="25"/>
  <c r="AA382" i="25" s="1"/>
  <c r="O462" i="25"/>
  <c r="AA462" i="25" s="1"/>
  <c r="O409" i="25"/>
  <c r="AA409" i="25" s="1"/>
  <c r="O448" i="25"/>
  <c r="AA448" i="25" s="1"/>
  <c r="O428" i="25"/>
  <c r="AA428" i="25" s="1"/>
  <c r="O460" i="25"/>
  <c r="AA460" i="25" s="1"/>
  <c r="O450" i="25"/>
  <c r="AA450" i="25" s="1"/>
  <c r="O485" i="25"/>
  <c r="AA485" i="25" s="1"/>
  <c r="O487" i="25"/>
  <c r="AA487" i="25" s="1"/>
  <c r="O479" i="25"/>
  <c r="AA479" i="25" s="1"/>
  <c r="O520" i="25"/>
  <c r="AA520" i="25" s="1"/>
  <c r="O489" i="25"/>
  <c r="AA489" i="25" s="1"/>
  <c r="O518" i="25"/>
  <c r="AA518" i="25" s="1"/>
  <c r="O522" i="25"/>
  <c r="AA522" i="25" s="1"/>
  <c r="O541" i="25"/>
  <c r="AA541" i="25" s="1"/>
  <c r="O527" i="25"/>
  <c r="AA527" i="25" s="1"/>
  <c r="O555" i="25"/>
  <c r="AA555" i="25" s="1"/>
  <c r="O545" i="25"/>
  <c r="AA545" i="25" s="1"/>
  <c r="O570" i="25"/>
  <c r="AA570" i="25" s="1"/>
  <c r="O564" i="25"/>
  <c r="AA564" i="25" s="1"/>
  <c r="O558" i="25"/>
  <c r="AA558" i="25" s="1"/>
  <c r="O578" i="25"/>
  <c r="AA578" i="25" s="1"/>
  <c r="O606" i="25"/>
  <c r="AA606" i="25" s="1"/>
  <c r="O607" i="25"/>
  <c r="AA607" i="25" s="1"/>
  <c r="O17" i="25"/>
  <c r="AA17" i="25" s="1"/>
  <c r="O82" i="25"/>
  <c r="AA82" i="25" s="1"/>
  <c r="O325" i="25"/>
  <c r="AA325" i="25" s="1"/>
  <c r="O165" i="25"/>
  <c r="AA165" i="25" s="1"/>
  <c r="O251" i="25"/>
  <c r="AA251" i="25" s="1"/>
  <c r="O163" i="25"/>
  <c r="AA163" i="25" s="1"/>
  <c r="O179" i="25"/>
  <c r="AA179" i="25" s="1"/>
  <c r="O368" i="25"/>
  <c r="AA368" i="25" s="1"/>
  <c r="O245" i="25"/>
  <c r="AA245" i="25" s="1"/>
  <c r="O255" i="25"/>
  <c r="AA255" i="25" s="1"/>
  <c r="O308" i="25"/>
  <c r="AA308" i="25" s="1"/>
  <c r="O388" i="25"/>
  <c r="AA388" i="25" s="1"/>
  <c r="O380" i="25"/>
  <c r="AA380" i="25" s="1"/>
  <c r="O440" i="25"/>
  <c r="AA440" i="25" s="1"/>
  <c r="O452" i="25"/>
  <c r="AA452" i="25" s="1"/>
  <c r="O475" i="25"/>
  <c r="AA475" i="25" s="1"/>
  <c r="O507" i="25"/>
  <c r="AA507" i="25" s="1"/>
  <c r="O514" i="25"/>
  <c r="AA514" i="25" s="1"/>
  <c r="O547" i="25"/>
  <c r="AA547" i="25" s="1"/>
  <c r="O604" i="25"/>
  <c r="AA604" i="25" s="1"/>
  <c r="O588" i="25"/>
  <c r="AA588" i="25" s="1"/>
  <c r="O613" i="25"/>
  <c r="AA613" i="25" s="1"/>
  <c r="O612" i="25"/>
  <c r="AA612" i="25" s="1"/>
  <c r="O592" i="25"/>
  <c r="AA592" i="25" s="1"/>
  <c r="O587" i="25"/>
  <c r="AA587" i="25" s="1"/>
  <c r="O597" i="25"/>
  <c r="AA597" i="25" s="1"/>
  <c r="O581" i="25"/>
  <c r="AA581" i="25" s="1"/>
  <c r="O561" i="25"/>
  <c r="AA561" i="25" s="1"/>
  <c r="O563" i="25"/>
  <c r="AA563" i="25" s="1"/>
  <c r="O544" i="25"/>
  <c r="AA544" i="25" s="1"/>
  <c r="O546" i="25"/>
  <c r="AA546" i="25" s="1"/>
  <c r="O567" i="25"/>
  <c r="AA567" i="25" s="1"/>
  <c r="O534" i="25"/>
  <c r="AA534" i="25" s="1"/>
  <c r="O511" i="25"/>
  <c r="AA511" i="25" s="1"/>
  <c r="O521" i="25"/>
  <c r="AA521" i="25" s="1"/>
  <c r="O488" i="25"/>
  <c r="AA488" i="25" s="1"/>
  <c r="O498" i="25"/>
  <c r="AA498" i="25" s="1"/>
  <c r="O466" i="25"/>
  <c r="AA466" i="25" s="1"/>
  <c r="O494" i="25"/>
  <c r="AA494" i="25" s="1"/>
  <c r="O470" i="25"/>
  <c r="AA470" i="25" s="1"/>
  <c r="O457" i="25"/>
  <c r="AA457" i="25" s="1"/>
  <c r="O449" i="25"/>
  <c r="AA449" i="25" s="1"/>
  <c r="O441" i="25"/>
  <c r="AA441" i="25" s="1"/>
  <c r="O433" i="25"/>
  <c r="AA433" i="25" s="1"/>
  <c r="O472" i="25"/>
  <c r="AA472" i="25" s="1"/>
  <c r="O414" i="25"/>
  <c r="AA414" i="25" s="1"/>
  <c r="O464" i="25"/>
  <c r="AA464" i="25" s="1"/>
  <c r="O412" i="25"/>
  <c r="AA412" i="25" s="1"/>
  <c r="O492" i="25"/>
  <c r="AA492" i="25" s="1"/>
  <c r="O408" i="25"/>
  <c r="AA408" i="25" s="1"/>
  <c r="O395" i="25"/>
  <c r="AA395" i="25" s="1"/>
  <c r="O410" i="25"/>
  <c r="AA410" i="25" s="1"/>
  <c r="O385" i="25"/>
  <c r="AA385" i="25" s="1"/>
  <c r="O371" i="25"/>
  <c r="AA371" i="25" s="1"/>
  <c r="O427" i="25"/>
  <c r="AA427" i="25" s="1"/>
  <c r="O403" i="25"/>
  <c r="AA403" i="25" s="1"/>
  <c r="O353" i="25"/>
  <c r="AA353" i="25" s="1"/>
  <c r="O337" i="25"/>
  <c r="AA337" i="25" s="1"/>
  <c r="O321" i="25"/>
  <c r="AA321" i="25" s="1"/>
  <c r="O305" i="25"/>
  <c r="AA305" i="25" s="1"/>
  <c r="O289" i="25"/>
  <c r="AA289" i="25" s="1"/>
  <c r="O343" i="25"/>
  <c r="AA343" i="25" s="1"/>
  <c r="O320" i="25"/>
  <c r="AA320" i="25" s="1"/>
  <c r="O304" i="25"/>
  <c r="AA304" i="25" s="1"/>
  <c r="O288" i="25"/>
  <c r="AA288" i="25" s="1"/>
  <c r="O278" i="25"/>
  <c r="AA278" i="25" s="1"/>
  <c r="O270" i="25"/>
  <c r="AA270" i="25" s="1"/>
  <c r="O339" i="25"/>
  <c r="AA339" i="25" s="1"/>
  <c r="O307" i="25"/>
  <c r="AA307" i="25" s="1"/>
  <c r="O351" i="25"/>
  <c r="AA351" i="25" s="1"/>
  <c r="O285" i="25"/>
  <c r="AA285" i="25" s="1"/>
  <c r="O234" i="25"/>
  <c r="AA234" i="25" s="1"/>
  <c r="O375" i="25"/>
  <c r="AA375" i="25" s="1"/>
  <c r="O310" i="25"/>
  <c r="AA310" i="25" s="1"/>
  <c r="O240" i="25"/>
  <c r="AA240" i="25" s="1"/>
  <c r="O347" i="25"/>
  <c r="AA347" i="25" s="1"/>
  <c r="O252" i="25"/>
  <c r="AA252" i="25" s="1"/>
  <c r="O302" i="25"/>
  <c r="AA302" i="25" s="1"/>
  <c r="O119" i="25"/>
  <c r="AA119" i="25" s="1"/>
  <c r="O103" i="25"/>
  <c r="AA103" i="25" s="1"/>
  <c r="O87" i="25"/>
  <c r="AA87" i="25" s="1"/>
  <c r="O71" i="25"/>
  <c r="AA71" i="25" s="1"/>
  <c r="O55" i="25"/>
  <c r="AA55" i="25" s="1"/>
  <c r="O333" i="25"/>
  <c r="AA333" i="25" s="1"/>
  <c r="O208" i="25"/>
  <c r="AA208" i="25" s="1"/>
  <c r="O192" i="25"/>
  <c r="AA192" i="25" s="1"/>
  <c r="O176" i="25"/>
  <c r="AA176" i="25" s="1"/>
  <c r="O160" i="25"/>
  <c r="AA160" i="25" s="1"/>
  <c r="O144" i="25"/>
  <c r="AA144" i="25" s="1"/>
  <c r="O128" i="25"/>
  <c r="AA128" i="25" s="1"/>
  <c r="O109" i="25"/>
  <c r="AA109" i="25" s="1"/>
  <c r="O77" i="25"/>
  <c r="AA77" i="25" s="1"/>
  <c r="O46" i="25"/>
  <c r="AA46" i="25" s="1"/>
  <c r="O222" i="25"/>
  <c r="AA222" i="25" s="1"/>
  <c r="O206" i="25"/>
  <c r="AA206" i="25" s="1"/>
  <c r="O190" i="25"/>
  <c r="AA190" i="25" s="1"/>
  <c r="O174" i="25"/>
  <c r="AA174" i="25" s="1"/>
  <c r="O158" i="25"/>
  <c r="AA158" i="25" s="1"/>
  <c r="O142" i="25"/>
  <c r="AA142" i="25" s="1"/>
  <c r="O126" i="25"/>
  <c r="AA126" i="25" s="1"/>
  <c r="O97" i="25"/>
  <c r="AA97" i="25" s="1"/>
  <c r="O65" i="25"/>
  <c r="AA65" i="25" s="1"/>
  <c r="O33" i="25"/>
  <c r="AA33" i="25" s="1"/>
  <c r="O68" i="25"/>
  <c r="AA68" i="25" s="1"/>
  <c r="O21" i="25"/>
  <c r="AA21" i="25" s="1"/>
  <c r="O30" i="25"/>
  <c r="AA30" i="25" s="1"/>
  <c r="O20" i="25"/>
  <c r="AA20" i="25" s="1"/>
  <c r="O51" i="25"/>
  <c r="AA51" i="25" s="1"/>
  <c r="O76" i="25"/>
  <c r="AA76" i="25" s="1"/>
  <c r="O14" i="25"/>
  <c r="AA14" i="25" s="1"/>
  <c r="O83" i="25"/>
  <c r="AA83" i="25" s="1"/>
  <c r="O209" i="25"/>
  <c r="AA209" i="25" s="1"/>
  <c r="O75" i="25"/>
  <c r="AA75" i="25" s="1"/>
  <c r="O70" i="25"/>
  <c r="AA70" i="25" s="1"/>
  <c r="O118" i="25"/>
  <c r="AA118" i="25" s="1"/>
  <c r="O24" i="25"/>
  <c r="AA24" i="25" s="1"/>
  <c r="O141" i="25"/>
  <c r="AA141" i="25" s="1"/>
  <c r="O50" i="25"/>
  <c r="AA50" i="25" s="1"/>
  <c r="O161" i="25"/>
  <c r="AA161" i="25" s="1"/>
  <c r="O37" i="25"/>
  <c r="AA37" i="25" s="1"/>
  <c r="O197" i="25"/>
  <c r="AA197" i="25" s="1"/>
  <c r="O98" i="25"/>
  <c r="AA98" i="25" s="1"/>
  <c r="O591" i="25"/>
  <c r="AA591" i="25" s="1"/>
  <c r="O557" i="25"/>
  <c r="AA557" i="25" s="1"/>
  <c r="O550" i="25"/>
  <c r="AA550" i="25" s="1"/>
  <c r="O504" i="25"/>
  <c r="AA504" i="25" s="1"/>
  <c r="O484" i="25"/>
  <c r="AA484" i="25" s="1"/>
  <c r="O453" i="25"/>
  <c r="AA453" i="25" s="1"/>
  <c r="O429" i="25"/>
  <c r="AA429" i="25" s="1"/>
  <c r="O404" i="25"/>
  <c r="AA404" i="25" s="1"/>
  <c r="O379" i="25"/>
  <c r="AA379" i="25" s="1"/>
  <c r="O389" i="25"/>
  <c r="AA389" i="25" s="1"/>
  <c r="O329" i="25"/>
  <c r="AA329" i="25" s="1"/>
  <c r="O281" i="25"/>
  <c r="AA281" i="25" s="1"/>
  <c r="O280" i="25"/>
  <c r="AA280" i="25" s="1"/>
  <c r="O317" i="25"/>
  <c r="AA317" i="25" s="1"/>
  <c r="O256" i="25"/>
  <c r="AA256" i="25" s="1"/>
  <c r="O236" i="25"/>
  <c r="AA236" i="25" s="1"/>
  <c r="O95" i="25"/>
  <c r="AA95" i="25" s="1"/>
  <c r="O39" i="25"/>
  <c r="AA39" i="25" s="1"/>
  <c r="O184" i="25"/>
  <c r="AA184" i="25" s="1"/>
  <c r="O120" i="25"/>
  <c r="AA120" i="25" s="1"/>
  <c r="O334" i="25"/>
  <c r="AA334" i="25" s="1"/>
  <c r="O182" i="25"/>
  <c r="AA182" i="25" s="1"/>
  <c r="O38" i="25"/>
  <c r="AA38" i="25" s="1"/>
  <c r="O301" i="25"/>
  <c r="AA301" i="25" s="1"/>
  <c r="O26" i="25"/>
  <c r="AA26" i="25" s="1"/>
  <c r="O31" i="25"/>
  <c r="AA31" i="25" s="1"/>
  <c r="O610" i="25"/>
  <c r="AA610" i="25" s="1"/>
  <c r="O601" i="25"/>
  <c r="AA601" i="25" s="1"/>
  <c r="O585" i="25"/>
  <c r="AA585" i="25" s="1"/>
  <c r="O594" i="25"/>
  <c r="AA594" i="25" s="1"/>
  <c r="O596" i="25"/>
  <c r="AA596" i="25" s="1"/>
  <c r="O573" i="25"/>
  <c r="AA573" i="25" s="1"/>
  <c r="O579" i="25"/>
  <c r="AA579" i="25" s="1"/>
  <c r="O532" i="25"/>
  <c r="AA532" i="25" s="1"/>
  <c r="O538" i="25"/>
  <c r="AA538" i="25" s="1"/>
  <c r="O565" i="25"/>
  <c r="AA565" i="25" s="1"/>
  <c r="O526" i="25"/>
  <c r="AA526" i="25" s="1"/>
  <c r="O517" i="25"/>
  <c r="AA517" i="25" s="1"/>
  <c r="O513" i="25"/>
  <c r="AA513" i="25" s="1"/>
  <c r="O476" i="25"/>
  <c r="AA476" i="25" s="1"/>
  <c r="O490" i="25"/>
  <c r="AA490" i="25" s="1"/>
  <c r="O540" i="25"/>
  <c r="AA540" i="25" s="1"/>
  <c r="O486" i="25"/>
  <c r="AA486" i="25" s="1"/>
  <c r="O463" i="25"/>
  <c r="AA463" i="25" s="1"/>
  <c r="O455" i="25"/>
  <c r="AA455" i="25" s="1"/>
  <c r="O447" i="25"/>
  <c r="AA447" i="25" s="1"/>
  <c r="O439" i="25"/>
  <c r="AA439" i="25" s="1"/>
  <c r="O431" i="25"/>
  <c r="AA431" i="25" s="1"/>
  <c r="O423" i="25"/>
  <c r="AA423" i="25" s="1"/>
  <c r="O407" i="25"/>
  <c r="AA407" i="25" s="1"/>
  <c r="O421" i="25"/>
  <c r="AA421" i="25" s="1"/>
  <c r="O405" i="25"/>
  <c r="AA405" i="25" s="1"/>
  <c r="O480" i="25"/>
  <c r="AA480" i="25" s="1"/>
  <c r="O400" i="25"/>
  <c r="AA400" i="25" s="1"/>
  <c r="O387" i="25"/>
  <c r="AA387" i="25" s="1"/>
  <c r="O394" i="25"/>
  <c r="AA394" i="25" s="1"/>
  <c r="O378" i="25"/>
  <c r="AA378" i="25" s="1"/>
  <c r="O369" i="25"/>
  <c r="AA369" i="25" s="1"/>
  <c r="O397" i="25"/>
  <c r="AA397" i="25" s="1"/>
  <c r="O392" i="25"/>
  <c r="AA392" i="25" s="1"/>
  <c r="O349" i="25"/>
  <c r="AA349" i="25" s="1"/>
  <c r="O330" i="25"/>
  <c r="AA330" i="25" s="1"/>
  <c r="O314" i="25"/>
  <c r="AA314" i="25" s="1"/>
  <c r="O298" i="25"/>
  <c r="AA298" i="25" s="1"/>
  <c r="O282" i="25"/>
  <c r="AA282" i="25" s="1"/>
  <c r="O336" i="25"/>
  <c r="AA336" i="25" s="1"/>
  <c r="O319" i="25"/>
  <c r="AA319" i="25" s="1"/>
  <c r="O303" i="25"/>
  <c r="AA303" i="25" s="1"/>
  <c r="O287" i="25"/>
  <c r="AA287" i="25" s="1"/>
  <c r="O276" i="25"/>
  <c r="AA276" i="25" s="1"/>
  <c r="O268" i="25"/>
  <c r="AA268" i="25" s="1"/>
  <c r="O331" i="25"/>
  <c r="AA331" i="25" s="1"/>
  <c r="O299" i="25"/>
  <c r="AA299" i="25" s="1"/>
  <c r="O318" i="25"/>
  <c r="AA318" i="25" s="1"/>
  <c r="O258" i="25"/>
  <c r="AA258" i="25" s="1"/>
  <c r="O226" i="25"/>
  <c r="AA226" i="25" s="1"/>
  <c r="O355" i="25"/>
  <c r="AA355" i="25" s="1"/>
  <c r="O309" i="25"/>
  <c r="AA309" i="25" s="1"/>
  <c r="O232" i="25"/>
  <c r="AA232" i="25" s="1"/>
  <c r="O326" i="25"/>
  <c r="AA326" i="25" s="1"/>
  <c r="O244" i="25"/>
  <c r="AA244" i="25" s="1"/>
  <c r="O262" i="25"/>
  <c r="AA262" i="25" s="1"/>
  <c r="O112" i="25"/>
  <c r="AA112" i="25" s="1"/>
  <c r="O96" i="25"/>
  <c r="AA96" i="25" s="1"/>
  <c r="O80" i="25"/>
  <c r="AA80" i="25" s="1"/>
  <c r="O64" i="25"/>
  <c r="AA64" i="25" s="1"/>
  <c r="O47" i="25"/>
  <c r="AA47" i="25" s="1"/>
  <c r="O254" i="25"/>
  <c r="AA254" i="25" s="1"/>
  <c r="O204" i="25"/>
  <c r="AA204" i="25" s="1"/>
  <c r="O188" i="25"/>
  <c r="AA188" i="25" s="1"/>
  <c r="O172" i="25"/>
  <c r="AA172" i="25" s="1"/>
  <c r="O156" i="25"/>
  <c r="AA156" i="25" s="1"/>
  <c r="O140" i="25"/>
  <c r="AA140" i="25" s="1"/>
  <c r="O124" i="25"/>
  <c r="AA124" i="25" s="1"/>
  <c r="O101" i="25"/>
  <c r="AA101" i="25" s="1"/>
  <c r="O69" i="25"/>
  <c r="AA69" i="25" s="1"/>
  <c r="O45" i="25"/>
  <c r="AA45" i="25" s="1"/>
  <c r="O218" i="25"/>
  <c r="AA218" i="25" s="1"/>
  <c r="O202" i="25"/>
  <c r="AA202" i="25" s="1"/>
  <c r="O186" i="25"/>
  <c r="AA186" i="25" s="1"/>
  <c r="O170" i="25"/>
  <c r="AA170" i="25" s="1"/>
  <c r="O154" i="25"/>
  <c r="AA154" i="25" s="1"/>
  <c r="O138" i="25"/>
  <c r="AA138" i="25" s="1"/>
  <c r="O122" i="25"/>
  <c r="AA122" i="25" s="1"/>
  <c r="O89" i="25"/>
  <c r="AA89" i="25" s="1"/>
  <c r="O57" i="25"/>
  <c r="AA57" i="25" s="1"/>
  <c r="O48" i="25"/>
  <c r="AA48" i="25" s="1"/>
  <c r="O67" i="25"/>
  <c r="AA67" i="25" s="1"/>
  <c r="O359" i="25"/>
  <c r="AA359" i="25" s="1"/>
  <c r="O92" i="25"/>
  <c r="AA92" i="25" s="1"/>
  <c r="O19" i="25"/>
  <c r="AA19" i="25" s="1"/>
  <c r="O36" i="25"/>
  <c r="AA36" i="25" s="1"/>
  <c r="O44" i="25"/>
  <c r="AA44" i="25" s="1"/>
  <c r="O13" i="25"/>
  <c r="AA13" i="25" s="1"/>
  <c r="O29" i="25"/>
  <c r="AA29" i="25" s="1"/>
  <c r="O145" i="25"/>
  <c r="AA145" i="25" s="1"/>
  <c r="O35" i="25"/>
  <c r="AA35" i="25" s="1"/>
  <c r="O603" i="25"/>
  <c r="AA603" i="25" s="1"/>
  <c r="O548" i="25"/>
  <c r="AA548" i="25" s="1"/>
  <c r="O482" i="25"/>
  <c r="AA482" i="25" s="1"/>
  <c r="O445" i="25"/>
  <c r="AA445" i="25" s="1"/>
  <c r="O406" i="25"/>
  <c r="AA406" i="25" s="1"/>
  <c r="O424" i="25"/>
  <c r="AA424" i="25" s="1"/>
  <c r="O377" i="25"/>
  <c r="AA377" i="25" s="1"/>
  <c r="O361" i="25"/>
  <c r="AA361" i="25" s="1"/>
  <c r="O313" i="25"/>
  <c r="AA313" i="25" s="1"/>
  <c r="O335" i="25"/>
  <c r="AA335" i="25" s="1"/>
  <c r="O274" i="25"/>
  <c r="AA274" i="25" s="1"/>
  <c r="O291" i="25"/>
  <c r="AA291" i="25" s="1"/>
  <c r="O342" i="25"/>
  <c r="AA342" i="25" s="1"/>
  <c r="O294" i="25"/>
  <c r="AA294" i="25" s="1"/>
  <c r="O111" i="25"/>
  <c r="AA111" i="25" s="1"/>
  <c r="O216" i="25"/>
  <c r="AA216" i="25" s="1"/>
  <c r="O168" i="25"/>
  <c r="AA168" i="25" s="1"/>
  <c r="O93" i="25"/>
  <c r="AA93" i="25" s="1"/>
  <c r="O214" i="25"/>
  <c r="AA214" i="25" s="1"/>
  <c r="O150" i="25"/>
  <c r="AA150" i="25" s="1"/>
  <c r="O81" i="25"/>
  <c r="AA81" i="25" s="1"/>
  <c r="O246" i="25"/>
  <c r="AA246" i="25" s="1"/>
  <c r="O220" i="25"/>
  <c r="AA220" i="25" s="1"/>
  <c r="O86" i="25"/>
  <c r="AA86" i="25" s="1"/>
  <c r="O107" i="25"/>
  <c r="AA107" i="25" s="1"/>
  <c r="O133" i="25"/>
  <c r="AA133" i="25" s="1"/>
  <c r="O593" i="25"/>
  <c r="AA593" i="25" s="1"/>
  <c r="O589" i="25"/>
  <c r="AA589" i="25" s="1"/>
  <c r="O605" i="25"/>
  <c r="AA605" i="25" s="1"/>
  <c r="O583" i="25"/>
  <c r="AA583" i="25" s="1"/>
  <c r="O571" i="25"/>
  <c r="AA571" i="25" s="1"/>
  <c r="O569" i="25"/>
  <c r="AA569" i="25" s="1"/>
  <c r="O552" i="25"/>
  <c r="AA552" i="25" s="1"/>
  <c r="O554" i="25"/>
  <c r="AA554" i="25" s="1"/>
  <c r="O523" i="25"/>
  <c r="AA523" i="25" s="1"/>
  <c r="O542" i="25"/>
  <c r="AA542" i="25" s="1"/>
  <c r="O519" i="25"/>
  <c r="AA519" i="25" s="1"/>
  <c r="O528" i="25"/>
  <c r="AA528" i="25" s="1"/>
  <c r="O496" i="25"/>
  <c r="AA496" i="25" s="1"/>
  <c r="O506" i="25"/>
  <c r="AA506" i="25" s="1"/>
  <c r="O474" i="25"/>
  <c r="AA474" i="25" s="1"/>
  <c r="O502" i="25"/>
  <c r="AA502" i="25" s="1"/>
  <c r="O478" i="25"/>
  <c r="AA478" i="25" s="1"/>
  <c r="O459" i="25"/>
  <c r="AA459" i="25" s="1"/>
  <c r="O451" i="25"/>
  <c r="AA451" i="25" s="1"/>
  <c r="O443" i="25"/>
  <c r="AA443" i="25" s="1"/>
  <c r="O435" i="25"/>
  <c r="AA435" i="25" s="1"/>
  <c r="O500" i="25"/>
  <c r="AA500" i="25" s="1"/>
  <c r="O415" i="25"/>
  <c r="AA415" i="25" s="1"/>
  <c r="O508" i="25"/>
  <c r="AA508" i="25" s="1"/>
  <c r="O413" i="25"/>
  <c r="AA413" i="25" s="1"/>
  <c r="O536" i="25"/>
  <c r="AA536" i="25" s="1"/>
  <c r="O416" i="25"/>
  <c r="AA416" i="25" s="1"/>
  <c r="O419" i="25"/>
  <c r="AA419" i="25" s="1"/>
  <c r="O411" i="25"/>
  <c r="AA411" i="25" s="1"/>
  <c r="O386" i="25"/>
  <c r="AA386" i="25" s="1"/>
  <c r="O373" i="25"/>
  <c r="AA373" i="25" s="1"/>
  <c r="O365" i="25"/>
  <c r="AA365" i="25" s="1"/>
  <c r="O381" i="25"/>
  <c r="AA381" i="25" s="1"/>
  <c r="O357" i="25"/>
  <c r="AA357" i="25" s="1"/>
  <c r="O338" i="25"/>
  <c r="AA338" i="25" s="1"/>
  <c r="O322" i="25"/>
  <c r="AA322" i="25" s="1"/>
  <c r="O306" i="25"/>
  <c r="AA306" i="25" s="1"/>
  <c r="O290" i="25"/>
  <c r="AA290" i="25" s="1"/>
  <c r="O384" i="25"/>
  <c r="AA384" i="25" s="1"/>
  <c r="O327" i="25"/>
  <c r="AA327" i="25" s="1"/>
  <c r="O311" i="25"/>
  <c r="AA311" i="25" s="1"/>
  <c r="O295" i="25"/>
  <c r="AA295" i="25" s="1"/>
  <c r="O279" i="25"/>
  <c r="AA279" i="25" s="1"/>
  <c r="O272" i="25"/>
  <c r="AA272" i="25" s="1"/>
  <c r="O264" i="25"/>
  <c r="AA264" i="25" s="1"/>
  <c r="O315" i="25"/>
  <c r="AA315" i="25" s="1"/>
  <c r="O283" i="25"/>
  <c r="AA283" i="25" s="1"/>
  <c r="O286" i="25"/>
  <c r="AA286" i="25" s="1"/>
  <c r="O242" i="25"/>
  <c r="AA242" i="25" s="1"/>
  <c r="O402" i="25"/>
  <c r="AA402" i="25" s="1"/>
  <c r="O341" i="25"/>
  <c r="AA341" i="25" s="1"/>
  <c r="O248" i="25"/>
  <c r="AA248" i="25" s="1"/>
  <c r="O363" i="25"/>
  <c r="AA363" i="25" s="1"/>
  <c r="O260" i="25"/>
  <c r="AA260" i="25" s="1"/>
  <c r="O228" i="25"/>
  <c r="AA228" i="25" s="1"/>
  <c r="O224" i="25"/>
  <c r="AA224" i="25" s="1"/>
  <c r="O104" i="25"/>
  <c r="AA104" i="25" s="1"/>
  <c r="O88" i="25"/>
  <c r="AA88" i="25" s="1"/>
  <c r="O72" i="25"/>
  <c r="AA72" i="25" s="1"/>
  <c r="O56" i="25"/>
  <c r="AA56" i="25" s="1"/>
  <c r="O32" i="25"/>
  <c r="O212" i="25"/>
  <c r="AA212" i="25" s="1"/>
  <c r="O196" i="25"/>
  <c r="AA196" i="25" s="1"/>
  <c r="O180" i="25"/>
  <c r="AA180" i="25" s="1"/>
  <c r="O164" i="25"/>
  <c r="AA164" i="25" s="1"/>
  <c r="O148" i="25"/>
  <c r="AA148" i="25" s="1"/>
  <c r="O132" i="25"/>
  <c r="AA132" i="25" s="1"/>
  <c r="O117" i="25"/>
  <c r="AA117" i="25" s="1"/>
  <c r="O85" i="25"/>
  <c r="AA85" i="25" s="1"/>
  <c r="O53" i="25"/>
  <c r="AA53" i="25" s="1"/>
  <c r="O238" i="25"/>
  <c r="AA238" i="25" s="1"/>
  <c r="O210" i="25"/>
  <c r="AA210" i="25" s="1"/>
  <c r="O194" i="25"/>
  <c r="AA194" i="25" s="1"/>
  <c r="O178" i="25"/>
  <c r="AA178" i="25" s="1"/>
  <c r="O162" i="25"/>
  <c r="AA162" i="25" s="1"/>
  <c r="O146" i="25"/>
  <c r="AA146" i="25" s="1"/>
  <c r="O130" i="25"/>
  <c r="AA130" i="25" s="1"/>
  <c r="O105" i="25"/>
  <c r="AA105" i="25" s="1"/>
  <c r="O73" i="25"/>
  <c r="AA73" i="25" s="1"/>
  <c r="O41" i="25"/>
  <c r="AA41" i="25" s="1"/>
  <c r="O100" i="25"/>
  <c r="AA100" i="25" s="1"/>
  <c r="O22" i="25"/>
  <c r="AA22" i="25" s="1"/>
  <c r="O115" i="25"/>
  <c r="AA115" i="25" s="1"/>
  <c r="O60" i="25"/>
  <c r="AA60" i="25" s="1"/>
  <c r="O52" i="25"/>
  <c r="AA52" i="25" s="1"/>
  <c r="O108" i="25"/>
  <c r="AA108" i="25" s="1"/>
  <c r="O15" i="25"/>
  <c r="AA15" i="25" s="1"/>
  <c r="O84" i="25"/>
  <c r="AA84" i="25" s="1"/>
  <c r="O18" i="25"/>
  <c r="AA18" i="25" s="1"/>
  <c r="O62" i="25"/>
  <c r="AA62" i="25" s="1"/>
  <c r="O121" i="25"/>
  <c r="AA121" i="25" s="1"/>
  <c r="O177" i="25"/>
  <c r="AA177" i="25" s="1"/>
  <c r="O43" i="25"/>
  <c r="AA43" i="25" s="1"/>
  <c r="O58" i="25"/>
  <c r="AA58" i="25" s="1"/>
  <c r="O114" i="25"/>
  <c r="AA114" i="25" s="1"/>
  <c r="O383" i="25"/>
  <c r="AA383" i="25" s="1"/>
  <c r="O99" i="25"/>
  <c r="AA99" i="25" s="1"/>
  <c r="O157" i="25"/>
  <c r="AA157" i="25" s="1"/>
  <c r="O54" i="25"/>
  <c r="AA54" i="25" s="1"/>
  <c r="O221" i="25"/>
  <c r="AA221" i="25" s="1"/>
  <c r="O106" i="25"/>
  <c r="AA106" i="25" s="1"/>
  <c r="O16" i="25"/>
  <c r="AA16" i="25" s="1"/>
  <c r="O599" i="25"/>
  <c r="AA599" i="25" s="1"/>
  <c r="O608" i="25"/>
  <c r="AA608" i="25" s="1"/>
  <c r="O577" i="25"/>
  <c r="AA577" i="25" s="1"/>
  <c r="O559" i="25"/>
  <c r="AA559" i="25" s="1"/>
  <c r="O575" i="25"/>
  <c r="AA575" i="25" s="1"/>
  <c r="O530" i="25"/>
  <c r="AA530" i="25" s="1"/>
  <c r="O556" i="25"/>
  <c r="AA556" i="25" s="1"/>
  <c r="O468" i="25"/>
  <c r="AA468" i="25" s="1"/>
  <c r="O510" i="25"/>
  <c r="AA510" i="25" s="1"/>
  <c r="O461" i="25"/>
  <c r="AA461" i="25" s="1"/>
  <c r="O437" i="25"/>
  <c r="AA437" i="25" s="1"/>
  <c r="O422" i="25"/>
  <c r="AA422" i="25" s="1"/>
  <c r="O420" i="25"/>
  <c r="AA420" i="25" s="1"/>
  <c r="O515" i="25"/>
  <c r="AA515" i="25" s="1"/>
  <c r="O393" i="25"/>
  <c r="AA393" i="25" s="1"/>
  <c r="O367" i="25"/>
  <c r="AA367" i="25" s="1"/>
  <c r="O345" i="25"/>
  <c r="AA345" i="25" s="1"/>
  <c r="O297" i="25"/>
  <c r="AA297" i="25" s="1"/>
  <c r="O312" i="25"/>
  <c r="AA312" i="25" s="1"/>
  <c r="O296" i="25"/>
  <c r="AA296" i="25" s="1"/>
  <c r="O266" i="25"/>
  <c r="AA266" i="25" s="1"/>
  <c r="O323" i="25"/>
  <c r="AA323" i="25" s="1"/>
  <c r="O250" i="25"/>
  <c r="AA250" i="25" s="1"/>
  <c r="O225" i="25"/>
  <c r="AA225" i="25" s="1"/>
  <c r="O376" i="25"/>
  <c r="AA376" i="25" s="1"/>
  <c r="O230" i="25"/>
  <c r="AA230" i="25" s="1"/>
  <c r="O79" i="25"/>
  <c r="AA79" i="25" s="1"/>
  <c r="O63" i="25"/>
  <c r="AA63" i="25" s="1"/>
  <c r="O200" i="25"/>
  <c r="AA200" i="25" s="1"/>
  <c r="O152" i="25"/>
  <c r="AA152" i="25" s="1"/>
  <c r="O136" i="25"/>
  <c r="AA136" i="25" s="1"/>
  <c r="O61" i="25"/>
  <c r="AA61" i="25" s="1"/>
  <c r="O198" i="25"/>
  <c r="AA198" i="25" s="1"/>
  <c r="O166" i="25"/>
  <c r="AA166" i="25" s="1"/>
  <c r="O134" i="25"/>
  <c r="AA134" i="25" s="1"/>
  <c r="O113" i="25"/>
  <c r="AA113" i="25" s="1"/>
  <c r="O49" i="25"/>
  <c r="AA49" i="25" s="1"/>
  <c r="O40" i="25"/>
  <c r="AA40" i="25" s="1"/>
  <c r="O91" i="25"/>
  <c r="AA91" i="25" s="1"/>
  <c r="O23" i="25"/>
  <c r="AA23" i="25" s="1"/>
  <c r="O116" i="25"/>
  <c r="AA116" i="25" s="1"/>
  <c r="O185" i="25"/>
  <c r="AA185" i="25" s="1"/>
  <c r="O42" i="25"/>
  <c r="AA42" i="25" s="1"/>
  <c r="O169" i="25"/>
  <c r="AA169" i="25" s="1"/>
  <c r="O27" i="25"/>
  <c r="AA27" i="25" s="1"/>
  <c r="AA628" i="25"/>
  <c r="AA32" i="25"/>
  <c r="AB128" i="25"/>
  <c r="AB628" i="25"/>
  <c r="C622" i="25"/>
  <c r="F622" i="25"/>
  <c r="D622" i="25"/>
  <c r="E622" i="25"/>
  <c r="BA10" i="21"/>
  <c r="AZ59" i="23"/>
  <c r="H2" i="23"/>
  <c r="B368" i="2"/>
  <c r="H4" i="21"/>
  <c r="AV23" i="21"/>
  <c r="AZ23" i="21" s="1"/>
  <c r="AZ19" i="21"/>
  <c r="H2" i="21"/>
  <c r="AZ59" i="21"/>
  <c r="H3" i="21"/>
  <c r="D607" i="17"/>
  <c r="D194" i="17"/>
  <c r="C598" i="17"/>
  <c r="D606" i="17"/>
  <c r="C174" i="17"/>
  <c r="D291" i="17"/>
  <c r="D60" i="17"/>
  <c r="C524" i="17"/>
  <c r="C420" i="17"/>
  <c r="C446" i="17"/>
  <c r="C228" i="17"/>
  <c r="D222" i="17"/>
  <c r="D562" i="17"/>
  <c r="C484" i="17"/>
  <c r="D418" i="17"/>
  <c r="D163" i="17"/>
  <c r="D472" i="17"/>
  <c r="D561" i="17"/>
  <c r="D381" i="17"/>
  <c r="C449" i="17"/>
  <c r="C123" i="17"/>
  <c r="C30" i="17"/>
  <c r="D594" i="17"/>
  <c r="C541" i="17"/>
  <c r="C516" i="17"/>
  <c r="C594" i="17"/>
  <c r="C546" i="17"/>
  <c r="C380" i="17"/>
  <c r="D227" i="17"/>
  <c r="D585" i="17"/>
  <c r="C535" i="17"/>
  <c r="C382" i="17"/>
  <c r="D215" i="17"/>
  <c r="D281" i="17"/>
  <c r="D509" i="17"/>
  <c r="D304" i="17"/>
  <c r="C513" i="17"/>
  <c r="D359" i="17"/>
  <c r="C251" i="17"/>
  <c r="D29" i="17"/>
  <c r="C77" i="17"/>
  <c r="D368" i="17"/>
  <c r="C610" i="17"/>
  <c r="D546" i="17"/>
  <c r="C570" i="17"/>
  <c r="D494" i="17"/>
  <c r="D430" i="17"/>
  <c r="C468" i="17"/>
  <c r="D559" i="17"/>
  <c r="D474" i="17"/>
  <c r="D575" i="17"/>
  <c r="C480" i="17"/>
  <c r="C404" i="17"/>
  <c r="C387" i="17"/>
  <c r="D259" i="17"/>
  <c r="D131" i="17"/>
  <c r="C571" i="17"/>
  <c r="D600" i="17"/>
  <c r="C590" i="17"/>
  <c r="D440" i="17"/>
  <c r="C414" i="17"/>
  <c r="C389" i="17"/>
  <c r="C343" i="17"/>
  <c r="D576" i="17"/>
  <c r="C345" i="17"/>
  <c r="C293" i="17"/>
  <c r="C471" i="17"/>
  <c r="D317" i="17"/>
  <c r="C164" i="17"/>
  <c r="C113" i="17"/>
  <c r="D92" i="17"/>
  <c r="D519" i="17"/>
  <c r="D391" i="17"/>
  <c r="D366" i="17"/>
  <c r="D314" i="17"/>
  <c r="C64" i="17"/>
  <c r="D158" i="17"/>
  <c r="D268" i="17"/>
  <c r="C13" i="17"/>
  <c r="C157" i="17"/>
  <c r="C240" i="17"/>
  <c r="D597" i="17"/>
  <c r="D598" i="17"/>
  <c r="D586" i="17"/>
  <c r="D554" i="17"/>
  <c r="D551" i="17"/>
  <c r="C586" i="17"/>
  <c r="C533" i="17"/>
  <c r="D502" i="17"/>
  <c r="D470" i="17"/>
  <c r="D438" i="17"/>
  <c r="C508" i="17"/>
  <c r="C476" i="17"/>
  <c r="C606" i="17"/>
  <c r="D591" i="17"/>
  <c r="C562" i="17"/>
  <c r="D490" i="17"/>
  <c r="D426" i="17"/>
  <c r="D566" i="17"/>
  <c r="D514" i="17"/>
  <c r="C496" i="17"/>
  <c r="C444" i="17"/>
  <c r="C412" i="17"/>
  <c r="C364" i="17"/>
  <c r="C403" i="17"/>
  <c r="C339" i="17"/>
  <c r="D275" i="17"/>
  <c r="D211" i="17"/>
  <c r="D147" i="17"/>
  <c r="C287" i="17"/>
  <c r="C587" i="17"/>
  <c r="D553" i="17"/>
  <c r="D534" i="17"/>
  <c r="D572" i="17"/>
  <c r="C534" i="17"/>
  <c r="C519" i="17"/>
  <c r="D456" i="17"/>
  <c r="C494" i="17"/>
  <c r="C430" i="17"/>
  <c r="C366" i="17"/>
  <c r="C405" i="17"/>
  <c r="D582" i="17"/>
  <c r="C407" i="17"/>
  <c r="D151" i="17"/>
  <c r="D538" i="17"/>
  <c r="D460" i="17"/>
  <c r="C409" i="17"/>
  <c r="D249" i="17"/>
  <c r="D121" i="17"/>
  <c r="C561" i="17"/>
  <c r="C503" i="17"/>
  <c r="D477" i="17"/>
  <c r="D349" i="17"/>
  <c r="D324" i="17"/>
  <c r="C196" i="17"/>
  <c r="D272" i="17"/>
  <c r="C145" i="17"/>
  <c r="C106" i="17"/>
  <c r="D76" i="17"/>
  <c r="C497" i="17"/>
  <c r="C433" i="17"/>
  <c r="D471" i="17"/>
  <c r="D407" i="17"/>
  <c r="D343" i="17"/>
  <c r="D382" i="17"/>
  <c r="C270" i="17"/>
  <c r="C142" i="17"/>
  <c r="C219" i="17"/>
  <c r="C32" i="17"/>
  <c r="D62" i="17"/>
  <c r="D190" i="17"/>
  <c r="D61" i="17"/>
  <c r="C91" i="17"/>
  <c r="D172" i="17"/>
  <c r="D79" i="17"/>
  <c r="C109" i="17"/>
  <c r="C125" i="17"/>
  <c r="C253" i="17"/>
  <c r="C176" i="17"/>
  <c r="D329" i="17"/>
  <c r="D544" i="17"/>
  <c r="C378" i="17"/>
  <c r="C208" i="17"/>
  <c r="D336" i="17"/>
  <c r="D361" i="17"/>
  <c r="D489" i="17"/>
  <c r="D573" i="17"/>
  <c r="D221" i="17"/>
  <c r="C506" i="17"/>
  <c r="D75" i="17"/>
  <c r="C585" i="17"/>
  <c r="C408" i="17"/>
  <c r="D599" i="17"/>
  <c r="D547" i="17"/>
  <c r="C442" i="17"/>
  <c r="C317" i="17"/>
  <c r="D189" i="17"/>
  <c r="C609" i="17"/>
  <c r="D527" i="17"/>
  <c r="C443" i="17"/>
  <c r="D473" i="17"/>
  <c r="D409" i="17"/>
  <c r="D345" i="17"/>
  <c r="D384" i="17"/>
  <c r="D320" i="17"/>
  <c r="C256" i="17"/>
  <c r="C192" i="17"/>
  <c r="C128" i="17"/>
  <c r="C269" i="17"/>
  <c r="C205" i="17"/>
  <c r="C141" i="17"/>
  <c r="C46" i="17"/>
  <c r="C110" i="17"/>
  <c r="C61" i="17"/>
  <c r="D95" i="17"/>
  <c r="D31" i="17"/>
  <c r="D156" i="17"/>
  <c r="D220" i="17"/>
  <c r="C107" i="17"/>
  <c r="C43" i="17"/>
  <c r="D77" i="17"/>
  <c r="D13" i="17"/>
  <c r="D174" i="17"/>
  <c r="D238" i="17"/>
  <c r="D78" i="17"/>
  <c r="D14" i="17"/>
  <c r="C48" i="17"/>
  <c r="C139" i="17"/>
  <c r="C203" i="17"/>
  <c r="C267" i="17"/>
  <c r="C126" i="17"/>
  <c r="C190" i="17"/>
  <c r="C254" i="17"/>
  <c r="D318" i="17"/>
  <c r="D374" i="17"/>
  <c r="D406" i="17"/>
  <c r="D335" i="17"/>
  <c r="D367" i="17"/>
  <c r="D399" i="17"/>
  <c r="D431" i="17"/>
  <c r="D463" i="17"/>
  <c r="D495" i="17"/>
  <c r="C425" i="17"/>
  <c r="C457" i="17"/>
  <c r="C489" i="17"/>
  <c r="D520" i="17"/>
  <c r="D84" i="17"/>
  <c r="D52" i="17"/>
  <c r="D20" i="17"/>
  <c r="C58" i="17"/>
  <c r="C129" i="17"/>
  <c r="C193" i="17"/>
  <c r="C257" i="17"/>
  <c r="C116" i="17"/>
  <c r="C180" i="17"/>
  <c r="C244" i="17"/>
  <c r="C308" i="17"/>
  <c r="D372" i="17"/>
  <c r="D333" i="17"/>
  <c r="D397" i="17"/>
  <c r="D461" i="17"/>
  <c r="C423" i="17"/>
  <c r="C487" i="17"/>
  <c r="C568" i="17"/>
  <c r="C545" i="17"/>
  <c r="D609" i="17"/>
  <c r="C309" i="17"/>
  <c r="D169" i="17"/>
  <c r="D233" i="17"/>
  <c r="D297" i="17"/>
  <c r="C377" i="17"/>
  <c r="C402" i="17"/>
  <c r="D428" i="17"/>
  <c r="C566" i="17"/>
  <c r="C608" i="17"/>
  <c r="C559" i="17"/>
  <c r="D610" i="17"/>
  <c r="D536" i="17"/>
  <c r="D446" i="17"/>
  <c r="D47" i="17"/>
  <c r="D603" i="17"/>
  <c r="D423" i="17"/>
  <c r="D510" i="17"/>
  <c r="C316" i="17"/>
  <c r="C318" i="17"/>
  <c r="C177" i="17"/>
  <c r="C59" i="17"/>
  <c r="D567" i="17"/>
  <c r="D602" i="17"/>
  <c r="C452" i="17"/>
  <c r="C303" i="17"/>
  <c r="C510" i="17"/>
  <c r="C523" i="17"/>
  <c r="D356" i="17"/>
  <c r="D487" i="17"/>
  <c r="D30" i="17"/>
  <c r="C221" i="17"/>
  <c r="D578" i="17"/>
  <c r="C525" i="17"/>
  <c r="C500" i="17"/>
  <c r="C537" i="17"/>
  <c r="D482" i="17"/>
  <c r="C348" i="17"/>
  <c r="D195" i="17"/>
  <c r="D533" i="17"/>
  <c r="D504" i="17"/>
  <c r="C350" i="17"/>
  <c r="C291" i="17"/>
  <c r="D217" i="17"/>
  <c r="D445" i="17"/>
  <c r="C241" i="17"/>
  <c r="C481" i="17"/>
  <c r="D327" i="17"/>
  <c r="C187" i="17"/>
  <c r="D93" i="17"/>
  <c r="C94" i="17"/>
  <c r="D393" i="17"/>
  <c r="C602" i="17"/>
  <c r="D583" i="17"/>
  <c r="C554" i="17"/>
  <c r="D486" i="17"/>
  <c r="D422" i="17"/>
  <c r="C460" i="17"/>
  <c r="C536" i="17"/>
  <c r="D458" i="17"/>
  <c r="C528" i="17"/>
  <c r="C464" i="17"/>
  <c r="C396" i="17"/>
  <c r="C371" i="17"/>
  <c r="D243" i="17"/>
  <c r="D115" i="17"/>
  <c r="C555" i="17"/>
  <c r="C604" i="17"/>
  <c r="C558" i="17"/>
  <c r="D424" i="17"/>
  <c r="C398" i="17"/>
  <c r="C373" i="17"/>
  <c r="D279" i="17"/>
  <c r="C538" i="17"/>
  <c r="D313" i="17"/>
  <c r="C605" i="17"/>
  <c r="C439" i="17"/>
  <c r="D388" i="17"/>
  <c r="C132" i="17"/>
  <c r="C42" i="17"/>
  <c r="D528" i="17"/>
  <c r="D503" i="17"/>
  <c r="D375" i="17"/>
  <c r="D334" i="17"/>
  <c r="D282" i="17"/>
  <c r="C96" i="17"/>
  <c r="D126" i="17"/>
  <c r="D236" i="17"/>
  <c r="C45" i="17"/>
  <c r="C189" i="17"/>
  <c r="C304" i="17"/>
  <c r="D157" i="17"/>
  <c r="C272" i="17"/>
  <c r="D425" i="17"/>
  <c r="C297" i="17"/>
  <c r="D577" i="17"/>
  <c r="C275" i="17"/>
  <c r="C548" i="17"/>
  <c r="C417" i="17"/>
  <c r="D125" i="17"/>
  <c r="C507" i="17"/>
  <c r="D441" i="17"/>
  <c r="D416" i="17"/>
  <c r="C288" i="17"/>
  <c r="C160" i="17"/>
  <c r="C237" i="17"/>
  <c r="C14" i="17"/>
  <c r="C93" i="17"/>
  <c r="D63" i="17"/>
  <c r="D188" i="17"/>
  <c r="C75" i="17"/>
  <c r="D45" i="17"/>
  <c r="D206" i="17"/>
  <c r="D46" i="17"/>
  <c r="C16" i="17"/>
  <c r="C235" i="17"/>
  <c r="C158" i="17"/>
  <c r="C286" i="17"/>
  <c r="D390" i="17"/>
  <c r="D351" i="17"/>
  <c r="D415" i="17"/>
  <c r="D479" i="17"/>
  <c r="C441" i="17"/>
  <c r="C505" i="17"/>
  <c r="D68" i="17"/>
  <c r="C90" i="17"/>
  <c r="C161" i="17"/>
  <c r="D288" i="17"/>
  <c r="C212" i="17"/>
  <c r="D340" i="17"/>
  <c r="D365" i="17"/>
  <c r="D493" i="17"/>
  <c r="C520" i="17"/>
  <c r="C577" i="17"/>
  <c r="D137" i="17"/>
  <c r="D265" i="17"/>
  <c r="C338" i="17"/>
  <c r="D492" i="17"/>
  <c r="D521" i="17"/>
  <c r="D119" i="17"/>
  <c r="D247" i="17"/>
  <c r="C375" i="17"/>
  <c r="C400" i="17"/>
  <c r="C544" i="17"/>
  <c r="C365" i="17"/>
  <c r="C397" i="17"/>
  <c r="C326" i="17"/>
  <c r="C358" i="17"/>
  <c r="C390" i="17"/>
  <c r="C422" i="17"/>
  <c r="C454" i="17"/>
  <c r="C486" i="17"/>
  <c r="C518" i="17"/>
  <c r="D448" i="17"/>
  <c r="D480" i="17"/>
  <c r="D512" i="17"/>
  <c r="C543" i="17"/>
  <c r="C526" i="17"/>
  <c r="D571" i="17"/>
  <c r="D564" i="17"/>
  <c r="C596" i="17"/>
  <c r="D608" i="17"/>
  <c r="C572" i="17"/>
  <c r="D541" i="17"/>
  <c r="C547" i="17"/>
  <c r="C579" i="17"/>
  <c r="D611" i="17"/>
  <c r="C279" i="17"/>
  <c r="C311" i="17"/>
  <c r="D139" i="17"/>
  <c r="D171" i="17"/>
  <c r="D203" i="17"/>
  <c r="D235" i="17"/>
  <c r="D267" i="17"/>
  <c r="D299" i="17"/>
  <c r="C331" i="17"/>
  <c r="C363" i="17"/>
  <c r="C395" i="17"/>
  <c r="C324" i="17"/>
  <c r="C356" i="17"/>
  <c r="C388" i="17"/>
  <c r="D127" i="17"/>
  <c r="D348" i="17"/>
  <c r="D342" i="17"/>
  <c r="C310" i="17"/>
  <c r="C278" i="17"/>
  <c r="C246" i="17"/>
  <c r="C214" i="17"/>
  <c r="C182" i="17"/>
  <c r="C150" i="17"/>
  <c r="C118" i="17"/>
  <c r="D290" i="17"/>
  <c r="C259" i="17"/>
  <c r="C227" i="17"/>
  <c r="C195" i="17"/>
  <c r="C163" i="17"/>
  <c r="C131" i="17"/>
  <c r="C24" i="17"/>
  <c r="C56" i="17"/>
  <c r="C88" i="17"/>
  <c r="D22" i="17"/>
  <c r="D54" i="17"/>
  <c r="D86" i="17"/>
  <c r="D262" i="17"/>
  <c r="D230" i="17"/>
  <c r="D198" i="17"/>
  <c r="D166" i="17"/>
  <c r="D134" i="17"/>
  <c r="D21" i="17"/>
  <c r="D53" i="17"/>
  <c r="D85" i="17"/>
  <c r="C19" i="17"/>
  <c r="C51" i="17"/>
  <c r="C83" i="17"/>
  <c r="D104" i="17"/>
  <c r="D244" i="17"/>
  <c r="D212" i="17"/>
  <c r="D180" i="17"/>
  <c r="D148" i="17"/>
  <c r="D116" i="17"/>
  <c r="D39" i="17"/>
  <c r="D71" i="17"/>
  <c r="D103" i="17"/>
  <c r="C37" i="17"/>
  <c r="C69" i="17"/>
  <c r="C101" i="17"/>
  <c r="C102" i="17"/>
  <c r="C70" i="17"/>
  <c r="C38" i="17"/>
  <c r="C117" i="17"/>
  <c r="C149" i="17"/>
  <c r="C181" i="17"/>
  <c r="C213" i="17"/>
  <c r="C245" i="17"/>
  <c r="D276" i="17"/>
  <c r="D308" i="17"/>
  <c r="C136" i="17"/>
  <c r="C168" i="17"/>
  <c r="C200" i="17"/>
  <c r="C232" i="17"/>
  <c r="C264" i="17"/>
  <c r="C296" i="17"/>
  <c r="D328" i="17"/>
  <c r="D360" i="17"/>
  <c r="D392" i="17"/>
  <c r="D321" i="17"/>
  <c r="D353" i="17"/>
  <c r="D385" i="17"/>
  <c r="D417" i="17"/>
  <c r="D449" i="17"/>
  <c r="D481" i="17"/>
  <c r="D513" i="17"/>
  <c r="C459" i="17"/>
  <c r="D522" i="17"/>
  <c r="D543" i="17"/>
  <c r="C581" i="17"/>
  <c r="C281" i="17"/>
  <c r="D141" i="17"/>
  <c r="D205" i="17"/>
  <c r="D269" i="17"/>
  <c r="C333" i="17"/>
  <c r="C346" i="17"/>
  <c r="C474" i="17"/>
  <c r="D500" i="17"/>
  <c r="D552" i="17"/>
  <c r="D529" i="17"/>
  <c r="C611" i="17"/>
  <c r="C319" i="17"/>
  <c r="C488" i="17"/>
  <c r="C482" i="17"/>
  <c r="D501" i="17"/>
  <c r="C151" i="17"/>
  <c r="D331" i="17"/>
  <c r="D159" i="17"/>
  <c r="D287" i="17"/>
  <c r="C415" i="17"/>
  <c r="C440" i="17"/>
  <c r="C504" i="17"/>
  <c r="D560" i="17"/>
  <c r="C450" i="17"/>
  <c r="D526" i="17"/>
  <c r="C156" i="17"/>
  <c r="C202" i="17"/>
  <c r="D507" i="17"/>
  <c r="D199" i="17"/>
  <c r="D508" i="17"/>
  <c r="D295" i="17"/>
  <c r="C337" i="17"/>
  <c r="C285" i="17"/>
  <c r="C463" i="17"/>
  <c r="D412" i="17"/>
  <c r="C233" i="17"/>
  <c r="D483" i="17"/>
  <c r="D278" i="17"/>
  <c r="D136" i="17"/>
  <c r="D302" i="17"/>
  <c r="D225" i="17"/>
  <c r="D427" i="17"/>
  <c r="D296" i="17"/>
  <c r="C82" i="17"/>
  <c r="C445" i="17"/>
  <c r="D394" i="17"/>
  <c r="C138" i="17"/>
  <c r="C68" i="17"/>
  <c r="D264" i="17"/>
  <c r="C613" i="17"/>
  <c r="D354" i="17"/>
  <c r="D256" i="17"/>
  <c r="C127" i="17"/>
  <c r="C23" i="17"/>
  <c r="D96" i="17"/>
  <c r="D515" i="17"/>
  <c r="D387" i="17"/>
  <c r="D362" i="17"/>
  <c r="C234" i="17"/>
  <c r="D310" i="17"/>
  <c r="C183" i="17"/>
  <c r="D34" i="17"/>
  <c r="D33" i="17"/>
  <c r="D200" i="17"/>
  <c r="C81" i="17"/>
  <c r="C447" i="17"/>
  <c r="D532" i="17"/>
  <c r="C226" i="17"/>
  <c r="D106" i="17"/>
  <c r="D128" i="17"/>
  <c r="C485" i="17"/>
  <c r="D226" i="17"/>
  <c r="D312" i="17"/>
  <c r="C514" i="17"/>
  <c r="D389" i="17"/>
  <c r="C100" i="17"/>
  <c r="D250" i="17"/>
  <c r="D122" i="17"/>
  <c r="C31" i="17"/>
  <c r="D232" i="17"/>
  <c r="D19" i="17"/>
  <c r="C49" i="17"/>
  <c r="C539" i="17"/>
  <c r="D531" i="17"/>
  <c r="C268" i="17"/>
  <c r="D40" i="17"/>
  <c r="D443" i="17"/>
  <c r="C290" i="17"/>
  <c r="C239" i="17"/>
  <c r="D42" i="17"/>
  <c r="D41" i="17"/>
  <c r="D192" i="17"/>
  <c r="C89" i="17"/>
  <c r="D581" i="17"/>
  <c r="D24" i="17"/>
  <c r="C306" i="17"/>
  <c r="D26" i="17"/>
  <c r="D208" i="17"/>
  <c r="D517" i="17"/>
  <c r="C210" i="17"/>
  <c r="D112" i="17"/>
  <c r="C223" i="17"/>
  <c r="C28" i="17"/>
  <c r="C453" i="17"/>
  <c r="C87" i="17"/>
  <c r="D161" i="17"/>
  <c r="D58" i="17"/>
  <c r="D56" i="17"/>
  <c r="C41" i="17"/>
  <c r="D130" i="17"/>
  <c r="D286" i="17"/>
  <c r="D491" i="17"/>
  <c r="D364" i="17"/>
  <c r="C307" i="17"/>
  <c r="D144" i="17"/>
  <c r="D89" i="17"/>
  <c r="D90" i="17"/>
  <c r="C191" i="17"/>
  <c r="C242" i="17"/>
  <c r="D395" i="17"/>
  <c r="D88" i="17"/>
  <c r="C172" i="17"/>
  <c r="C479" i="17"/>
  <c r="C361" i="17"/>
  <c r="C623" i="17"/>
  <c r="D91" i="17"/>
  <c r="D160" i="17"/>
  <c r="C103" i="17"/>
  <c r="D73" i="17"/>
  <c r="D178" i="17"/>
  <c r="D74" i="17"/>
  <c r="C44" i="17"/>
  <c r="C207" i="17"/>
  <c r="C130" i="17"/>
  <c r="C258" i="17"/>
  <c r="D386" i="17"/>
  <c r="D411" i="17"/>
  <c r="C437" i="17"/>
  <c r="D72" i="17"/>
  <c r="C153" i="17"/>
  <c r="C204" i="17"/>
  <c r="D357" i="17"/>
  <c r="C511" i="17"/>
  <c r="D129" i="17"/>
  <c r="C386" i="17"/>
  <c r="C384" i="17"/>
  <c r="C65" i="17"/>
  <c r="D99" i="17"/>
  <c r="D35" i="17"/>
  <c r="D152" i="17"/>
  <c r="D216" i="17"/>
  <c r="D100" i="17"/>
  <c r="C47" i="17"/>
  <c r="D81" i="17"/>
  <c r="D17" i="17"/>
  <c r="D170" i="17"/>
  <c r="D234" i="17"/>
  <c r="D82" i="17"/>
  <c r="D18" i="17"/>
  <c r="C52" i="17"/>
  <c r="C135" i="17"/>
  <c r="C199" i="17"/>
  <c r="C263" i="17"/>
  <c r="C122" i="17"/>
  <c r="C186" i="17"/>
  <c r="C250" i="17"/>
  <c r="C314" i="17"/>
  <c r="D378" i="17"/>
  <c r="D339" i="17"/>
  <c r="D403" i="17"/>
  <c r="D467" i="17"/>
  <c r="C429" i="17"/>
  <c r="C493" i="17"/>
  <c r="D80" i="17"/>
  <c r="D16" i="17"/>
  <c r="C137" i="17"/>
  <c r="C265" i="17"/>
  <c r="C188" i="17"/>
  <c r="D316" i="17"/>
  <c r="D341" i="17"/>
  <c r="D469" i="17"/>
  <c r="C495" i="17"/>
  <c r="C553" i="17"/>
  <c r="D113" i="17"/>
  <c r="D241" i="17"/>
  <c r="C322" i="17"/>
  <c r="C564" i="17"/>
  <c r="C320" i="17"/>
  <c r="C418" i="17"/>
  <c r="C522" i="17"/>
  <c r="C575" i="17"/>
  <c r="D263" i="17"/>
  <c r="C416" i="17"/>
  <c r="C578" i="17"/>
  <c r="C456" i="17"/>
  <c r="C392" i="17"/>
  <c r="C328" i="17"/>
  <c r="C367" i="17"/>
  <c r="D303" i="17"/>
  <c r="D239" i="17"/>
  <c r="D175" i="17"/>
  <c r="D111" i="17"/>
  <c r="C632" i="17"/>
  <c r="C551" i="17"/>
  <c r="C580" i="17"/>
  <c r="C600" i="17"/>
  <c r="D579" i="17"/>
  <c r="C550" i="17"/>
  <c r="D484" i="17"/>
  <c r="D420" i="17"/>
  <c r="C458" i="17"/>
  <c r="C394" i="17"/>
  <c r="C330" i="17"/>
  <c r="C369" i="17"/>
  <c r="C325" i="17"/>
  <c r="D293" i="17"/>
  <c r="D261" i="17"/>
  <c r="D229" i="17"/>
  <c r="D197" i="17"/>
  <c r="D165" i="17"/>
  <c r="D133" i="17"/>
  <c r="C305" i="17"/>
  <c r="C273" i="17"/>
  <c r="D605" i="17"/>
  <c r="C573" i="17"/>
  <c r="D589" i="17"/>
  <c r="D535" i="17"/>
  <c r="C560" i="17"/>
  <c r="C515" i="17"/>
  <c r="C483" i="17"/>
  <c r="C451" i="17"/>
  <c r="D231" i="17"/>
  <c r="D555" i="17"/>
  <c r="C368" i="17"/>
  <c r="D558" i="17"/>
  <c r="C370" i="17"/>
  <c r="C144" i="17"/>
  <c r="D506" i="17"/>
  <c r="C556" i="17"/>
  <c r="D153" i="17"/>
  <c r="D398" i="17"/>
  <c r="C419" i="17"/>
  <c r="D478" i="17"/>
  <c r="D442" i="17"/>
  <c r="C355" i="17"/>
  <c r="D588" i="17"/>
  <c r="C357" i="17"/>
  <c r="C593" i="17"/>
  <c r="C74" i="17"/>
  <c r="C302" i="17"/>
  <c r="D204" i="17"/>
  <c r="D285" i="17"/>
  <c r="C540" i="17"/>
  <c r="D462" i="17"/>
  <c r="D590" i="17"/>
  <c r="C512" i="17"/>
  <c r="C436" i="17"/>
  <c r="C323" i="17"/>
  <c r="C271" i="17"/>
  <c r="D556" i="17"/>
  <c r="C478" i="17"/>
  <c r="D466" i="17"/>
  <c r="C498" i="17"/>
  <c r="D565" i="17"/>
  <c r="C292" i="17"/>
  <c r="D28" i="17"/>
  <c r="D455" i="17"/>
  <c r="C238" i="17"/>
  <c r="D140" i="17"/>
  <c r="C531" i="17"/>
  <c r="C532" i="17"/>
  <c r="D454" i="17"/>
  <c r="D574" i="17"/>
  <c r="A622" i="17"/>
  <c r="C428" i="17"/>
  <c r="D307" i="17"/>
  <c r="C599" i="17"/>
  <c r="D587" i="17"/>
  <c r="C462" i="17"/>
  <c r="C432" i="17"/>
  <c r="C434" i="17"/>
  <c r="D523" i="17"/>
  <c r="C260" i="17"/>
  <c r="D44" i="17"/>
  <c r="D439" i="17"/>
  <c r="C206" i="17"/>
  <c r="D254" i="17"/>
  <c r="D15" i="17"/>
  <c r="C112" i="17"/>
  <c r="C383" i="17"/>
  <c r="C475" i="17"/>
  <c r="D355" i="17"/>
  <c r="D468" i="17"/>
  <c r="C565" i="17"/>
  <c r="D377" i="17"/>
  <c r="C224" i="17"/>
  <c r="C173" i="17"/>
  <c r="C29" i="17"/>
  <c r="D252" i="17"/>
  <c r="D142" i="17"/>
  <c r="C80" i="17"/>
  <c r="D298" i="17"/>
  <c r="D350" i="17"/>
  <c r="D383" i="17"/>
  <c r="D511" i="17"/>
  <c r="D540" i="17"/>
  <c r="C26" i="17"/>
  <c r="C148" i="17"/>
  <c r="D404" i="17"/>
  <c r="C455" i="17"/>
  <c r="C277" i="17"/>
  <c r="C329" i="17"/>
  <c r="D595" i="17"/>
  <c r="D183" i="17"/>
  <c r="C336" i="17"/>
  <c r="C349" i="17"/>
  <c r="C413" i="17"/>
  <c r="C374" i="17"/>
  <c r="C438" i="17"/>
  <c r="C502" i="17"/>
  <c r="D464" i="17"/>
  <c r="C527" i="17"/>
  <c r="C542" i="17"/>
  <c r="D580" i="17"/>
  <c r="D542" i="17"/>
  <c r="D569" i="17"/>
  <c r="C595" i="17"/>
  <c r="C295" i="17"/>
  <c r="D155" i="17"/>
  <c r="D219" i="17"/>
  <c r="D283" i="17"/>
  <c r="C347" i="17"/>
  <c r="C411" i="17"/>
  <c r="C372" i="17"/>
  <c r="D550" i="17"/>
  <c r="D326" i="17"/>
  <c r="C262" i="17"/>
  <c r="C198" i="17"/>
  <c r="C134" i="17"/>
  <c r="D274" i="17"/>
  <c r="C211" i="17"/>
  <c r="C147" i="17"/>
  <c r="C40" i="17"/>
  <c r="C104" i="17"/>
  <c r="D70" i="17"/>
  <c r="D246" i="17"/>
  <c r="D182" i="17"/>
  <c r="D118" i="17"/>
  <c r="D69" i="17"/>
  <c r="C35" i="17"/>
  <c r="C99" i="17"/>
  <c r="D228" i="17"/>
  <c r="D164" i="17"/>
  <c r="D23" i="17"/>
  <c r="D87" i="17"/>
  <c r="C53" i="17"/>
  <c r="C626" i="17"/>
  <c r="C54" i="17"/>
  <c r="C133" i="17"/>
  <c r="C197" i="17"/>
  <c r="C261" i="17"/>
  <c r="C120" i="17"/>
  <c r="C184" i="17"/>
  <c r="C248" i="17"/>
  <c r="C312" i="17"/>
  <c r="D376" i="17"/>
  <c r="D337" i="17"/>
  <c r="D401" i="17"/>
  <c r="D465" i="17"/>
  <c r="C427" i="17"/>
  <c r="C576" i="17"/>
  <c r="D613" i="17"/>
  <c r="D173" i="17"/>
  <c r="D301" i="17"/>
  <c r="C410" i="17"/>
  <c r="C582" i="17"/>
  <c r="C567" i="17"/>
  <c r="C344" i="17"/>
  <c r="D273" i="17"/>
  <c r="D146" i="17"/>
  <c r="D223" i="17"/>
  <c r="C376" i="17"/>
  <c r="C327" i="17"/>
  <c r="D145" i="17"/>
  <c r="C509" i="17"/>
  <c r="D363" i="17"/>
  <c r="C354" i="17"/>
  <c r="D209" i="17"/>
  <c r="D437" i="17"/>
  <c r="D32" i="17"/>
  <c r="D98" i="17"/>
  <c r="C25" i="17"/>
  <c r="C220" i="17"/>
  <c r="D64" i="17"/>
  <c r="C266" i="17"/>
  <c r="D154" i="17"/>
  <c r="C34" i="17"/>
  <c r="C249" i="17"/>
  <c r="C185" i="17"/>
  <c r="D451" i="17"/>
  <c r="C298" i="17"/>
  <c r="C247" i="17"/>
  <c r="D218" i="17"/>
  <c r="D51" i="17"/>
  <c r="C140" i="17"/>
  <c r="C175" i="17"/>
  <c r="D453" i="17"/>
  <c r="D43" i="17"/>
  <c r="D57" i="17"/>
  <c r="D66" i="17"/>
  <c r="D65" i="17"/>
  <c r="D168" i="17"/>
  <c r="D626" i="17"/>
  <c r="D421" i="17"/>
  <c r="C469" i="17"/>
  <c r="C162" i="17"/>
  <c r="D210" i="17"/>
  <c r="D59" i="17"/>
  <c r="C300" i="17"/>
  <c r="C255" i="17"/>
  <c r="C73" i="17"/>
  <c r="D258" i="17"/>
  <c r="C105" i="17"/>
  <c r="C146" i="17"/>
  <c r="D176" i="17"/>
  <c r="C552" i="17"/>
  <c r="C92" i="17"/>
  <c r="C66" i="17"/>
  <c r="D107" i="17"/>
  <c r="D162" i="17"/>
  <c r="C114" i="17"/>
  <c r="C421" i="17"/>
  <c r="D325" i="17"/>
  <c r="C359" i="17"/>
  <c r="D27" i="17"/>
  <c r="C39" i="17"/>
  <c r="D242" i="17"/>
  <c r="C143" i="17"/>
  <c r="C194" i="17"/>
  <c r="D347" i="17"/>
  <c r="C501" i="17"/>
  <c r="D280" i="17"/>
  <c r="D485" i="17"/>
  <c r="D257" i="17"/>
  <c r="C97" i="17"/>
  <c r="D67" i="17"/>
  <c r="D184" i="17"/>
  <c r="C79" i="17"/>
  <c r="D49" i="17"/>
  <c r="D202" i="17"/>
  <c r="D50" i="17"/>
  <c r="C20" i="17"/>
  <c r="C231" i="17"/>
  <c r="C154" i="17"/>
  <c r="C282" i="17"/>
  <c r="D410" i="17"/>
  <c r="D435" i="17"/>
  <c r="C461" i="17"/>
  <c r="D48" i="17"/>
  <c r="C201" i="17"/>
  <c r="C252" i="17"/>
  <c r="D405" i="17"/>
  <c r="C584" i="17"/>
  <c r="D177" i="17"/>
  <c r="D476" i="17"/>
  <c r="C393" i="17"/>
  <c r="D604" i="17"/>
  <c r="C391" i="17"/>
  <c r="D434" i="17"/>
  <c r="C360" i="17"/>
  <c r="C335" i="17"/>
  <c r="D207" i="17"/>
  <c r="C283" i="17"/>
  <c r="D545" i="17"/>
  <c r="D568" i="17"/>
  <c r="D516" i="17"/>
  <c r="C490" i="17"/>
  <c r="C362" i="17"/>
  <c r="C341" i="17"/>
  <c r="D277" i="17"/>
  <c r="D213" i="17"/>
  <c r="D149" i="17"/>
  <c r="C289" i="17"/>
  <c r="C589" i="17"/>
  <c r="D557" i="17"/>
  <c r="D530" i="17"/>
  <c r="C467" i="17"/>
  <c r="D94" i="17"/>
  <c r="D284" i="17"/>
  <c r="D570" i="17"/>
  <c r="D518" i="17"/>
  <c r="C492" i="17"/>
  <c r="C521" i="17"/>
  <c r="D450" i="17"/>
  <c r="C332" i="17"/>
  <c r="D179" i="17"/>
  <c r="C588" i="17"/>
  <c r="D488" i="17"/>
  <c r="C334" i="17"/>
  <c r="C591" i="17"/>
  <c r="D185" i="17"/>
  <c r="D413" i="17"/>
  <c r="C209" i="17"/>
  <c r="C465" i="17"/>
  <c r="D414" i="17"/>
  <c r="C155" i="17"/>
  <c r="C27" i="17"/>
  <c r="C62" i="17"/>
  <c r="D457" i="17"/>
  <c r="D400" i="17"/>
  <c r="C353" i="17"/>
  <c r="D255" i="17"/>
  <c r="D253" i="17"/>
  <c r="D505" i="17"/>
  <c r="D352" i="17"/>
  <c r="D300" i="17"/>
  <c r="C78" i="17"/>
  <c r="D124" i="17"/>
  <c r="D109" i="17"/>
  <c r="D110" i="17"/>
  <c r="C171" i="17"/>
  <c r="C222" i="17"/>
  <c r="D319" i="17"/>
  <c r="D447" i="17"/>
  <c r="C473" i="17"/>
  <c r="D36" i="17"/>
  <c r="C225" i="17"/>
  <c r="C276" i="17"/>
  <c r="D429" i="17"/>
  <c r="D539" i="17"/>
  <c r="D201" i="17"/>
  <c r="C466" i="17"/>
  <c r="C603" i="17"/>
  <c r="D311" i="17"/>
  <c r="C472" i="17"/>
  <c r="C381" i="17"/>
  <c r="C342" i="17"/>
  <c r="C406" i="17"/>
  <c r="C470" i="17"/>
  <c r="D432" i="17"/>
  <c r="D496" i="17"/>
  <c r="C574" i="17"/>
  <c r="D548" i="17"/>
  <c r="C612" i="17"/>
  <c r="D525" i="17"/>
  <c r="C563" i="17"/>
  <c r="C607" i="17"/>
  <c r="D123" i="17"/>
  <c r="D187" i="17"/>
  <c r="D251" i="17"/>
  <c r="C315" i="17"/>
  <c r="C379" i="17"/>
  <c r="C340" i="17"/>
  <c r="D584" i="17"/>
  <c r="D358" i="17"/>
  <c r="C294" i="17"/>
  <c r="C230" i="17"/>
  <c r="C166" i="17"/>
  <c r="D306" i="17"/>
  <c r="C243" i="17"/>
  <c r="C179" i="17"/>
  <c r="C115" i="17"/>
  <c r="C72" i="17"/>
  <c r="D38" i="17"/>
  <c r="D102" i="17"/>
  <c r="D214" i="17"/>
  <c r="D150" i="17"/>
  <c r="D37" i="17"/>
  <c r="D101" i="17"/>
  <c r="C67" i="17"/>
  <c r="D260" i="17"/>
  <c r="D196" i="17"/>
  <c r="D132" i="17"/>
  <c r="D55" i="17"/>
  <c r="C21" i="17"/>
  <c r="C85" i="17"/>
  <c r="C86" i="17"/>
  <c r="C22" i="17"/>
  <c r="C165" i="17"/>
  <c r="C229" i="17"/>
  <c r="D292" i="17"/>
  <c r="C152" i="17"/>
  <c r="C216" i="17"/>
  <c r="C280" i="17"/>
  <c r="D344" i="17"/>
  <c r="D408" i="17"/>
  <c r="D369" i="17"/>
  <c r="D433" i="17"/>
  <c r="D497" i="17"/>
  <c r="C491" i="17"/>
  <c r="C549" i="17"/>
  <c r="C313" i="17"/>
  <c r="D237" i="17"/>
  <c r="C385" i="17"/>
  <c r="D436" i="17"/>
  <c r="D596" i="17"/>
  <c r="D191" i="17"/>
  <c r="C352" i="17"/>
  <c r="C18" i="17"/>
  <c r="C299" i="17"/>
  <c r="C351" i="17"/>
  <c r="D498" i="17"/>
  <c r="C448" i="17"/>
  <c r="D373" i="17"/>
  <c r="D97" i="17"/>
  <c r="D537" i="17"/>
  <c r="D563" i="17"/>
  <c r="D549" i="17"/>
  <c r="C284" i="17"/>
  <c r="D330" i="17"/>
  <c r="D396" i="17"/>
  <c r="C55" i="17"/>
  <c r="C169" i="17"/>
  <c r="D419" i="17"/>
  <c r="C215" i="17"/>
  <c r="C17" i="17"/>
  <c r="C76" i="17"/>
  <c r="D289" i="17"/>
  <c r="C477" i="17"/>
  <c r="D323" i="17"/>
  <c r="C170" i="17"/>
  <c r="C119" i="17"/>
  <c r="C63" i="17"/>
  <c r="C321" i="17"/>
  <c r="D379" i="17"/>
  <c r="D105" i="17"/>
  <c r="C178" i="17"/>
  <c r="C159" i="17"/>
  <c r="C36" i="17"/>
  <c r="D186" i="17"/>
  <c r="C95" i="17"/>
  <c r="D83" i="17"/>
  <c r="D193" i="17"/>
  <c r="C217" i="17"/>
  <c r="D315" i="17"/>
  <c r="C111" i="17"/>
  <c r="C71" i="17"/>
  <c r="D592" i="17"/>
  <c r="D459" i="17"/>
  <c r="D25" i="17"/>
  <c r="C517" i="17"/>
  <c r="C236" i="17"/>
  <c r="C529" i="17"/>
  <c r="D402" i="17"/>
  <c r="C274" i="17"/>
  <c r="D240" i="17"/>
  <c r="D338" i="17"/>
  <c r="D601" i="17"/>
  <c r="D108" i="17"/>
  <c r="C60" i="17"/>
  <c r="D370" i="17"/>
  <c r="C121" i="17"/>
  <c r="C301" i="17"/>
  <c r="C57" i="17"/>
  <c r="D224" i="17"/>
  <c r="D114" i="17"/>
  <c r="C108" i="17"/>
  <c r="D270" i="17"/>
  <c r="D322" i="17"/>
  <c r="D475" i="17"/>
  <c r="C98" i="17"/>
  <c r="D332" i="17"/>
  <c r="C569" i="17"/>
  <c r="D593" i="17"/>
  <c r="C33" i="17"/>
  <c r="D120" i="17"/>
  <c r="D248" i="17"/>
  <c r="C15" i="17"/>
  <c r="D138" i="17"/>
  <c r="D266" i="17"/>
  <c r="C84" i="17"/>
  <c r="C167" i="17"/>
  <c r="D294" i="17"/>
  <c r="C218" i="17"/>
  <c r="D346" i="17"/>
  <c r="D371" i="17"/>
  <c r="D499" i="17"/>
  <c r="D524" i="17"/>
  <c r="C50" i="17"/>
  <c r="C124" i="17"/>
  <c r="D380" i="17"/>
  <c r="C431" i="17"/>
  <c r="C597" i="17"/>
  <c r="D305" i="17"/>
  <c r="D167" i="17"/>
  <c r="D444" i="17"/>
  <c r="D135" i="17"/>
  <c r="D623" i="17"/>
  <c r="C424" i="17"/>
  <c r="C399" i="17"/>
  <c r="D271" i="17"/>
  <c r="D143" i="17"/>
  <c r="C583" i="17"/>
  <c r="D612" i="17"/>
  <c r="C530" i="17"/>
  <c r="D452" i="17"/>
  <c r="C426" i="17"/>
  <c r="C401" i="17"/>
  <c r="D309" i="17"/>
  <c r="D245" i="17"/>
  <c r="D181" i="17"/>
  <c r="D117" i="17"/>
  <c r="C601" i="17"/>
  <c r="C557" i="17"/>
  <c r="C592" i="17"/>
  <c r="C499" i="17"/>
  <c r="C435" i="17"/>
  <c r="O16" i="8"/>
  <c r="B373" i="2" s="1"/>
  <c r="AA622" i="25" l="1"/>
  <c r="E632" i="25" s="1"/>
  <c r="AB622" i="25"/>
  <c r="B369" i="2"/>
  <c r="G622" i="17"/>
  <c r="H622" i="17"/>
  <c r="F622" i="17"/>
  <c r="E622" i="17"/>
  <c r="D622" i="17"/>
  <c r="C622" i="17"/>
  <c r="G4" i="8"/>
  <c r="O17" i="8" l="1"/>
  <c r="B168" i="2"/>
  <c r="B374" i="2"/>
  <c r="D383" i="2" l="1"/>
  <c r="B383" i="2"/>
  <c r="C50" i="16"/>
  <c r="D50" i="16" s="1"/>
  <c r="E54" i="1"/>
  <c r="B372" i="2"/>
  <c r="A372" i="2" l="1"/>
  <c r="D64" i="16" l="1"/>
  <c r="A628" i="17" l="1"/>
  <c r="O622" i="17"/>
  <c r="P623" i="17"/>
  <c r="P622" i="17"/>
  <c r="AB622" i="17" s="1"/>
  <c r="O626" i="17"/>
  <c r="AA626" i="17" s="1"/>
  <c r="O623" i="17"/>
  <c r="AA623" i="17" s="1"/>
  <c r="P626" i="17"/>
  <c r="AB626" i="17" s="1"/>
  <c r="P573" i="17"/>
  <c r="AB573" i="17" s="1"/>
  <c r="B70" i="1"/>
  <c r="N7" i="8"/>
  <c r="O7" i="8" s="1"/>
  <c r="G628" i="17" l="1"/>
  <c r="H628" i="17"/>
  <c r="AA622" i="17"/>
  <c r="E632" i="17" s="1"/>
  <c r="AB623" i="17"/>
  <c r="D628" i="17"/>
  <c r="F628" i="17"/>
  <c r="P628" i="17"/>
  <c r="C628" i="17"/>
  <c r="E628" i="17"/>
  <c r="O628" i="17"/>
  <c r="E636" i="17"/>
  <c r="N30" i="8"/>
  <c r="O30" i="8"/>
  <c r="C70" i="1" s="1"/>
  <c r="O74" i="17"/>
  <c r="AA74" i="17" s="1"/>
  <c r="O121" i="17"/>
  <c r="AA121" i="17" s="1"/>
  <c r="O106" i="17"/>
  <c r="AA106" i="17" s="1"/>
  <c r="O90" i="17"/>
  <c r="AA90" i="17" s="1"/>
  <c r="O17" i="17"/>
  <c r="AA17" i="17" s="1"/>
  <c r="O81" i="17"/>
  <c r="AA81" i="17" s="1"/>
  <c r="O101" i="17"/>
  <c r="AA101" i="17" s="1"/>
  <c r="O58" i="17"/>
  <c r="AA58" i="17" s="1"/>
  <c r="O42" i="17"/>
  <c r="AA42" i="17" s="1"/>
  <c r="O26" i="17"/>
  <c r="AA26" i="17" s="1"/>
  <c r="O49" i="17"/>
  <c r="AA49" i="17" s="1"/>
  <c r="O69" i="17"/>
  <c r="AA69" i="17" s="1"/>
  <c r="O236" i="17"/>
  <c r="AA236" i="17" s="1"/>
  <c r="O300" i="17"/>
  <c r="AA300" i="17" s="1"/>
  <c r="O217" i="17"/>
  <c r="AA217" i="17" s="1"/>
  <c r="O281" i="17"/>
  <c r="AA281" i="17" s="1"/>
  <c r="O140" i="17"/>
  <c r="AA140" i="17" s="1"/>
  <c r="O70" i="17"/>
  <c r="AA70" i="17" s="1"/>
  <c r="O41" i="17"/>
  <c r="AA41" i="17" s="1"/>
  <c r="O105" i="17"/>
  <c r="AA105" i="17" s="1"/>
  <c r="O45" i="17"/>
  <c r="AA45" i="17" s="1"/>
  <c r="O77" i="17"/>
  <c r="AA77" i="17" s="1"/>
  <c r="O173" i="17"/>
  <c r="AA173" i="17" s="1"/>
  <c r="O237" i="17"/>
  <c r="AA237" i="17" s="1"/>
  <c r="O301" i="17"/>
  <c r="AA301" i="17" s="1"/>
  <c r="O160" i="17"/>
  <c r="AA160" i="17" s="1"/>
  <c r="O338" i="17"/>
  <c r="AA338" i="17" s="1"/>
  <c r="O370" i="17"/>
  <c r="AA370" i="17" s="1"/>
  <c r="O402" i="17"/>
  <c r="AA402" i="17" s="1"/>
  <c r="O172" i="17"/>
  <c r="AA172" i="17" s="1"/>
  <c r="O204" i="17"/>
  <c r="AA204" i="17" s="1"/>
  <c r="O153" i="17"/>
  <c r="AA153" i="17" s="1"/>
  <c r="O38" i="17"/>
  <c r="AA38" i="17" s="1"/>
  <c r="O73" i="17"/>
  <c r="AA73" i="17" s="1"/>
  <c r="O141" i="17"/>
  <c r="AA141" i="17" s="1"/>
  <c r="O269" i="17"/>
  <c r="AA269" i="17" s="1"/>
  <c r="O319" i="17"/>
  <c r="AA319" i="17" s="1"/>
  <c r="O383" i="17"/>
  <c r="AA383" i="17" s="1"/>
  <c r="O180" i="17"/>
  <c r="AA180" i="17" s="1"/>
  <c r="O244" i="17"/>
  <c r="AA244" i="17" s="1"/>
  <c r="O308" i="17"/>
  <c r="AA308" i="17" s="1"/>
  <c r="O339" i="17"/>
  <c r="AA339" i="17" s="1"/>
  <c r="O403" i="17"/>
  <c r="AA403" i="17" s="1"/>
  <c r="O366" i="17"/>
  <c r="AA366" i="17" s="1"/>
  <c r="O169" i="17"/>
  <c r="AA169" i="17" s="1"/>
  <c r="O233" i="17"/>
  <c r="AA233" i="17" s="1"/>
  <c r="O132" i="17"/>
  <c r="AA132" i="17" s="1"/>
  <c r="O62" i="17"/>
  <c r="AA62" i="17" s="1"/>
  <c r="O232" i="17"/>
  <c r="AA232" i="17" s="1"/>
  <c r="O296" i="17"/>
  <c r="AA296" i="17" s="1"/>
  <c r="O322" i="17"/>
  <c r="AA322" i="17" s="1"/>
  <c r="O386" i="17"/>
  <c r="AA386" i="17" s="1"/>
  <c r="O438" i="17"/>
  <c r="AA438" i="17" s="1"/>
  <c r="O65" i="17"/>
  <c r="AA65" i="17" s="1"/>
  <c r="O85" i="17"/>
  <c r="AA85" i="17" s="1"/>
  <c r="O117" i="17"/>
  <c r="AA117" i="17" s="1"/>
  <c r="O149" i="17"/>
  <c r="AA149" i="17" s="1"/>
  <c r="O181" i="17"/>
  <c r="AA181" i="17" s="1"/>
  <c r="O213" i="17"/>
  <c r="AA213" i="17" s="1"/>
  <c r="O245" i="17"/>
  <c r="AA245" i="17" s="1"/>
  <c r="O277" i="17"/>
  <c r="AA277" i="17" s="1"/>
  <c r="O309" i="17"/>
  <c r="AA309" i="17" s="1"/>
  <c r="O136" i="17"/>
  <c r="AA136" i="17" s="1"/>
  <c r="O168" i="17"/>
  <c r="AA168" i="17" s="1"/>
  <c r="O184" i="17"/>
  <c r="AA184" i="17" s="1"/>
  <c r="O248" i="17"/>
  <c r="AA248" i="17" s="1"/>
  <c r="O312" i="17"/>
  <c r="AA312" i="17" s="1"/>
  <c r="O327" i="17"/>
  <c r="AA327" i="17" s="1"/>
  <c r="O359" i="17"/>
  <c r="AA359" i="17" s="1"/>
  <c r="O391" i="17"/>
  <c r="AA391" i="17" s="1"/>
  <c r="O407" i="17"/>
  <c r="AA407" i="17" s="1"/>
  <c r="O378" i="17"/>
  <c r="AA378" i="17" s="1"/>
  <c r="O188" i="17"/>
  <c r="AA188" i="17" s="1"/>
  <c r="O252" i="17"/>
  <c r="AA252" i="17" s="1"/>
  <c r="O331" i="17"/>
  <c r="AA331" i="17" s="1"/>
  <c r="O363" i="17"/>
  <c r="AA363" i="17" s="1"/>
  <c r="O395" i="17"/>
  <c r="AA395" i="17" s="1"/>
  <c r="O411" i="17"/>
  <c r="AA411" i="17" s="1"/>
  <c r="O326" i="17"/>
  <c r="AA326" i="17" s="1"/>
  <c r="O358" i="17"/>
  <c r="AA358" i="17" s="1"/>
  <c r="O390" i="17"/>
  <c r="AA390" i="17" s="1"/>
  <c r="O454" i="17"/>
  <c r="AA454" i="17" s="1"/>
  <c r="O249" i="17"/>
  <c r="AA249" i="17" s="1"/>
  <c r="O297" i="17"/>
  <c r="AA297" i="17" s="1"/>
  <c r="O22" i="17"/>
  <c r="AA22" i="17" s="1"/>
  <c r="O86" i="17"/>
  <c r="AA86" i="17" s="1"/>
  <c r="O192" i="17"/>
  <c r="AA192" i="17" s="1"/>
  <c r="O256" i="17"/>
  <c r="AA256" i="17" s="1"/>
  <c r="O415" i="17"/>
  <c r="AA415" i="17" s="1"/>
  <c r="O462" i="17"/>
  <c r="AA462" i="17" s="1"/>
  <c r="O57" i="17"/>
  <c r="AA57" i="17" s="1"/>
  <c r="O289" i="17"/>
  <c r="AA289" i="17" s="1"/>
  <c r="O14" i="17"/>
  <c r="AA14" i="17" s="1"/>
  <c r="O78" i="17"/>
  <c r="AA78" i="17" s="1"/>
  <c r="O93" i="17"/>
  <c r="AA93" i="17" s="1"/>
  <c r="O125" i="17"/>
  <c r="AA125" i="17" s="1"/>
  <c r="O189" i="17"/>
  <c r="AA189" i="17" s="1"/>
  <c r="O253" i="17"/>
  <c r="AA253" i="17" s="1"/>
  <c r="O112" i="17"/>
  <c r="AA112" i="17" s="1"/>
  <c r="O176" i="17"/>
  <c r="AA176" i="17" s="1"/>
  <c r="O208" i="17"/>
  <c r="AA208" i="17" s="1"/>
  <c r="O272" i="17"/>
  <c r="AA272" i="17" s="1"/>
  <c r="O367" i="17"/>
  <c r="AA367" i="17" s="1"/>
  <c r="O330" i="17"/>
  <c r="AA330" i="17" s="1"/>
  <c r="O394" i="17"/>
  <c r="AA394" i="17" s="1"/>
  <c r="O228" i="17"/>
  <c r="AA228" i="17" s="1"/>
  <c r="O292" i="17"/>
  <c r="AA292" i="17" s="1"/>
  <c r="O323" i="17"/>
  <c r="AA323" i="17" s="1"/>
  <c r="O387" i="17"/>
  <c r="AA387" i="17" s="1"/>
  <c r="O350" i="17"/>
  <c r="AA350" i="17" s="1"/>
  <c r="O414" i="17"/>
  <c r="AA414" i="17" s="1"/>
  <c r="O446" i="17"/>
  <c r="AA446" i="17" s="1"/>
  <c r="O423" i="17"/>
  <c r="AA423" i="17" s="1"/>
  <c r="O487" i="17"/>
  <c r="AA487" i="17" s="1"/>
  <c r="O519" i="17"/>
  <c r="AA519" i="17" s="1"/>
  <c r="O528" i="17"/>
  <c r="AA528" i="17" s="1"/>
  <c r="O560" i="17"/>
  <c r="AA560" i="17" s="1"/>
  <c r="O606" i="17"/>
  <c r="AA606" i="17" s="1"/>
  <c r="P17" i="17"/>
  <c r="AB17" i="17" s="1"/>
  <c r="P81" i="17"/>
  <c r="AB81" i="17" s="1"/>
  <c r="P16" i="17"/>
  <c r="AB16" i="17" s="1"/>
  <c r="P80" i="17"/>
  <c r="AB80" i="17" s="1"/>
  <c r="O32" i="17"/>
  <c r="AA32" i="17" s="1"/>
  <c r="O96" i="17"/>
  <c r="AA96" i="17" s="1"/>
  <c r="O31" i="17"/>
  <c r="AA31" i="17" s="1"/>
  <c r="O95" i="17"/>
  <c r="AA95" i="17" s="1"/>
  <c r="O127" i="17"/>
  <c r="AA127" i="17" s="1"/>
  <c r="O191" i="17"/>
  <c r="AA191" i="17" s="1"/>
  <c r="O255" i="17"/>
  <c r="AA255" i="17" s="1"/>
  <c r="O114" i="17"/>
  <c r="AA114" i="17" s="1"/>
  <c r="O178" i="17"/>
  <c r="AA178" i="17" s="1"/>
  <c r="O210" i="17"/>
  <c r="AA210" i="17" s="1"/>
  <c r="O274" i="17"/>
  <c r="AA274" i="17" s="1"/>
  <c r="O369" i="17"/>
  <c r="AA369" i="17" s="1"/>
  <c r="O332" i="17"/>
  <c r="AA332" i="17" s="1"/>
  <c r="O396" i="17"/>
  <c r="AA396" i="17" s="1"/>
  <c r="O428" i="17"/>
  <c r="AA428" i="17" s="1"/>
  <c r="O492" i="17"/>
  <c r="AA492" i="17" s="1"/>
  <c r="O453" i="17"/>
  <c r="AA453" i="17" s="1"/>
  <c r="O517" i="17"/>
  <c r="AA517" i="17" s="1"/>
  <c r="O558" i="17"/>
  <c r="AA558" i="17" s="1"/>
  <c r="O571" i="17"/>
  <c r="AA571" i="17" s="1"/>
  <c r="O268" i="17"/>
  <c r="AA268" i="17" s="1"/>
  <c r="O313" i="17"/>
  <c r="AA313" i="17" s="1"/>
  <c r="O102" i="17"/>
  <c r="AA102" i="17" s="1"/>
  <c r="O109" i="17"/>
  <c r="AA109" i="17" s="1"/>
  <c r="O205" i="17"/>
  <c r="AA205" i="17" s="1"/>
  <c r="O128" i="17"/>
  <c r="AA128" i="17" s="1"/>
  <c r="O351" i="17"/>
  <c r="AA351" i="17" s="1"/>
  <c r="O212" i="17"/>
  <c r="AA212" i="17" s="1"/>
  <c r="O276" i="17"/>
  <c r="AA276" i="17" s="1"/>
  <c r="O371" i="17"/>
  <c r="AA371" i="17" s="1"/>
  <c r="O334" i="17"/>
  <c r="AA334" i="17" s="1"/>
  <c r="O398" i="17"/>
  <c r="AA398" i="17" s="1"/>
  <c r="O137" i="17"/>
  <c r="AA137" i="17" s="1"/>
  <c r="O201" i="17"/>
  <c r="AA201" i="17" s="1"/>
  <c r="O265" i="17"/>
  <c r="AA265" i="17" s="1"/>
  <c r="O305" i="17"/>
  <c r="AA305" i="17" s="1"/>
  <c r="O30" i="17"/>
  <c r="AA30" i="17" s="1"/>
  <c r="O94" i="17"/>
  <c r="AA94" i="17" s="1"/>
  <c r="O200" i="17"/>
  <c r="AA200" i="17" s="1"/>
  <c r="O264" i="17"/>
  <c r="AA264" i="17" s="1"/>
  <c r="O354" i="17"/>
  <c r="AA354" i="17" s="1"/>
  <c r="O156" i="17"/>
  <c r="AA156" i="17" s="1"/>
  <c r="O470" i="17"/>
  <c r="AA470" i="17" s="1"/>
  <c r="O33" i="17"/>
  <c r="AA33" i="17" s="1"/>
  <c r="O97" i="17"/>
  <c r="AA97" i="17" s="1"/>
  <c r="O29" i="17"/>
  <c r="AA29" i="17" s="1"/>
  <c r="O53" i="17"/>
  <c r="AA53" i="17" s="1"/>
  <c r="O133" i="17"/>
  <c r="AA133" i="17" s="1"/>
  <c r="O165" i="17"/>
  <c r="AA165" i="17" s="1"/>
  <c r="O197" i="17"/>
  <c r="AA197" i="17" s="1"/>
  <c r="O229" i="17"/>
  <c r="AA229" i="17" s="1"/>
  <c r="O261" i="17"/>
  <c r="AA261" i="17" s="1"/>
  <c r="O293" i="17"/>
  <c r="AA293" i="17" s="1"/>
  <c r="O120" i="17"/>
  <c r="AA120" i="17" s="1"/>
  <c r="O152" i="17"/>
  <c r="AA152" i="17" s="1"/>
  <c r="O216" i="17"/>
  <c r="AA216" i="17" s="1"/>
  <c r="O280" i="17"/>
  <c r="AA280" i="17" s="1"/>
  <c r="O343" i="17"/>
  <c r="AA343" i="17" s="1"/>
  <c r="O375" i="17"/>
  <c r="AA375" i="17" s="1"/>
  <c r="O346" i="17"/>
  <c r="AA346" i="17" s="1"/>
  <c r="O148" i="17"/>
  <c r="AA148" i="17" s="1"/>
  <c r="O220" i="17"/>
  <c r="AA220" i="17" s="1"/>
  <c r="O284" i="17"/>
  <c r="AA284" i="17" s="1"/>
  <c r="O315" i="17"/>
  <c r="AA315" i="17" s="1"/>
  <c r="O347" i="17"/>
  <c r="AA347" i="17" s="1"/>
  <c r="O379" i="17"/>
  <c r="AA379" i="17" s="1"/>
  <c r="O342" i="17"/>
  <c r="AA342" i="17" s="1"/>
  <c r="O374" i="17"/>
  <c r="AA374" i="17" s="1"/>
  <c r="O406" i="17"/>
  <c r="AA406" i="17" s="1"/>
  <c r="O422" i="17"/>
  <c r="AA422" i="17" s="1"/>
  <c r="O185" i="17"/>
  <c r="AA185" i="17" s="1"/>
  <c r="O124" i="17"/>
  <c r="AA124" i="17" s="1"/>
  <c r="O54" i="17"/>
  <c r="AA54" i="17" s="1"/>
  <c r="O224" i="17"/>
  <c r="AA224" i="17" s="1"/>
  <c r="O288" i="17"/>
  <c r="AA288" i="17" s="1"/>
  <c r="O430" i="17"/>
  <c r="AA430" i="17" s="1"/>
  <c r="O25" i="17"/>
  <c r="AA25" i="17" s="1"/>
  <c r="O89" i="17"/>
  <c r="AA89" i="17" s="1"/>
  <c r="O116" i="17"/>
  <c r="AA116" i="17" s="1"/>
  <c r="O46" i="17"/>
  <c r="AA46" i="17" s="1"/>
  <c r="O61" i="17"/>
  <c r="AA61" i="17" s="1"/>
  <c r="O157" i="17"/>
  <c r="AA157" i="17" s="1"/>
  <c r="O221" i="17"/>
  <c r="AA221" i="17" s="1"/>
  <c r="O285" i="17"/>
  <c r="AA285" i="17" s="1"/>
  <c r="O144" i="17"/>
  <c r="AA144" i="17" s="1"/>
  <c r="O240" i="17"/>
  <c r="AA240" i="17" s="1"/>
  <c r="O304" i="17"/>
  <c r="AA304" i="17" s="1"/>
  <c r="O335" i="17"/>
  <c r="AA335" i="17" s="1"/>
  <c r="O399" i="17"/>
  <c r="AA399" i="17" s="1"/>
  <c r="O362" i="17"/>
  <c r="AA362" i="17" s="1"/>
  <c r="O164" i="17"/>
  <c r="AA164" i="17" s="1"/>
  <c r="O196" i="17"/>
  <c r="AA196" i="17" s="1"/>
  <c r="O260" i="17"/>
  <c r="AA260" i="17" s="1"/>
  <c r="O355" i="17"/>
  <c r="AA355" i="17" s="1"/>
  <c r="O318" i="17"/>
  <c r="AA318" i="17" s="1"/>
  <c r="O382" i="17"/>
  <c r="AA382" i="17" s="1"/>
  <c r="O478" i="17"/>
  <c r="AA478" i="17" s="1"/>
  <c r="O494" i="17"/>
  <c r="AA494" i="17" s="1"/>
  <c r="O455" i="17"/>
  <c r="AA455" i="17" s="1"/>
  <c r="O592" i="17"/>
  <c r="AA592" i="17" s="1"/>
  <c r="O573" i="17"/>
  <c r="AA573" i="17" s="1"/>
  <c r="P49" i="17"/>
  <c r="AB49" i="17" s="1"/>
  <c r="P48" i="17"/>
  <c r="AB48" i="17" s="1"/>
  <c r="O64" i="17"/>
  <c r="AA64" i="17" s="1"/>
  <c r="O63" i="17"/>
  <c r="AA63" i="17" s="1"/>
  <c r="O159" i="17"/>
  <c r="AA159" i="17" s="1"/>
  <c r="O223" i="17"/>
  <c r="AA223" i="17" s="1"/>
  <c r="O287" i="17"/>
  <c r="AA287" i="17" s="1"/>
  <c r="O146" i="17"/>
  <c r="AA146" i="17" s="1"/>
  <c r="O242" i="17"/>
  <c r="AA242" i="17" s="1"/>
  <c r="O306" i="17"/>
  <c r="AA306" i="17" s="1"/>
  <c r="O337" i="17"/>
  <c r="AA337" i="17" s="1"/>
  <c r="O401" i="17"/>
  <c r="AA401" i="17" s="1"/>
  <c r="O364" i="17"/>
  <c r="AA364" i="17" s="1"/>
  <c r="O460" i="17"/>
  <c r="AA460" i="17" s="1"/>
  <c r="O421" i="17"/>
  <c r="AA421" i="17" s="1"/>
  <c r="O485" i="17"/>
  <c r="AA485" i="17" s="1"/>
  <c r="O526" i="17"/>
  <c r="AA526" i="17" s="1"/>
  <c r="O590" i="17"/>
  <c r="AA590" i="17" s="1"/>
  <c r="O604" i="17"/>
  <c r="AA604" i="17" s="1"/>
  <c r="P15" i="17"/>
  <c r="AB15" i="17" s="1"/>
  <c r="P79" i="17"/>
  <c r="AB79" i="17" s="1"/>
  <c r="P14" i="17"/>
  <c r="AB14" i="17" s="1"/>
  <c r="P78" i="17"/>
  <c r="AB78" i="17" s="1"/>
  <c r="O450" i="17"/>
  <c r="AA450" i="17" s="1"/>
  <c r="O514" i="17"/>
  <c r="AA514" i="17" s="1"/>
  <c r="O475" i="17"/>
  <c r="AA475" i="17" s="1"/>
  <c r="O76" i="17"/>
  <c r="AA76" i="17" s="1"/>
  <c r="O43" i="17"/>
  <c r="AA43" i="17" s="1"/>
  <c r="O75" i="17"/>
  <c r="AA75" i="17" s="1"/>
  <c r="O107" i="17"/>
  <c r="AA107" i="17" s="1"/>
  <c r="O139" i="17"/>
  <c r="AA139" i="17" s="1"/>
  <c r="O203" i="17"/>
  <c r="AA203" i="17" s="1"/>
  <c r="O267" i="17"/>
  <c r="AA267" i="17" s="1"/>
  <c r="O158" i="17"/>
  <c r="AA158" i="17" s="1"/>
  <c r="O440" i="17"/>
  <c r="AA440" i="17" s="1"/>
  <c r="O472" i="17"/>
  <c r="AA472" i="17" s="1"/>
  <c r="O504" i="17"/>
  <c r="AA504" i="17" s="1"/>
  <c r="O433" i="17"/>
  <c r="AA433" i="17" s="1"/>
  <c r="O465" i="17"/>
  <c r="AA465" i="17" s="1"/>
  <c r="O497" i="17"/>
  <c r="AA497" i="17" s="1"/>
  <c r="O597" i="17"/>
  <c r="AA597" i="17" s="1"/>
  <c r="P59" i="17"/>
  <c r="AB59" i="17" s="1"/>
  <c r="O431" i="17"/>
  <c r="AA431" i="17" s="1"/>
  <c r="O495" i="17"/>
  <c r="AA495" i="17" s="1"/>
  <c r="O527" i="17"/>
  <c r="AA527" i="17" s="1"/>
  <c r="O536" i="17"/>
  <c r="AA536" i="17" s="1"/>
  <c r="O568" i="17"/>
  <c r="AA568" i="17" s="1"/>
  <c r="O549" i="17"/>
  <c r="AA549" i="17" s="1"/>
  <c r="O595" i="17"/>
  <c r="AA595" i="17" s="1"/>
  <c r="P25" i="17"/>
  <c r="AB25" i="17" s="1"/>
  <c r="P89" i="17"/>
  <c r="AB89" i="17" s="1"/>
  <c r="P24" i="17"/>
  <c r="AB24" i="17" s="1"/>
  <c r="P88" i="17"/>
  <c r="AB88" i="17" s="1"/>
  <c r="O40" i="17"/>
  <c r="AA40" i="17" s="1"/>
  <c r="O104" i="17"/>
  <c r="AA104" i="17" s="1"/>
  <c r="O39" i="17"/>
  <c r="AA39" i="17" s="1"/>
  <c r="O103" i="17"/>
  <c r="AA103" i="17" s="1"/>
  <c r="O135" i="17"/>
  <c r="AA135" i="17" s="1"/>
  <c r="O199" i="17"/>
  <c r="AA199" i="17" s="1"/>
  <c r="O263" i="17"/>
  <c r="AA263" i="17" s="1"/>
  <c r="O122" i="17"/>
  <c r="AA122" i="17" s="1"/>
  <c r="O218" i="17"/>
  <c r="AA218" i="17" s="1"/>
  <c r="O282" i="17"/>
  <c r="AA282" i="17" s="1"/>
  <c r="O314" i="17"/>
  <c r="AA314" i="17" s="1"/>
  <c r="O377" i="17"/>
  <c r="AA377" i="17" s="1"/>
  <c r="O409" i="17"/>
  <c r="AA409" i="17" s="1"/>
  <c r="O340" i="17"/>
  <c r="AA340" i="17" s="1"/>
  <c r="O404" i="17"/>
  <c r="AA404" i="17" s="1"/>
  <c r="O436" i="17"/>
  <c r="AA436" i="17" s="1"/>
  <c r="O500" i="17"/>
  <c r="AA500" i="17" s="1"/>
  <c r="O461" i="17"/>
  <c r="AA461" i="17" s="1"/>
  <c r="O566" i="17"/>
  <c r="AA566" i="17" s="1"/>
  <c r="O579" i="17"/>
  <c r="AA579" i="17" s="1"/>
  <c r="P55" i="17"/>
  <c r="AB55" i="17" s="1"/>
  <c r="P54" i="17"/>
  <c r="AB54" i="17" s="1"/>
  <c r="O426" i="17"/>
  <c r="AA426" i="17" s="1"/>
  <c r="O490" i="17"/>
  <c r="AA490" i="17" s="1"/>
  <c r="O451" i="17"/>
  <c r="AA451" i="17" s="1"/>
  <c r="O588" i="17"/>
  <c r="AA588" i="17" s="1"/>
  <c r="P45" i="17"/>
  <c r="AB45" i="17" s="1"/>
  <c r="P109" i="17"/>
  <c r="AB109" i="17" s="1"/>
  <c r="O50" i="17"/>
  <c r="AA50" i="17" s="1"/>
  <c r="O177" i="17"/>
  <c r="AA177" i="17" s="1"/>
  <c r="O37" i="17"/>
  <c r="AA37" i="17" s="1"/>
  <c r="O84" i="17"/>
  <c r="AA84" i="17" s="1"/>
  <c r="O147" i="17"/>
  <c r="AA147" i="17" s="1"/>
  <c r="O211" i="17"/>
  <c r="AA211" i="17" s="1"/>
  <c r="O275" i="17"/>
  <c r="AA275" i="17" s="1"/>
  <c r="O134" i="17"/>
  <c r="AA134" i="17" s="1"/>
  <c r="O230" i="17"/>
  <c r="AA230" i="17" s="1"/>
  <c r="O294" i="17"/>
  <c r="AA294" i="17" s="1"/>
  <c r="P35" i="17"/>
  <c r="AB35" i="17" s="1"/>
  <c r="P99" i="17"/>
  <c r="AB99" i="17" s="1"/>
  <c r="P34" i="17"/>
  <c r="AB34" i="17" s="1"/>
  <c r="P100" i="17"/>
  <c r="AB100" i="17" s="1"/>
  <c r="O507" i="17"/>
  <c r="AA507" i="17" s="1"/>
  <c r="O561" i="17"/>
  <c r="AA561" i="17" s="1"/>
  <c r="P36" i="17"/>
  <c r="AB36" i="17" s="1"/>
  <c r="O52" i="17"/>
  <c r="AA52" i="17" s="1"/>
  <c r="O27" i="17"/>
  <c r="AA27" i="17" s="1"/>
  <c r="O91" i="17"/>
  <c r="AA91" i="17" s="1"/>
  <c r="O333" i="17"/>
  <c r="AA333" i="17" s="1"/>
  <c r="O397" i="17"/>
  <c r="AA397" i="17" s="1"/>
  <c r="O360" i="17"/>
  <c r="AA360" i="17" s="1"/>
  <c r="O456" i="17"/>
  <c r="AA456" i="17" s="1"/>
  <c r="O481" i="17"/>
  <c r="AA481" i="17" s="1"/>
  <c r="O522" i="17"/>
  <c r="AA522" i="17" s="1"/>
  <c r="O586" i="17"/>
  <c r="AA586" i="17" s="1"/>
  <c r="O600" i="17"/>
  <c r="AA600" i="17" s="1"/>
  <c r="O439" i="17"/>
  <c r="AA439" i="17" s="1"/>
  <c r="O503" i="17"/>
  <c r="AA503" i="17" s="1"/>
  <c r="O535" i="17"/>
  <c r="AA535" i="17" s="1"/>
  <c r="O576" i="17"/>
  <c r="AA576" i="17" s="1"/>
  <c r="O557" i="17"/>
  <c r="AA557" i="17" s="1"/>
  <c r="P33" i="17"/>
  <c r="AB33" i="17" s="1"/>
  <c r="P97" i="17"/>
  <c r="AB97" i="17" s="1"/>
  <c r="P32" i="17"/>
  <c r="AB32" i="17" s="1"/>
  <c r="O48" i="17"/>
  <c r="AA48" i="17" s="1"/>
  <c r="O47" i="17"/>
  <c r="AA47" i="17" s="1"/>
  <c r="O143" i="17"/>
  <c r="AA143" i="17" s="1"/>
  <c r="O207" i="17"/>
  <c r="AA207" i="17" s="1"/>
  <c r="O271" i="17"/>
  <c r="AA271" i="17" s="1"/>
  <c r="O130" i="17"/>
  <c r="AA130" i="17" s="1"/>
  <c r="O226" i="17"/>
  <c r="AA226" i="17" s="1"/>
  <c r="O290" i="17"/>
  <c r="AA290" i="17" s="1"/>
  <c r="O321" i="17"/>
  <c r="AA321" i="17" s="1"/>
  <c r="O385" i="17"/>
  <c r="AA385" i="17" s="1"/>
  <c r="O348" i="17"/>
  <c r="AA348" i="17" s="1"/>
  <c r="O412" i="17"/>
  <c r="AA412" i="17" s="1"/>
  <c r="O444" i="17"/>
  <c r="AA444" i="17" s="1"/>
  <c r="O508" i="17"/>
  <c r="AA508" i="17" s="1"/>
  <c r="O469" i="17"/>
  <c r="AA469" i="17" s="1"/>
  <c r="O574" i="17"/>
  <c r="AA574" i="17" s="1"/>
  <c r="O587" i="17"/>
  <c r="AA587" i="17" s="1"/>
  <c r="O601" i="17"/>
  <c r="AA601" i="17" s="1"/>
  <c r="P63" i="17"/>
  <c r="AB63" i="17" s="1"/>
  <c r="P62" i="17"/>
  <c r="AB62" i="17" s="1"/>
  <c r="O434" i="17"/>
  <c r="AA434" i="17" s="1"/>
  <c r="O498" i="17"/>
  <c r="AA498" i="17" s="1"/>
  <c r="O459" i="17"/>
  <c r="AA459" i="17" s="1"/>
  <c r="O564" i="17"/>
  <c r="AA564" i="17" s="1"/>
  <c r="P47" i="17"/>
  <c r="AB47" i="17" s="1"/>
  <c r="P46" i="17"/>
  <c r="AB46" i="17" s="1"/>
  <c r="O418" i="17"/>
  <c r="AA418" i="17" s="1"/>
  <c r="O482" i="17"/>
  <c r="AA482" i="17" s="1"/>
  <c r="O443" i="17"/>
  <c r="AA443" i="17" s="1"/>
  <c r="O532" i="17"/>
  <c r="AA532" i="17" s="1"/>
  <c r="O36" i="17"/>
  <c r="AA36" i="17" s="1"/>
  <c r="O108" i="17"/>
  <c r="AA108" i="17" s="1"/>
  <c r="O171" i="17"/>
  <c r="AA171" i="17" s="1"/>
  <c r="O235" i="17"/>
  <c r="AA235" i="17" s="1"/>
  <c r="O299" i="17"/>
  <c r="AA299" i="17" s="1"/>
  <c r="O126" i="17"/>
  <c r="AA126" i="17" s="1"/>
  <c r="O538" i="17"/>
  <c r="AA538" i="17" s="1"/>
  <c r="O570" i="17"/>
  <c r="AA570" i="17" s="1"/>
  <c r="O551" i="17"/>
  <c r="AA551" i="17" s="1"/>
  <c r="O583" i="17"/>
  <c r="AA583" i="17" s="1"/>
  <c r="P27" i="17"/>
  <c r="AB27" i="17" s="1"/>
  <c r="P91" i="17"/>
  <c r="AB91" i="17" s="1"/>
  <c r="O502" i="17"/>
  <c r="AA502" i="17" s="1"/>
  <c r="O463" i="17"/>
  <c r="AA463" i="17" s="1"/>
  <c r="O581" i="17"/>
  <c r="AA581" i="17" s="1"/>
  <c r="P57" i="17"/>
  <c r="AB57" i="17" s="1"/>
  <c r="P56" i="17"/>
  <c r="AB56" i="17" s="1"/>
  <c r="O72" i="17"/>
  <c r="AA72" i="17" s="1"/>
  <c r="O71" i="17"/>
  <c r="AA71" i="17" s="1"/>
  <c r="O167" i="17"/>
  <c r="AA167" i="17" s="1"/>
  <c r="O231" i="17"/>
  <c r="AA231" i="17" s="1"/>
  <c r="O295" i="17"/>
  <c r="AA295" i="17" s="1"/>
  <c r="O154" i="17"/>
  <c r="AA154" i="17" s="1"/>
  <c r="O186" i="17"/>
  <c r="AA186" i="17" s="1"/>
  <c r="O250" i="17"/>
  <c r="AA250" i="17" s="1"/>
  <c r="O345" i="17"/>
  <c r="AA345" i="17" s="1"/>
  <c r="O372" i="17"/>
  <c r="AA372" i="17" s="1"/>
  <c r="O468" i="17"/>
  <c r="AA468" i="17" s="1"/>
  <c r="O429" i="17"/>
  <c r="AA429" i="17" s="1"/>
  <c r="O493" i="17"/>
  <c r="AA493" i="17" s="1"/>
  <c r="O525" i="17"/>
  <c r="AA525" i="17" s="1"/>
  <c r="O534" i="17"/>
  <c r="AA534" i="17" s="1"/>
  <c r="O547" i="17"/>
  <c r="AA547" i="17" s="1"/>
  <c r="O612" i="17"/>
  <c r="AA612" i="17" s="1"/>
  <c r="P23" i="17"/>
  <c r="AB23" i="17" s="1"/>
  <c r="P87" i="17"/>
  <c r="AB87" i="17" s="1"/>
  <c r="P22" i="17"/>
  <c r="AB22" i="17" s="1"/>
  <c r="P86" i="17"/>
  <c r="AB86" i="17" s="1"/>
  <c r="O458" i="17"/>
  <c r="AA458" i="17" s="1"/>
  <c r="O419" i="17"/>
  <c r="AA419" i="17" s="1"/>
  <c r="O524" i="17"/>
  <c r="AA524" i="17" s="1"/>
  <c r="O556" i="17"/>
  <c r="AA556" i="17" s="1"/>
  <c r="P13" i="17"/>
  <c r="AB13" i="17" s="1"/>
  <c r="P77" i="17"/>
  <c r="AB77" i="17" s="1"/>
  <c r="O113" i="17"/>
  <c r="AA113" i="17" s="1"/>
  <c r="O241" i="17"/>
  <c r="AA241" i="17" s="1"/>
  <c r="O115" i="17"/>
  <c r="AA115" i="17" s="1"/>
  <c r="O179" i="17"/>
  <c r="AA179" i="17" s="1"/>
  <c r="O243" i="17"/>
  <c r="AA243" i="17" s="1"/>
  <c r="O307" i="17"/>
  <c r="AA307" i="17" s="1"/>
  <c r="O166" i="17"/>
  <c r="AA166" i="17" s="1"/>
  <c r="O198" i="17"/>
  <c r="AA198" i="17" s="1"/>
  <c r="O262" i="17"/>
  <c r="AA262" i="17" s="1"/>
  <c r="O605" i="17"/>
  <c r="AA605" i="17" s="1"/>
  <c r="P67" i="17"/>
  <c r="AB67" i="17" s="1"/>
  <c r="P66" i="17"/>
  <c r="AB66" i="17" s="1"/>
  <c r="P132" i="17"/>
  <c r="AB132" i="17" s="1"/>
  <c r="O593" i="17"/>
  <c r="AA593" i="17" s="1"/>
  <c r="P68" i="17"/>
  <c r="AB68" i="17" s="1"/>
  <c r="O20" i="17"/>
  <c r="AA20" i="17" s="1"/>
  <c r="O59" i="17"/>
  <c r="AA59" i="17" s="1"/>
  <c r="O365" i="17"/>
  <c r="AA365" i="17" s="1"/>
  <c r="O328" i="17"/>
  <c r="AA328" i="17" s="1"/>
  <c r="O392" i="17"/>
  <c r="AA392" i="17" s="1"/>
  <c r="O424" i="17"/>
  <c r="AA424" i="17" s="1"/>
  <c r="O488" i="17"/>
  <c r="AA488" i="17" s="1"/>
  <c r="O417" i="17"/>
  <c r="AA417" i="17" s="1"/>
  <c r="O449" i="17"/>
  <c r="AA449" i="17" s="1"/>
  <c r="O513" i="17"/>
  <c r="AA513" i="17" s="1"/>
  <c r="O554" i="17"/>
  <c r="AA554" i="17" s="1"/>
  <c r="O567" i="17"/>
  <c r="AA567" i="17" s="1"/>
  <c r="O510" i="17"/>
  <c r="AA510" i="17" s="1"/>
  <c r="O471" i="17"/>
  <c r="AA471" i="17" s="1"/>
  <c r="O544" i="17"/>
  <c r="AA544" i="17" s="1"/>
  <c r="O589" i="17"/>
  <c r="AA589" i="17" s="1"/>
  <c r="O603" i="17"/>
  <c r="AA603" i="17" s="1"/>
  <c r="P65" i="17"/>
  <c r="AB65" i="17" s="1"/>
  <c r="P64" i="17"/>
  <c r="AB64" i="17" s="1"/>
  <c r="O16" i="17"/>
  <c r="AA16" i="17" s="1"/>
  <c r="O80" i="17"/>
  <c r="AA80" i="17" s="1"/>
  <c r="O15" i="17"/>
  <c r="AA15" i="17" s="1"/>
  <c r="O79" i="17"/>
  <c r="AA79" i="17" s="1"/>
  <c r="O111" i="17"/>
  <c r="AA111" i="17" s="1"/>
  <c r="O175" i="17"/>
  <c r="AA175" i="17" s="1"/>
  <c r="O239" i="17"/>
  <c r="AA239" i="17" s="1"/>
  <c r="O303" i="17"/>
  <c r="AA303" i="17" s="1"/>
  <c r="O162" i="17"/>
  <c r="AA162" i="17" s="1"/>
  <c r="O194" i="17"/>
  <c r="AA194" i="17" s="1"/>
  <c r="O258" i="17"/>
  <c r="AA258" i="17" s="1"/>
  <c r="O353" i="17"/>
  <c r="AA353" i="17" s="1"/>
  <c r="O316" i="17"/>
  <c r="AA316" i="17" s="1"/>
  <c r="O380" i="17"/>
  <c r="AA380" i="17" s="1"/>
  <c r="O476" i="17"/>
  <c r="AA476" i="17" s="1"/>
  <c r="O437" i="17"/>
  <c r="AA437" i="17" s="1"/>
  <c r="O501" i="17"/>
  <c r="AA501" i="17" s="1"/>
  <c r="O533" i="17"/>
  <c r="AA533" i="17" s="1"/>
  <c r="O542" i="17"/>
  <c r="AA542" i="17" s="1"/>
  <c r="O555" i="17"/>
  <c r="AA555" i="17" s="1"/>
  <c r="P31" i="17"/>
  <c r="AB31" i="17" s="1"/>
  <c r="P95" i="17"/>
  <c r="AB95" i="17" s="1"/>
  <c r="P30" i="17"/>
  <c r="AB30" i="17" s="1"/>
  <c r="P96" i="17"/>
  <c r="AB96" i="17" s="1"/>
  <c r="O466" i="17"/>
  <c r="AA466" i="17" s="1"/>
  <c r="O427" i="17"/>
  <c r="AA427" i="17" s="1"/>
  <c r="O491" i="17"/>
  <c r="AA491" i="17" s="1"/>
  <c r="O523" i="17"/>
  <c r="AA523" i="17" s="1"/>
  <c r="O539" i="17"/>
  <c r="AA539" i="17" s="1"/>
  <c r="O548" i="17"/>
  <c r="AA548" i="17" s="1"/>
  <c r="O580" i="17"/>
  <c r="AA580" i="17" s="1"/>
  <c r="O545" i="17"/>
  <c r="AA545" i="17" s="1"/>
  <c r="O610" i="17"/>
  <c r="AA610" i="17" s="1"/>
  <c r="O607" i="17"/>
  <c r="AA607" i="17" s="1"/>
  <c r="P37" i="17"/>
  <c r="AB37" i="17" s="1"/>
  <c r="P69" i="17"/>
  <c r="AB69" i="17" s="1"/>
  <c r="P101" i="17"/>
  <c r="AB101" i="17" s="1"/>
  <c r="P20" i="17"/>
  <c r="AB20" i="17" s="1"/>
  <c r="P84" i="17"/>
  <c r="AB84" i="17" s="1"/>
  <c r="O34" i="17"/>
  <c r="AA34" i="17" s="1"/>
  <c r="O98" i="17"/>
  <c r="AA98" i="17" s="1"/>
  <c r="O161" i="17"/>
  <c r="AA161" i="17" s="1"/>
  <c r="O225" i="17"/>
  <c r="AA225" i="17" s="1"/>
  <c r="O21" i="17"/>
  <c r="AA21" i="17" s="1"/>
  <c r="O60" i="17"/>
  <c r="AA60" i="17" s="1"/>
  <c r="O19" i="17"/>
  <c r="AA19" i="17" s="1"/>
  <c r="O83" i="17"/>
  <c r="AA83" i="17" s="1"/>
  <c r="O155" i="17"/>
  <c r="AA155" i="17" s="1"/>
  <c r="O219" i="17"/>
  <c r="AA219" i="17" s="1"/>
  <c r="O283" i="17"/>
  <c r="AA283" i="17" s="1"/>
  <c r="O110" i="17"/>
  <c r="AA110" i="17" s="1"/>
  <c r="O142" i="17"/>
  <c r="AA142" i="17" s="1"/>
  <c r="O206" i="17"/>
  <c r="AA206" i="17" s="1"/>
  <c r="O238" i="17"/>
  <c r="AA238" i="17" s="1"/>
  <c r="O270" i="17"/>
  <c r="AA270" i="17" s="1"/>
  <c r="O302" i="17"/>
  <c r="AA302" i="17" s="1"/>
  <c r="O317" i="17"/>
  <c r="AA317" i="17" s="1"/>
  <c r="O381" i="17"/>
  <c r="AA381" i="17" s="1"/>
  <c r="O413" i="17"/>
  <c r="AA413" i="17" s="1"/>
  <c r="O344" i="17"/>
  <c r="AA344" i="17" s="1"/>
  <c r="O408" i="17"/>
  <c r="AA408" i="17" s="1"/>
  <c r="O480" i="17"/>
  <c r="AA480" i="17" s="1"/>
  <c r="O441" i="17"/>
  <c r="AA441" i="17" s="1"/>
  <c r="O505" i="17"/>
  <c r="AA505" i="17" s="1"/>
  <c r="O546" i="17"/>
  <c r="AA546" i="17" s="1"/>
  <c r="O559" i="17"/>
  <c r="AA559" i="17" s="1"/>
  <c r="O613" i="17"/>
  <c r="AA613" i="17" s="1"/>
  <c r="P75" i="17"/>
  <c r="AB75" i="17" s="1"/>
  <c r="P42" i="17"/>
  <c r="AB42" i="17" s="1"/>
  <c r="P74" i="17"/>
  <c r="AB74" i="17" s="1"/>
  <c r="P108" i="17"/>
  <c r="AB108" i="17" s="1"/>
  <c r="O483" i="17"/>
  <c r="AA483" i="17" s="1"/>
  <c r="O602" i="17"/>
  <c r="AA602" i="17" s="1"/>
  <c r="P76" i="17"/>
  <c r="AB76" i="17" s="1"/>
  <c r="O325" i="17"/>
  <c r="AA325" i="17" s="1"/>
  <c r="O389" i="17"/>
  <c r="AA389" i="17" s="1"/>
  <c r="O352" i="17"/>
  <c r="AA352" i="17" s="1"/>
  <c r="O416" i="17"/>
  <c r="AA416" i="17" s="1"/>
  <c r="O479" i="17"/>
  <c r="AA479" i="17" s="1"/>
  <c r="O543" i="17"/>
  <c r="AA543" i="17" s="1"/>
  <c r="O552" i="17"/>
  <c r="AA552" i="17" s="1"/>
  <c r="O598" i="17"/>
  <c r="AA598" i="17" s="1"/>
  <c r="O611" i="17"/>
  <c r="AA611" i="17" s="1"/>
  <c r="P73" i="17"/>
  <c r="AB73" i="17" s="1"/>
  <c r="P72" i="17"/>
  <c r="AB72" i="17" s="1"/>
  <c r="O24" i="17"/>
  <c r="AA24" i="17" s="1"/>
  <c r="O88" i="17"/>
  <c r="AA88" i="17" s="1"/>
  <c r="O23" i="17"/>
  <c r="AA23" i="17" s="1"/>
  <c r="O87" i="17"/>
  <c r="AA87" i="17" s="1"/>
  <c r="O119" i="17"/>
  <c r="AA119" i="17" s="1"/>
  <c r="O183" i="17"/>
  <c r="AA183" i="17" s="1"/>
  <c r="O247" i="17"/>
  <c r="AA247" i="17" s="1"/>
  <c r="O311" i="17"/>
  <c r="AA311" i="17" s="1"/>
  <c r="O170" i="17"/>
  <c r="AA170" i="17" s="1"/>
  <c r="O202" i="17"/>
  <c r="AA202" i="17" s="1"/>
  <c r="O266" i="17"/>
  <c r="AA266" i="17" s="1"/>
  <c r="O361" i="17"/>
  <c r="AA361" i="17" s="1"/>
  <c r="O324" i="17"/>
  <c r="AA324" i="17" s="1"/>
  <c r="O388" i="17"/>
  <c r="AA388" i="17" s="1"/>
  <c r="O420" i="17"/>
  <c r="AA420" i="17" s="1"/>
  <c r="O484" i="17"/>
  <c r="AA484" i="17" s="1"/>
  <c r="O445" i="17"/>
  <c r="AA445" i="17" s="1"/>
  <c r="O509" i="17"/>
  <c r="AA509" i="17" s="1"/>
  <c r="O550" i="17"/>
  <c r="AA550" i="17" s="1"/>
  <c r="O563" i="17"/>
  <c r="AA563" i="17" s="1"/>
  <c r="P39" i="17"/>
  <c r="AB39" i="17" s="1"/>
  <c r="P103" i="17"/>
  <c r="AB103" i="17" s="1"/>
  <c r="P38" i="17"/>
  <c r="AB38" i="17" s="1"/>
  <c r="O474" i="17"/>
  <c r="AA474" i="17" s="1"/>
  <c r="O435" i="17"/>
  <c r="AA435" i="17" s="1"/>
  <c r="O499" i="17"/>
  <c r="AA499" i="17" s="1"/>
  <c r="O531" i="17"/>
  <c r="AA531" i="17" s="1"/>
  <c r="O540" i="17"/>
  <c r="AA540" i="17" s="1"/>
  <c r="O572" i="17"/>
  <c r="AA572" i="17" s="1"/>
  <c r="O553" i="17"/>
  <c r="AA553" i="17" s="1"/>
  <c r="P29" i="17"/>
  <c r="AB29" i="17" s="1"/>
  <c r="P93" i="17"/>
  <c r="AB93" i="17" s="1"/>
  <c r="P28" i="17"/>
  <c r="AB28" i="17" s="1"/>
  <c r="P92" i="17"/>
  <c r="AB92" i="17" s="1"/>
  <c r="O44" i="17"/>
  <c r="AA44" i="17" s="1"/>
  <c r="O82" i="17"/>
  <c r="AA82" i="17" s="1"/>
  <c r="O209" i="17"/>
  <c r="AA209" i="17" s="1"/>
  <c r="O100" i="17"/>
  <c r="AA100" i="17" s="1"/>
  <c r="O35" i="17"/>
  <c r="AA35" i="17" s="1"/>
  <c r="O99" i="17"/>
  <c r="AA99" i="17" s="1"/>
  <c r="O131" i="17"/>
  <c r="AA131" i="17" s="1"/>
  <c r="O195" i="17"/>
  <c r="AA195" i="17" s="1"/>
  <c r="O259" i="17"/>
  <c r="AA259" i="17" s="1"/>
  <c r="O118" i="17"/>
  <c r="AA118" i="17" s="1"/>
  <c r="O214" i="17"/>
  <c r="AA214" i="17" s="1"/>
  <c r="O278" i="17"/>
  <c r="AA278" i="17" s="1"/>
  <c r="O373" i="17"/>
  <c r="AA373" i="17" s="1"/>
  <c r="O336" i="17"/>
  <c r="AA336" i="17" s="1"/>
  <c r="O400" i="17"/>
  <c r="AA400" i="17" s="1"/>
  <c r="O432" i="17"/>
  <c r="AA432" i="17" s="1"/>
  <c r="O496" i="17"/>
  <c r="AA496" i="17" s="1"/>
  <c r="O457" i="17"/>
  <c r="AA457" i="17" s="1"/>
  <c r="O562" i="17"/>
  <c r="AA562" i="17" s="1"/>
  <c r="O575" i="17"/>
  <c r="AA575" i="17" s="1"/>
  <c r="P51" i="17"/>
  <c r="AB51" i="17" s="1"/>
  <c r="P50" i="17"/>
  <c r="AB50" i="17" s="1"/>
  <c r="P116" i="17"/>
  <c r="AB116" i="17" s="1"/>
  <c r="P180" i="17"/>
  <c r="AB180" i="17" s="1"/>
  <c r="P160" i="17"/>
  <c r="AB160" i="17" s="1"/>
  <c r="P224" i="17"/>
  <c r="AB224" i="17" s="1"/>
  <c r="P288" i="17"/>
  <c r="AB288" i="17" s="1"/>
  <c r="P147" i="17"/>
  <c r="AB147" i="17" s="1"/>
  <c r="P211" i="17"/>
  <c r="AB211" i="17" s="1"/>
  <c r="P275" i="17"/>
  <c r="AB275" i="17" s="1"/>
  <c r="P372" i="17"/>
  <c r="AB372" i="17" s="1"/>
  <c r="P365" i="17"/>
  <c r="AB365" i="17" s="1"/>
  <c r="P461" i="17"/>
  <c r="AB461" i="17" s="1"/>
  <c r="P424" i="17"/>
  <c r="AB424" i="17" s="1"/>
  <c r="P488" i="17"/>
  <c r="AB488" i="17" s="1"/>
  <c r="P583" i="17"/>
  <c r="AB583" i="17" s="1"/>
  <c r="P541" i="17"/>
  <c r="AB541" i="17" s="1"/>
  <c r="P603" i="17"/>
  <c r="AB603" i="17" s="1"/>
  <c r="P94" i="17"/>
  <c r="AB94" i="17" s="1"/>
  <c r="P158" i="17"/>
  <c r="AB158" i="17" s="1"/>
  <c r="P222" i="17"/>
  <c r="AB222" i="17" s="1"/>
  <c r="P286" i="17"/>
  <c r="AB286" i="17" s="1"/>
  <c r="P145" i="17"/>
  <c r="AB145" i="17" s="1"/>
  <c r="P209" i="17"/>
  <c r="AB209" i="17" s="1"/>
  <c r="P273" i="17"/>
  <c r="AB273" i="17" s="1"/>
  <c r="P370" i="17"/>
  <c r="AB370" i="17" s="1"/>
  <c r="P363" i="17"/>
  <c r="AB363" i="17" s="1"/>
  <c r="P459" i="17"/>
  <c r="AB459" i="17" s="1"/>
  <c r="P422" i="17"/>
  <c r="AB422" i="17" s="1"/>
  <c r="P486" i="17"/>
  <c r="AB486" i="17" s="1"/>
  <c r="P549" i="17"/>
  <c r="AB549" i="17" s="1"/>
  <c r="P539" i="17"/>
  <c r="AB539" i="17" s="1"/>
  <c r="P601" i="17"/>
  <c r="AB601" i="17" s="1"/>
  <c r="O518" i="17"/>
  <c r="AA518" i="17" s="1"/>
  <c r="O577" i="17"/>
  <c r="AA577" i="17" s="1"/>
  <c r="P21" i="17"/>
  <c r="AB21" i="17" s="1"/>
  <c r="P53" i="17"/>
  <c r="AB53" i="17" s="1"/>
  <c r="P85" i="17"/>
  <c r="AB85" i="17" s="1"/>
  <c r="P52" i="17"/>
  <c r="AB52" i="17" s="1"/>
  <c r="O28" i="17"/>
  <c r="AA28" i="17" s="1"/>
  <c r="O66" i="17"/>
  <c r="AA66" i="17" s="1"/>
  <c r="O129" i="17"/>
  <c r="AA129" i="17" s="1"/>
  <c r="O193" i="17"/>
  <c r="AA193" i="17" s="1"/>
  <c r="O257" i="17"/>
  <c r="AA257" i="17" s="1"/>
  <c r="O92" i="17"/>
  <c r="AA92" i="17" s="1"/>
  <c r="O51" i="17"/>
  <c r="AA51" i="17" s="1"/>
  <c r="O123" i="17"/>
  <c r="AA123" i="17" s="1"/>
  <c r="O187" i="17"/>
  <c r="AA187" i="17" s="1"/>
  <c r="O251" i="17"/>
  <c r="AA251" i="17" s="1"/>
  <c r="O174" i="17"/>
  <c r="AA174" i="17" s="1"/>
  <c r="O190" i="17"/>
  <c r="AA190" i="17" s="1"/>
  <c r="O222" i="17"/>
  <c r="AA222" i="17" s="1"/>
  <c r="O254" i="17"/>
  <c r="AA254" i="17" s="1"/>
  <c r="O286" i="17"/>
  <c r="AA286" i="17" s="1"/>
  <c r="O349" i="17"/>
  <c r="AA349" i="17" s="1"/>
  <c r="O376" i="17"/>
  <c r="AA376" i="17" s="1"/>
  <c r="O448" i="17"/>
  <c r="AA448" i="17" s="1"/>
  <c r="O512" i="17"/>
  <c r="AA512" i="17" s="1"/>
  <c r="O473" i="17"/>
  <c r="AA473" i="17" s="1"/>
  <c r="O529" i="17"/>
  <c r="AA529" i="17" s="1"/>
  <c r="O578" i="17"/>
  <c r="AA578" i="17" s="1"/>
  <c r="O591" i="17"/>
  <c r="AA591" i="17" s="1"/>
  <c r="P43" i="17"/>
  <c r="AB43" i="17" s="1"/>
  <c r="P107" i="17"/>
  <c r="AB107" i="17" s="1"/>
  <c r="P26" i="17"/>
  <c r="AB26" i="17" s="1"/>
  <c r="P58" i="17"/>
  <c r="AB58" i="17" s="1"/>
  <c r="P90" i="17"/>
  <c r="AB90" i="17" s="1"/>
  <c r="P124" i="17"/>
  <c r="AB124" i="17" s="1"/>
  <c r="O515" i="17"/>
  <c r="AA515" i="17" s="1"/>
  <c r="O569" i="17"/>
  <c r="AA569" i="17" s="1"/>
  <c r="P44" i="17"/>
  <c r="AB44" i="17" s="1"/>
  <c r="O357" i="17"/>
  <c r="AA357" i="17" s="1"/>
  <c r="O320" i="17"/>
  <c r="AA320" i="17" s="1"/>
  <c r="O384" i="17"/>
  <c r="AA384" i="17" s="1"/>
  <c r="O537" i="17"/>
  <c r="AA537" i="17" s="1"/>
  <c r="O486" i="17"/>
  <c r="AA486" i="17" s="1"/>
  <c r="O520" i="17"/>
  <c r="AA520" i="17" s="1"/>
  <c r="O447" i="17"/>
  <c r="AA447" i="17" s="1"/>
  <c r="O511" i="17"/>
  <c r="AA511" i="17" s="1"/>
  <c r="O584" i="17"/>
  <c r="AA584" i="17" s="1"/>
  <c r="O565" i="17"/>
  <c r="AA565" i="17" s="1"/>
  <c r="P41" i="17"/>
  <c r="AB41" i="17" s="1"/>
  <c r="P105" i="17"/>
  <c r="AB105" i="17" s="1"/>
  <c r="P40" i="17"/>
  <c r="AB40" i="17" s="1"/>
  <c r="O56" i="17"/>
  <c r="AA56" i="17" s="1"/>
  <c r="O55" i="17"/>
  <c r="AA55" i="17" s="1"/>
  <c r="O151" i="17"/>
  <c r="AA151" i="17" s="1"/>
  <c r="O215" i="17"/>
  <c r="AA215" i="17" s="1"/>
  <c r="O279" i="17"/>
  <c r="AA279" i="17" s="1"/>
  <c r="O138" i="17"/>
  <c r="AA138" i="17" s="1"/>
  <c r="O234" i="17"/>
  <c r="AA234" i="17" s="1"/>
  <c r="O298" i="17"/>
  <c r="AA298" i="17" s="1"/>
  <c r="O329" i="17"/>
  <c r="AA329" i="17" s="1"/>
  <c r="O393" i="17"/>
  <c r="AA393" i="17" s="1"/>
  <c r="O356" i="17"/>
  <c r="AA356" i="17" s="1"/>
  <c r="O452" i="17"/>
  <c r="AA452" i="17" s="1"/>
  <c r="O516" i="17"/>
  <c r="AA516" i="17" s="1"/>
  <c r="O477" i="17"/>
  <c r="AA477" i="17" s="1"/>
  <c r="O541" i="17"/>
  <c r="AA541" i="17" s="1"/>
  <c r="O582" i="17"/>
  <c r="AA582" i="17" s="1"/>
  <c r="O596" i="17"/>
  <c r="AA596" i="17" s="1"/>
  <c r="O609" i="17"/>
  <c r="AA609" i="17" s="1"/>
  <c r="P71" i="17"/>
  <c r="AB71" i="17" s="1"/>
  <c r="P70" i="17"/>
  <c r="AB70" i="17" s="1"/>
  <c r="O410" i="17"/>
  <c r="AA410" i="17" s="1"/>
  <c r="O442" i="17"/>
  <c r="AA442" i="17" s="1"/>
  <c r="O506" i="17"/>
  <c r="AA506" i="17" s="1"/>
  <c r="O467" i="17"/>
  <c r="AA467" i="17" s="1"/>
  <c r="O585" i="17"/>
  <c r="AA585" i="17" s="1"/>
  <c r="O599" i="17"/>
  <c r="AA599" i="17" s="1"/>
  <c r="P61" i="17"/>
  <c r="AB61" i="17" s="1"/>
  <c r="P60" i="17"/>
  <c r="AB60" i="17" s="1"/>
  <c r="O18" i="17"/>
  <c r="AA18" i="17" s="1"/>
  <c r="O145" i="17"/>
  <c r="AA145" i="17" s="1"/>
  <c r="O273" i="17"/>
  <c r="AA273" i="17" s="1"/>
  <c r="O68" i="17"/>
  <c r="AA68" i="17" s="1"/>
  <c r="O67" i="17"/>
  <c r="AA67" i="17" s="1"/>
  <c r="O163" i="17"/>
  <c r="AA163" i="17" s="1"/>
  <c r="O227" i="17"/>
  <c r="AA227" i="17" s="1"/>
  <c r="O291" i="17"/>
  <c r="AA291" i="17" s="1"/>
  <c r="O150" i="17"/>
  <c r="AA150" i="17" s="1"/>
  <c r="O182" i="17"/>
  <c r="AA182" i="17" s="1"/>
  <c r="O246" i="17"/>
  <c r="AA246" i="17" s="1"/>
  <c r="O310" i="17"/>
  <c r="AA310" i="17" s="1"/>
  <c r="O341" i="17"/>
  <c r="AA341" i="17" s="1"/>
  <c r="O405" i="17"/>
  <c r="AA405" i="17" s="1"/>
  <c r="O368" i="17"/>
  <c r="AA368" i="17" s="1"/>
  <c r="O464" i="17"/>
  <c r="AA464" i="17" s="1"/>
  <c r="O425" i="17"/>
  <c r="AA425" i="17" s="1"/>
  <c r="O489" i="17"/>
  <c r="AA489" i="17" s="1"/>
  <c r="O521" i="17"/>
  <c r="AA521" i="17" s="1"/>
  <c r="O530" i="17"/>
  <c r="AA530" i="17" s="1"/>
  <c r="O594" i="17"/>
  <c r="AA594" i="17" s="1"/>
  <c r="O608" i="17"/>
  <c r="AA608" i="17" s="1"/>
  <c r="P19" i="17"/>
  <c r="AB19" i="17" s="1"/>
  <c r="P83" i="17"/>
  <c r="AB83" i="17" s="1"/>
  <c r="P18" i="17"/>
  <c r="AB18" i="17" s="1"/>
  <c r="P82" i="17"/>
  <c r="AB82" i="17" s="1"/>
  <c r="P148" i="17"/>
  <c r="AB148" i="17" s="1"/>
  <c r="P128" i="17"/>
  <c r="AB128" i="17" s="1"/>
  <c r="P192" i="17"/>
  <c r="AB192" i="17" s="1"/>
  <c r="P256" i="17"/>
  <c r="AB256" i="17" s="1"/>
  <c r="P115" i="17"/>
  <c r="AB115" i="17" s="1"/>
  <c r="P179" i="17"/>
  <c r="AB179" i="17" s="1"/>
  <c r="P243" i="17"/>
  <c r="AB243" i="17" s="1"/>
  <c r="P307" i="17"/>
  <c r="AB307" i="17" s="1"/>
  <c r="P340" i="17"/>
  <c r="AB340" i="17" s="1"/>
  <c r="P404" i="17"/>
  <c r="AB404" i="17" s="1"/>
  <c r="P333" i="17"/>
  <c r="AB333" i="17" s="1"/>
  <c r="P397" i="17"/>
  <c r="AB397" i="17" s="1"/>
  <c r="P429" i="17"/>
  <c r="AB429" i="17" s="1"/>
  <c r="P493" i="17"/>
  <c r="AB493" i="17" s="1"/>
  <c r="P456" i="17"/>
  <c r="AB456" i="17" s="1"/>
  <c r="P518" i="17"/>
  <c r="AB518" i="17" s="1"/>
  <c r="P551" i="17"/>
  <c r="AB551" i="17" s="1"/>
  <c r="P572" i="17"/>
  <c r="AB572" i="17" s="1"/>
  <c r="P126" i="17"/>
  <c r="AB126" i="17" s="1"/>
  <c r="P190" i="17"/>
  <c r="AB190" i="17" s="1"/>
  <c r="P254" i="17"/>
  <c r="AB254" i="17" s="1"/>
  <c r="P113" i="17"/>
  <c r="AB113" i="17" s="1"/>
  <c r="P177" i="17"/>
  <c r="AB177" i="17" s="1"/>
  <c r="P241" i="17"/>
  <c r="AB241" i="17" s="1"/>
  <c r="P305" i="17"/>
  <c r="AB305" i="17" s="1"/>
  <c r="P338" i="17"/>
  <c r="AB338" i="17" s="1"/>
  <c r="P402" i="17"/>
  <c r="AB402" i="17" s="1"/>
  <c r="P331" i="17"/>
  <c r="AB331" i="17" s="1"/>
  <c r="P395" i="17"/>
  <c r="AB395" i="17" s="1"/>
  <c r="P427" i="17"/>
  <c r="AB427" i="17" s="1"/>
  <c r="P491" i="17"/>
  <c r="AB491" i="17" s="1"/>
  <c r="P454" i="17"/>
  <c r="AB454" i="17" s="1"/>
  <c r="P519" i="17"/>
  <c r="AB519" i="17" s="1"/>
  <c r="P581" i="17"/>
  <c r="AB581" i="17" s="1"/>
  <c r="P570" i="17"/>
  <c r="AB570" i="17" s="1"/>
  <c r="P212" i="17"/>
  <c r="AB212" i="17" s="1"/>
  <c r="P172" i="17"/>
  <c r="AB172" i="17" s="1"/>
  <c r="P152" i="17"/>
  <c r="AB152" i="17" s="1"/>
  <c r="P216" i="17"/>
  <c r="AB216" i="17" s="1"/>
  <c r="P280" i="17"/>
  <c r="AB280" i="17" s="1"/>
  <c r="P139" i="17"/>
  <c r="AB139" i="17" s="1"/>
  <c r="P203" i="17"/>
  <c r="AB203" i="17" s="1"/>
  <c r="P267" i="17"/>
  <c r="AB267" i="17" s="1"/>
  <c r="P364" i="17"/>
  <c r="AB364" i="17" s="1"/>
  <c r="P357" i="17"/>
  <c r="AB357" i="17" s="1"/>
  <c r="P453" i="17"/>
  <c r="AB453" i="17" s="1"/>
  <c r="P517" i="17"/>
  <c r="AB517" i="17" s="1"/>
  <c r="P480" i="17"/>
  <c r="AB480" i="17" s="1"/>
  <c r="P542" i="17"/>
  <c r="AB542" i="17" s="1"/>
  <c r="P575" i="17"/>
  <c r="AB575" i="17" s="1"/>
  <c r="P533" i="17"/>
  <c r="AB533" i="17" s="1"/>
  <c r="P595" i="17"/>
  <c r="AB595" i="17" s="1"/>
  <c r="P608" i="17"/>
  <c r="AB608" i="17" s="1"/>
  <c r="P150" i="17"/>
  <c r="AB150" i="17" s="1"/>
  <c r="P214" i="17"/>
  <c r="AB214" i="17" s="1"/>
  <c r="P278" i="17"/>
  <c r="AB278" i="17" s="1"/>
  <c r="P137" i="17"/>
  <c r="AB137" i="17" s="1"/>
  <c r="P201" i="17"/>
  <c r="AB201" i="17" s="1"/>
  <c r="P265" i="17"/>
  <c r="AB265" i="17" s="1"/>
  <c r="P362" i="17"/>
  <c r="AB362" i="17" s="1"/>
  <c r="P355" i="17"/>
  <c r="AB355" i="17" s="1"/>
  <c r="P451" i="17"/>
  <c r="AB451" i="17" s="1"/>
  <c r="P515" i="17"/>
  <c r="AB515" i="17" s="1"/>
  <c r="P478" i="17"/>
  <c r="AB478" i="17" s="1"/>
  <c r="P540" i="17"/>
  <c r="AB540" i="17" s="1"/>
  <c r="P531" i="17"/>
  <c r="AB531" i="17" s="1"/>
  <c r="P594" i="17"/>
  <c r="AB594" i="17" s="1"/>
  <c r="P606" i="17"/>
  <c r="AB606" i="17" s="1"/>
  <c r="P252" i="17"/>
  <c r="AB252" i="17" s="1"/>
  <c r="P164" i="17"/>
  <c r="AB164" i="17" s="1"/>
  <c r="P144" i="17"/>
  <c r="AB144" i="17" s="1"/>
  <c r="P208" i="17"/>
  <c r="AB208" i="17" s="1"/>
  <c r="P272" i="17"/>
  <c r="AB272" i="17" s="1"/>
  <c r="P131" i="17"/>
  <c r="AB131" i="17" s="1"/>
  <c r="P195" i="17"/>
  <c r="AB195" i="17" s="1"/>
  <c r="P259" i="17"/>
  <c r="AB259" i="17" s="1"/>
  <c r="P356" i="17"/>
  <c r="AB356" i="17" s="1"/>
  <c r="P349" i="17"/>
  <c r="AB349" i="17" s="1"/>
  <c r="P413" i="17"/>
  <c r="AB413" i="17" s="1"/>
  <c r="P445" i="17"/>
  <c r="AB445" i="17" s="1"/>
  <c r="P509" i="17"/>
  <c r="AB509" i="17" s="1"/>
  <c r="P472" i="17"/>
  <c r="AB472" i="17" s="1"/>
  <c r="P534" i="17"/>
  <c r="AB534" i="17" s="1"/>
  <c r="P567" i="17"/>
  <c r="AB567" i="17" s="1"/>
  <c r="P525" i="17"/>
  <c r="AB525" i="17" s="1"/>
  <c r="P588" i="17"/>
  <c r="AB588" i="17" s="1"/>
  <c r="P600" i="17"/>
  <c r="AB600" i="17" s="1"/>
  <c r="P142" i="17"/>
  <c r="AB142" i="17" s="1"/>
  <c r="P206" i="17"/>
  <c r="AB206" i="17" s="1"/>
  <c r="P270" i="17"/>
  <c r="AB270" i="17" s="1"/>
  <c r="P129" i="17"/>
  <c r="AB129" i="17" s="1"/>
  <c r="P193" i="17"/>
  <c r="AB193" i="17" s="1"/>
  <c r="P257" i="17"/>
  <c r="AB257" i="17" s="1"/>
  <c r="P354" i="17"/>
  <c r="AB354" i="17" s="1"/>
  <c r="P347" i="17"/>
  <c r="AB347" i="17" s="1"/>
  <c r="P411" i="17"/>
  <c r="AB411" i="17" s="1"/>
  <c r="P443" i="17"/>
  <c r="AB443" i="17" s="1"/>
  <c r="P507" i="17"/>
  <c r="AB507" i="17" s="1"/>
  <c r="P470" i="17"/>
  <c r="AB470" i="17" s="1"/>
  <c r="P532" i="17"/>
  <c r="AB532" i="17" s="1"/>
  <c r="P523" i="17"/>
  <c r="AB523" i="17" s="1"/>
  <c r="P586" i="17"/>
  <c r="AB586" i="17" s="1"/>
  <c r="P598" i="17"/>
  <c r="AB598" i="17" s="1"/>
  <c r="P228" i="17"/>
  <c r="AB228" i="17" s="1"/>
  <c r="P104" i="17"/>
  <c r="AB104" i="17" s="1"/>
  <c r="P168" i="17"/>
  <c r="AB168" i="17" s="1"/>
  <c r="P232" i="17"/>
  <c r="AB232" i="17" s="1"/>
  <c r="P296" i="17"/>
  <c r="AB296" i="17" s="1"/>
  <c r="P155" i="17"/>
  <c r="AB155" i="17" s="1"/>
  <c r="P219" i="17"/>
  <c r="AB219" i="17" s="1"/>
  <c r="P283" i="17"/>
  <c r="AB283" i="17" s="1"/>
  <c r="P316" i="17"/>
  <c r="AB316" i="17" s="1"/>
  <c r="P380" i="17"/>
  <c r="AB380" i="17" s="1"/>
  <c r="P373" i="17"/>
  <c r="AB373" i="17" s="1"/>
  <c r="P469" i="17"/>
  <c r="AB469" i="17" s="1"/>
  <c r="P432" i="17"/>
  <c r="AB432" i="17" s="1"/>
  <c r="P496" i="17"/>
  <c r="AB496" i="17" s="1"/>
  <c r="P591" i="17"/>
  <c r="AB591" i="17" s="1"/>
  <c r="P548" i="17"/>
  <c r="AB548" i="17" s="1"/>
  <c r="P611" i="17"/>
  <c r="AB611" i="17" s="1"/>
  <c r="P102" i="17"/>
  <c r="AB102" i="17" s="1"/>
  <c r="P166" i="17"/>
  <c r="AB166" i="17" s="1"/>
  <c r="P230" i="17"/>
  <c r="AB230" i="17" s="1"/>
  <c r="P294" i="17"/>
  <c r="AB294" i="17" s="1"/>
  <c r="P153" i="17"/>
  <c r="AB153" i="17" s="1"/>
  <c r="P217" i="17"/>
  <c r="AB217" i="17" s="1"/>
  <c r="P281" i="17"/>
  <c r="AB281" i="17" s="1"/>
  <c r="P378" i="17"/>
  <c r="AB378" i="17" s="1"/>
  <c r="P371" i="17"/>
  <c r="AB371" i="17" s="1"/>
  <c r="P467" i="17"/>
  <c r="AB467" i="17" s="1"/>
  <c r="P430" i="17"/>
  <c r="AB430" i="17" s="1"/>
  <c r="P494" i="17"/>
  <c r="AB494" i="17" s="1"/>
  <c r="P557" i="17"/>
  <c r="AB557" i="17" s="1"/>
  <c r="P546" i="17"/>
  <c r="AB546" i="17" s="1"/>
  <c r="P609" i="17"/>
  <c r="AB609" i="17" s="1"/>
  <c r="P188" i="17"/>
  <c r="AB188" i="17" s="1"/>
  <c r="P268" i="17"/>
  <c r="AB268" i="17" s="1"/>
  <c r="P127" i="17"/>
  <c r="AB127" i="17" s="1"/>
  <c r="P191" i="17"/>
  <c r="AB191" i="17" s="1"/>
  <c r="P255" i="17"/>
  <c r="AB255" i="17" s="1"/>
  <c r="P352" i="17"/>
  <c r="AB352" i="17" s="1"/>
  <c r="P416" i="17"/>
  <c r="AB416" i="17" s="1"/>
  <c r="P345" i="17"/>
  <c r="AB345" i="17" s="1"/>
  <c r="P409" i="17"/>
  <c r="AB409" i="17" s="1"/>
  <c r="P441" i="17"/>
  <c r="AB441" i="17" s="1"/>
  <c r="P505" i="17"/>
  <c r="AB505" i="17" s="1"/>
  <c r="P436" i="17"/>
  <c r="AB436" i="17" s="1"/>
  <c r="P500" i="17"/>
  <c r="AB500" i="17" s="1"/>
  <c r="P552" i="17"/>
  <c r="AB552" i="17" s="1"/>
  <c r="P106" i="17"/>
  <c r="AB106" i="17" s="1"/>
  <c r="P170" i="17"/>
  <c r="AB170" i="17" s="1"/>
  <c r="P234" i="17"/>
  <c r="AB234" i="17" s="1"/>
  <c r="P298" i="17"/>
  <c r="AB298" i="17" s="1"/>
  <c r="P157" i="17"/>
  <c r="AB157" i="17" s="1"/>
  <c r="P221" i="17"/>
  <c r="AB221" i="17" s="1"/>
  <c r="P285" i="17"/>
  <c r="AB285" i="17" s="1"/>
  <c r="P318" i="17"/>
  <c r="AB318" i="17" s="1"/>
  <c r="P382" i="17"/>
  <c r="AB382" i="17" s="1"/>
  <c r="P375" i="17"/>
  <c r="AB375" i="17" s="1"/>
  <c r="P471" i="17"/>
  <c r="AB471" i="17" s="1"/>
  <c r="P434" i="17"/>
  <c r="AB434" i="17" s="1"/>
  <c r="P498" i="17"/>
  <c r="AB498" i="17" s="1"/>
  <c r="P561" i="17"/>
  <c r="AB561" i="17" s="1"/>
  <c r="P550" i="17"/>
  <c r="AB550" i="17" s="1"/>
  <c r="P613" i="17"/>
  <c r="AB613" i="17" s="1"/>
  <c r="P207" i="17"/>
  <c r="AB207" i="17" s="1"/>
  <c r="P368" i="17"/>
  <c r="AB368" i="17" s="1"/>
  <c r="P457" i="17"/>
  <c r="AB457" i="17" s="1"/>
  <c r="P516" i="17"/>
  <c r="AB516" i="17" s="1"/>
  <c r="P547" i="17"/>
  <c r="AB547" i="17" s="1"/>
  <c r="P122" i="17"/>
  <c r="AB122" i="17" s="1"/>
  <c r="P186" i="17"/>
  <c r="AB186" i="17" s="1"/>
  <c r="P250" i="17"/>
  <c r="AB250" i="17" s="1"/>
  <c r="P314" i="17"/>
  <c r="AB314" i="17" s="1"/>
  <c r="P173" i="17"/>
  <c r="AB173" i="17" s="1"/>
  <c r="P237" i="17"/>
  <c r="AB237" i="17" s="1"/>
  <c r="P301" i="17"/>
  <c r="AB301" i="17" s="1"/>
  <c r="P334" i="17"/>
  <c r="AB334" i="17" s="1"/>
  <c r="P359" i="17"/>
  <c r="AB359" i="17" s="1"/>
  <c r="P487" i="17"/>
  <c r="AB487" i="17" s="1"/>
  <c r="P514" i="17"/>
  <c r="AB514" i="17" s="1"/>
  <c r="P566" i="17"/>
  <c r="AB566" i="17" s="1"/>
  <c r="P610" i="17"/>
  <c r="AB610" i="17" s="1"/>
  <c r="P244" i="17"/>
  <c r="AB244" i="17" s="1"/>
  <c r="P140" i="17"/>
  <c r="AB140" i="17" s="1"/>
  <c r="P120" i="17"/>
  <c r="AB120" i="17" s="1"/>
  <c r="P184" i="17"/>
  <c r="AB184" i="17" s="1"/>
  <c r="P248" i="17"/>
  <c r="AB248" i="17" s="1"/>
  <c r="P312" i="17"/>
  <c r="AB312" i="17" s="1"/>
  <c r="P171" i="17"/>
  <c r="AB171" i="17" s="1"/>
  <c r="P235" i="17"/>
  <c r="AB235" i="17" s="1"/>
  <c r="P299" i="17"/>
  <c r="AB299" i="17" s="1"/>
  <c r="P332" i="17"/>
  <c r="AB332" i="17" s="1"/>
  <c r="P396" i="17"/>
  <c r="AB396" i="17" s="1"/>
  <c r="P325" i="17"/>
  <c r="AB325" i="17" s="1"/>
  <c r="P389" i="17"/>
  <c r="AB389" i="17" s="1"/>
  <c r="P421" i="17"/>
  <c r="AB421" i="17" s="1"/>
  <c r="P485" i="17"/>
  <c r="AB485" i="17" s="1"/>
  <c r="P448" i="17"/>
  <c r="AB448" i="17" s="1"/>
  <c r="P512" i="17"/>
  <c r="AB512" i="17" s="1"/>
  <c r="P564" i="17"/>
  <c r="AB564" i="17" s="1"/>
  <c r="P118" i="17"/>
  <c r="AB118" i="17" s="1"/>
  <c r="P182" i="17"/>
  <c r="AB182" i="17" s="1"/>
  <c r="P246" i="17"/>
  <c r="AB246" i="17" s="1"/>
  <c r="P310" i="17"/>
  <c r="AB310" i="17" s="1"/>
  <c r="P169" i="17"/>
  <c r="AB169" i="17" s="1"/>
  <c r="P233" i="17"/>
  <c r="AB233" i="17" s="1"/>
  <c r="P297" i="17"/>
  <c r="AB297" i="17" s="1"/>
  <c r="P330" i="17"/>
  <c r="AB330" i="17" s="1"/>
  <c r="P394" i="17"/>
  <c r="AB394" i="17" s="1"/>
  <c r="P323" i="17"/>
  <c r="AB323" i="17" s="1"/>
  <c r="P387" i="17"/>
  <c r="AB387" i="17" s="1"/>
  <c r="P419" i="17"/>
  <c r="AB419" i="17" s="1"/>
  <c r="P483" i="17"/>
  <c r="AB483" i="17" s="1"/>
  <c r="P446" i="17"/>
  <c r="AB446" i="17" s="1"/>
  <c r="P510" i="17"/>
  <c r="AB510" i="17" s="1"/>
  <c r="P562" i="17"/>
  <c r="AB562" i="17" s="1"/>
  <c r="P204" i="17"/>
  <c r="AB204" i="17" s="1"/>
  <c r="P284" i="17"/>
  <c r="AB284" i="17" s="1"/>
  <c r="P112" i="17"/>
  <c r="AB112" i="17" s="1"/>
  <c r="P176" i="17"/>
  <c r="AB176" i="17" s="1"/>
  <c r="P240" i="17"/>
  <c r="AB240" i="17" s="1"/>
  <c r="P304" i="17"/>
  <c r="AB304" i="17" s="1"/>
  <c r="P163" i="17"/>
  <c r="AB163" i="17" s="1"/>
  <c r="P227" i="17"/>
  <c r="AB227" i="17" s="1"/>
  <c r="P291" i="17"/>
  <c r="AB291" i="17" s="1"/>
  <c r="P324" i="17"/>
  <c r="AB324" i="17" s="1"/>
  <c r="P388" i="17"/>
  <c r="AB388" i="17" s="1"/>
  <c r="P317" i="17"/>
  <c r="AB317" i="17" s="1"/>
  <c r="P381" i="17"/>
  <c r="AB381" i="17" s="1"/>
  <c r="P477" i="17"/>
  <c r="AB477" i="17" s="1"/>
  <c r="P440" i="17"/>
  <c r="AB440" i="17" s="1"/>
  <c r="P504" i="17"/>
  <c r="AB504" i="17" s="1"/>
  <c r="P556" i="17"/>
  <c r="AB556" i="17" s="1"/>
  <c r="P110" i="17"/>
  <c r="AB110" i="17" s="1"/>
  <c r="P174" i="17"/>
  <c r="AB174" i="17" s="1"/>
  <c r="P238" i="17"/>
  <c r="AB238" i="17" s="1"/>
  <c r="P302" i="17"/>
  <c r="AB302" i="17" s="1"/>
  <c r="P161" i="17"/>
  <c r="AB161" i="17" s="1"/>
  <c r="P225" i="17"/>
  <c r="AB225" i="17" s="1"/>
  <c r="P289" i="17"/>
  <c r="AB289" i="17" s="1"/>
  <c r="P322" i="17"/>
  <c r="AB322" i="17" s="1"/>
  <c r="P386" i="17"/>
  <c r="AB386" i="17" s="1"/>
  <c r="P315" i="17"/>
  <c r="AB315" i="17" s="1"/>
  <c r="P379" i="17"/>
  <c r="AB379" i="17" s="1"/>
  <c r="P475" i="17"/>
  <c r="AB475" i="17" s="1"/>
  <c r="P438" i="17"/>
  <c r="AB438" i="17" s="1"/>
  <c r="P502" i="17"/>
  <c r="AB502" i="17" s="1"/>
  <c r="P565" i="17"/>
  <c r="AB565" i="17" s="1"/>
  <c r="P554" i="17"/>
  <c r="AB554" i="17" s="1"/>
  <c r="P196" i="17"/>
  <c r="AB196" i="17" s="1"/>
  <c r="P260" i="17"/>
  <c r="AB260" i="17" s="1"/>
  <c r="P156" i="17"/>
  <c r="AB156" i="17" s="1"/>
  <c r="P136" i="17"/>
  <c r="AB136" i="17" s="1"/>
  <c r="P200" i="17"/>
  <c r="AB200" i="17" s="1"/>
  <c r="P264" i="17"/>
  <c r="AB264" i="17" s="1"/>
  <c r="P123" i="17"/>
  <c r="AB123" i="17" s="1"/>
  <c r="P187" i="17"/>
  <c r="AB187" i="17" s="1"/>
  <c r="P251" i="17"/>
  <c r="AB251" i="17" s="1"/>
  <c r="P348" i="17"/>
  <c r="AB348" i="17" s="1"/>
  <c r="P412" i="17"/>
  <c r="AB412" i="17" s="1"/>
  <c r="P341" i="17"/>
  <c r="AB341" i="17" s="1"/>
  <c r="P405" i="17"/>
  <c r="AB405" i="17" s="1"/>
  <c r="P437" i="17"/>
  <c r="AB437" i="17" s="1"/>
  <c r="P501" i="17"/>
  <c r="AB501" i="17" s="1"/>
  <c r="P464" i="17"/>
  <c r="AB464" i="17" s="1"/>
  <c r="P526" i="17"/>
  <c r="AB526" i="17" s="1"/>
  <c r="P559" i="17"/>
  <c r="AB559" i="17" s="1"/>
  <c r="P580" i="17"/>
  <c r="AB580" i="17" s="1"/>
  <c r="P134" i="17"/>
  <c r="AB134" i="17" s="1"/>
  <c r="P198" i="17"/>
  <c r="AB198" i="17" s="1"/>
  <c r="P262" i="17"/>
  <c r="AB262" i="17" s="1"/>
  <c r="P121" i="17"/>
  <c r="AB121" i="17" s="1"/>
  <c r="P185" i="17"/>
  <c r="AB185" i="17" s="1"/>
  <c r="P249" i="17"/>
  <c r="AB249" i="17" s="1"/>
  <c r="P313" i="17"/>
  <c r="AB313" i="17" s="1"/>
  <c r="P346" i="17"/>
  <c r="AB346" i="17" s="1"/>
  <c r="P410" i="17"/>
  <c r="AB410" i="17" s="1"/>
  <c r="P339" i="17"/>
  <c r="AB339" i="17" s="1"/>
  <c r="P403" i="17"/>
  <c r="AB403" i="17" s="1"/>
  <c r="P435" i="17"/>
  <c r="AB435" i="17" s="1"/>
  <c r="P499" i="17"/>
  <c r="AB499" i="17" s="1"/>
  <c r="P462" i="17"/>
  <c r="AB462" i="17" s="1"/>
  <c r="P524" i="17"/>
  <c r="AB524" i="17" s="1"/>
  <c r="P589" i="17"/>
  <c r="AB589" i="17" s="1"/>
  <c r="P578" i="17"/>
  <c r="AB578" i="17" s="1"/>
  <c r="P220" i="17"/>
  <c r="AB220" i="17" s="1"/>
  <c r="P300" i="17"/>
  <c r="AB300" i="17" s="1"/>
  <c r="P159" i="17"/>
  <c r="AB159" i="17" s="1"/>
  <c r="P223" i="17"/>
  <c r="AB223" i="17" s="1"/>
  <c r="P287" i="17"/>
  <c r="AB287" i="17" s="1"/>
  <c r="P320" i="17"/>
  <c r="AB320" i="17" s="1"/>
  <c r="P384" i="17"/>
  <c r="AB384" i="17" s="1"/>
  <c r="P377" i="17"/>
  <c r="AB377" i="17" s="1"/>
  <c r="P473" i="17"/>
  <c r="AB473" i="17" s="1"/>
  <c r="P468" i="17"/>
  <c r="AB468" i="17" s="1"/>
  <c r="P530" i="17"/>
  <c r="AB530" i="17" s="1"/>
  <c r="P563" i="17"/>
  <c r="AB563" i="17" s="1"/>
  <c r="P521" i="17"/>
  <c r="AB521" i="17" s="1"/>
  <c r="P584" i="17"/>
  <c r="AB584" i="17" s="1"/>
  <c r="P596" i="17"/>
  <c r="AB596" i="17" s="1"/>
  <c r="P138" i="17"/>
  <c r="AB138" i="17" s="1"/>
  <c r="P202" i="17"/>
  <c r="AB202" i="17" s="1"/>
  <c r="P266" i="17"/>
  <c r="AB266" i="17" s="1"/>
  <c r="P125" i="17"/>
  <c r="AB125" i="17" s="1"/>
  <c r="P189" i="17"/>
  <c r="AB189" i="17" s="1"/>
  <c r="P253" i="17"/>
  <c r="AB253" i="17" s="1"/>
  <c r="P350" i="17"/>
  <c r="AB350" i="17" s="1"/>
  <c r="P414" i="17"/>
  <c r="AB414" i="17" s="1"/>
  <c r="P343" i="17"/>
  <c r="AB343" i="17" s="1"/>
  <c r="P407" i="17"/>
  <c r="AB407" i="17" s="1"/>
  <c r="P439" i="17"/>
  <c r="AB439" i="17" s="1"/>
  <c r="P503" i="17"/>
  <c r="AB503" i="17" s="1"/>
  <c r="P466" i="17"/>
  <c r="AB466" i="17" s="1"/>
  <c r="P528" i="17"/>
  <c r="AB528" i="17" s="1"/>
  <c r="P593" i="17"/>
  <c r="AB593" i="17" s="1"/>
  <c r="P582" i="17"/>
  <c r="AB582" i="17" s="1"/>
  <c r="P143" i="17"/>
  <c r="AB143" i="17" s="1"/>
  <c r="P271" i="17"/>
  <c r="AB271" i="17" s="1"/>
  <c r="P336" i="17"/>
  <c r="AB336" i="17" s="1"/>
  <c r="P400" i="17"/>
  <c r="AB400" i="17" s="1"/>
  <c r="P361" i="17"/>
  <c r="AB361" i="17" s="1"/>
  <c r="P425" i="17"/>
  <c r="AB425" i="17" s="1"/>
  <c r="P489" i="17"/>
  <c r="AB489" i="17" s="1"/>
  <c r="P452" i="17"/>
  <c r="AB452" i="17" s="1"/>
  <c r="P579" i="17"/>
  <c r="AB579" i="17" s="1"/>
  <c r="P568" i="17"/>
  <c r="AB568" i="17" s="1"/>
  <c r="P612" i="17"/>
  <c r="AB612" i="17" s="1"/>
  <c r="P154" i="17"/>
  <c r="AB154" i="17" s="1"/>
  <c r="P218" i="17"/>
  <c r="AB218" i="17" s="1"/>
  <c r="P282" i="17"/>
  <c r="AB282" i="17" s="1"/>
  <c r="P141" i="17"/>
  <c r="AB141" i="17" s="1"/>
  <c r="P205" i="17"/>
  <c r="AB205" i="17" s="1"/>
  <c r="P269" i="17"/>
  <c r="AB269" i="17" s="1"/>
  <c r="P398" i="17"/>
  <c r="AB398" i="17" s="1"/>
  <c r="P327" i="17"/>
  <c r="AB327" i="17" s="1"/>
  <c r="P391" i="17"/>
  <c r="AB391" i="17" s="1"/>
  <c r="P423" i="17"/>
  <c r="AB423" i="17" s="1"/>
  <c r="P450" i="17"/>
  <c r="AB450" i="17" s="1"/>
  <c r="P577" i="17"/>
  <c r="AB577" i="17" s="1"/>
  <c r="P276" i="17"/>
  <c r="AB276" i="17" s="1"/>
  <c r="P135" i="17"/>
  <c r="AB135" i="17" s="1"/>
  <c r="P199" i="17"/>
  <c r="AB199" i="17" s="1"/>
  <c r="P263" i="17"/>
  <c r="AB263" i="17" s="1"/>
  <c r="P360" i="17"/>
  <c r="AB360" i="17" s="1"/>
  <c r="P111" i="17"/>
  <c r="AB111" i="17" s="1"/>
  <c r="P239" i="17"/>
  <c r="AB239" i="17" s="1"/>
  <c r="P329" i="17"/>
  <c r="AB329" i="17" s="1"/>
  <c r="P420" i="17"/>
  <c r="AB420" i="17" s="1"/>
  <c r="P537" i="17"/>
  <c r="AB537" i="17" s="1"/>
  <c r="P366" i="17"/>
  <c r="AB366" i="17" s="1"/>
  <c r="P418" i="17"/>
  <c r="AB418" i="17" s="1"/>
  <c r="P545" i="17"/>
  <c r="AB545" i="17" s="1"/>
  <c r="P597" i="17"/>
  <c r="AB597" i="17" s="1"/>
  <c r="P292" i="17"/>
  <c r="AB292" i="17" s="1"/>
  <c r="P151" i="17"/>
  <c r="AB151" i="17" s="1"/>
  <c r="P215" i="17"/>
  <c r="AB215" i="17" s="1"/>
  <c r="P279" i="17"/>
  <c r="AB279" i="17" s="1"/>
  <c r="P376" i="17"/>
  <c r="AB376" i="17" s="1"/>
  <c r="P369" i="17"/>
  <c r="AB369" i="17" s="1"/>
  <c r="P465" i="17"/>
  <c r="AB465" i="17" s="1"/>
  <c r="P460" i="17"/>
  <c r="AB460" i="17" s="1"/>
  <c r="P353" i="17"/>
  <c r="AB353" i="17" s="1"/>
  <c r="P417" i="17"/>
  <c r="AB417" i="17" s="1"/>
  <c r="P481" i="17"/>
  <c r="AB481" i="17" s="1"/>
  <c r="P508" i="17"/>
  <c r="AB508" i="17" s="1"/>
  <c r="P560" i="17"/>
  <c r="AB560" i="17" s="1"/>
  <c r="P114" i="17"/>
  <c r="AB114" i="17" s="1"/>
  <c r="P178" i="17"/>
  <c r="AB178" i="17" s="1"/>
  <c r="P242" i="17"/>
  <c r="AB242" i="17" s="1"/>
  <c r="P306" i="17"/>
  <c r="AB306" i="17" s="1"/>
  <c r="P165" i="17"/>
  <c r="AB165" i="17" s="1"/>
  <c r="P229" i="17"/>
  <c r="AB229" i="17" s="1"/>
  <c r="P293" i="17"/>
  <c r="AB293" i="17" s="1"/>
  <c r="P326" i="17"/>
  <c r="AB326" i="17" s="1"/>
  <c r="P390" i="17"/>
  <c r="AB390" i="17" s="1"/>
  <c r="P319" i="17"/>
  <c r="AB319" i="17" s="1"/>
  <c r="P383" i="17"/>
  <c r="AB383" i="17" s="1"/>
  <c r="P479" i="17"/>
  <c r="AB479" i="17" s="1"/>
  <c r="P442" i="17"/>
  <c r="AB442" i="17" s="1"/>
  <c r="P506" i="17"/>
  <c r="AB506" i="17" s="1"/>
  <c r="P569" i="17"/>
  <c r="AB569" i="17" s="1"/>
  <c r="P558" i="17"/>
  <c r="AB558" i="17" s="1"/>
  <c r="P308" i="17"/>
  <c r="AB308" i="17" s="1"/>
  <c r="P167" i="17"/>
  <c r="AB167" i="17" s="1"/>
  <c r="P231" i="17"/>
  <c r="AB231" i="17" s="1"/>
  <c r="P295" i="17"/>
  <c r="AB295" i="17" s="1"/>
  <c r="P328" i="17"/>
  <c r="AB328" i="17" s="1"/>
  <c r="P392" i="17"/>
  <c r="AB392" i="17" s="1"/>
  <c r="P321" i="17"/>
  <c r="AB321" i="17" s="1"/>
  <c r="P175" i="17"/>
  <c r="AB175" i="17" s="1"/>
  <c r="P303" i="17"/>
  <c r="AB303" i="17" s="1"/>
  <c r="P393" i="17"/>
  <c r="AB393" i="17" s="1"/>
  <c r="P484" i="17"/>
  <c r="AB484" i="17" s="1"/>
  <c r="P599" i="17"/>
  <c r="AB599" i="17" s="1"/>
  <c r="P455" i="17"/>
  <c r="AB455" i="17" s="1"/>
  <c r="P482" i="17"/>
  <c r="AB482" i="17" s="1"/>
  <c r="P535" i="17"/>
  <c r="AB535" i="17" s="1"/>
  <c r="P236" i="17"/>
  <c r="AB236" i="17" s="1"/>
  <c r="P119" i="17"/>
  <c r="AB119" i="17" s="1"/>
  <c r="P183" i="17"/>
  <c r="AB183" i="17" s="1"/>
  <c r="P247" i="17"/>
  <c r="AB247" i="17" s="1"/>
  <c r="P311" i="17"/>
  <c r="AB311" i="17" s="1"/>
  <c r="P344" i="17"/>
  <c r="AB344" i="17" s="1"/>
  <c r="P408" i="17"/>
  <c r="AB408" i="17" s="1"/>
  <c r="P337" i="17"/>
  <c r="AB337" i="17" s="1"/>
  <c r="P401" i="17"/>
  <c r="AB401" i="17" s="1"/>
  <c r="P433" i="17"/>
  <c r="AB433" i="17" s="1"/>
  <c r="P497" i="17"/>
  <c r="AB497" i="17" s="1"/>
  <c r="P428" i="17"/>
  <c r="AB428" i="17" s="1"/>
  <c r="P492" i="17"/>
  <c r="AB492" i="17" s="1"/>
  <c r="P449" i="17"/>
  <c r="AB449" i="17" s="1"/>
  <c r="P513" i="17"/>
  <c r="AB513" i="17" s="1"/>
  <c r="P444" i="17"/>
  <c r="AB444" i="17" s="1"/>
  <c r="P538" i="17"/>
  <c r="AB538" i="17" s="1"/>
  <c r="P571" i="17"/>
  <c r="AB571" i="17" s="1"/>
  <c r="P529" i="17"/>
  <c r="AB529" i="17" s="1"/>
  <c r="P592" i="17"/>
  <c r="AB592" i="17" s="1"/>
  <c r="P604" i="17"/>
  <c r="AB604" i="17" s="1"/>
  <c r="P146" i="17"/>
  <c r="AB146" i="17" s="1"/>
  <c r="P210" i="17"/>
  <c r="AB210" i="17" s="1"/>
  <c r="P274" i="17"/>
  <c r="AB274" i="17" s="1"/>
  <c r="P133" i="17"/>
  <c r="AB133" i="17" s="1"/>
  <c r="P197" i="17"/>
  <c r="AB197" i="17" s="1"/>
  <c r="P261" i="17"/>
  <c r="AB261" i="17" s="1"/>
  <c r="P358" i="17"/>
  <c r="AB358" i="17" s="1"/>
  <c r="P351" i="17"/>
  <c r="AB351" i="17" s="1"/>
  <c r="P415" i="17"/>
  <c r="AB415" i="17" s="1"/>
  <c r="P447" i="17"/>
  <c r="AB447" i="17" s="1"/>
  <c r="P511" i="17"/>
  <c r="AB511" i="17" s="1"/>
  <c r="P474" i="17"/>
  <c r="AB474" i="17" s="1"/>
  <c r="P536" i="17"/>
  <c r="AB536" i="17" s="1"/>
  <c r="P527" i="17"/>
  <c r="AB527" i="17" s="1"/>
  <c r="P590" i="17"/>
  <c r="AB590" i="17" s="1"/>
  <c r="P602" i="17"/>
  <c r="AB602" i="17" s="1"/>
  <c r="P476" i="17"/>
  <c r="AB476" i="17" s="1"/>
  <c r="P587" i="17"/>
  <c r="AB587" i="17" s="1"/>
  <c r="P544" i="17"/>
  <c r="AB544" i="17" s="1"/>
  <c r="P607" i="17"/>
  <c r="AB607" i="17" s="1"/>
  <c r="P98" i="17"/>
  <c r="AB98" i="17" s="1"/>
  <c r="P162" i="17"/>
  <c r="AB162" i="17" s="1"/>
  <c r="P226" i="17"/>
  <c r="AB226" i="17" s="1"/>
  <c r="P290" i="17"/>
  <c r="AB290" i="17" s="1"/>
  <c r="P149" i="17"/>
  <c r="AB149" i="17" s="1"/>
  <c r="P213" i="17"/>
  <c r="AB213" i="17" s="1"/>
  <c r="P277" i="17"/>
  <c r="AB277" i="17" s="1"/>
  <c r="P374" i="17"/>
  <c r="AB374" i="17" s="1"/>
  <c r="P367" i="17"/>
  <c r="AB367" i="17" s="1"/>
  <c r="P463" i="17"/>
  <c r="AB463" i="17" s="1"/>
  <c r="P426" i="17"/>
  <c r="AB426" i="17" s="1"/>
  <c r="P490" i="17"/>
  <c r="AB490" i="17" s="1"/>
  <c r="P553" i="17"/>
  <c r="AB553" i="17" s="1"/>
  <c r="P543" i="17"/>
  <c r="AB543" i="17" s="1"/>
  <c r="P605" i="17"/>
  <c r="AB605" i="17" s="1"/>
  <c r="P385" i="17"/>
  <c r="AB385" i="17" s="1"/>
  <c r="P522" i="17"/>
  <c r="AB522" i="17" s="1"/>
  <c r="P555" i="17"/>
  <c r="AB555" i="17" s="1"/>
  <c r="P576" i="17"/>
  <c r="AB576" i="17" s="1"/>
  <c r="P130" i="17"/>
  <c r="AB130" i="17" s="1"/>
  <c r="P194" i="17"/>
  <c r="AB194" i="17" s="1"/>
  <c r="P258" i="17"/>
  <c r="AB258" i="17" s="1"/>
  <c r="P117" i="17"/>
  <c r="AB117" i="17" s="1"/>
  <c r="P181" i="17"/>
  <c r="AB181" i="17" s="1"/>
  <c r="P245" i="17"/>
  <c r="AB245" i="17" s="1"/>
  <c r="P309" i="17"/>
  <c r="AB309" i="17" s="1"/>
  <c r="P342" i="17"/>
  <c r="AB342" i="17" s="1"/>
  <c r="P406" i="17"/>
  <c r="AB406" i="17" s="1"/>
  <c r="P335" i="17"/>
  <c r="AB335" i="17" s="1"/>
  <c r="P399" i="17"/>
  <c r="AB399" i="17" s="1"/>
  <c r="P431" i="17"/>
  <c r="AB431" i="17" s="1"/>
  <c r="P495" i="17"/>
  <c r="AB495" i="17" s="1"/>
  <c r="P458" i="17"/>
  <c r="AB458" i="17" s="1"/>
  <c r="P520" i="17"/>
  <c r="AB520" i="17" s="1"/>
  <c r="P585" i="17"/>
  <c r="AB585" i="17" s="1"/>
  <c r="P574" i="17"/>
  <c r="AB574" i="17" s="1"/>
  <c r="O13" i="17"/>
  <c r="AA13" i="17" s="1"/>
  <c r="E633" i="17"/>
  <c r="AB628" i="17" l="1"/>
  <c r="A336" i="2"/>
  <c r="B336" i="2"/>
  <c r="C62" i="16"/>
  <c r="D62" i="16" s="1"/>
  <c r="B230" i="2"/>
  <c r="B71" i="1" l="1"/>
  <c r="AA628" i="17"/>
  <c r="A353" i="2"/>
  <c r="B353" i="2"/>
  <c r="C3" i="8" l="1"/>
  <c r="D3" i="8"/>
  <c r="D159" i="8" s="1"/>
  <c r="D158" i="8" s="1"/>
  <c r="D157" i="8" s="1"/>
  <c r="D156" i="8" s="1"/>
  <c r="D155" i="8" s="1"/>
  <c r="D154" i="8" s="1"/>
  <c r="D153" i="8" s="1"/>
  <c r="D152" i="8" s="1"/>
  <c r="D151" i="8" s="1"/>
  <c r="D150" i="8" s="1"/>
  <c r="D149" i="8" s="1"/>
  <c r="D148" i="8" s="1"/>
  <c r="D147" i="8" s="1"/>
  <c r="D146" i="8" s="1"/>
  <c r="D145" i="8" s="1"/>
  <c r="D144" i="8" s="1"/>
  <c r="D143" i="8" s="1"/>
  <c r="D142" i="8" s="1"/>
  <c r="D141" i="8" s="1"/>
  <c r="D140" i="8" s="1"/>
  <c r="D139" i="8" s="1"/>
  <c r="D138" i="8" s="1"/>
  <c r="D137" i="8" s="1"/>
  <c r="D136" i="8" s="1"/>
  <c r="D135" i="8" s="1"/>
  <c r="D134" i="8" s="1"/>
  <c r="D133" i="8" s="1"/>
  <c r="D132" i="8" s="1"/>
  <c r="D131" i="8" s="1"/>
  <c r="D130" i="8" s="1"/>
  <c r="D129" i="8" s="1"/>
  <c r="D128" i="8" s="1"/>
  <c r="D127" i="8" s="1"/>
  <c r="D126" i="8" s="1"/>
  <c r="D125" i="8" s="1"/>
  <c r="D124" i="8" s="1"/>
  <c r="D123" i="8" s="1"/>
  <c r="D122" i="8" s="1"/>
  <c r="D121" i="8" s="1"/>
  <c r="D120" i="8" s="1"/>
  <c r="D119" i="8" s="1"/>
  <c r="D118" i="8" s="1"/>
  <c r="D117" i="8" s="1"/>
  <c r="D116" i="8" s="1"/>
  <c r="D115" i="8" s="1"/>
  <c r="D114" i="8" s="1"/>
  <c r="D113" i="8" s="1"/>
  <c r="D112" i="8" s="1"/>
  <c r="D111" i="8" s="1"/>
  <c r="D110" i="8" s="1"/>
  <c r="D109" i="8" s="1"/>
  <c r="D108" i="8" s="1"/>
  <c r="D107" i="8" s="1"/>
  <c r="D106" i="8" s="1"/>
  <c r="D105" i="8" s="1"/>
  <c r="D104" i="8" s="1"/>
  <c r="D103" i="8" s="1"/>
  <c r="D102" i="8" s="1"/>
  <c r="D101" i="8" s="1"/>
  <c r="D100" i="8" s="1"/>
  <c r="D99" i="8" s="1"/>
  <c r="D98" i="8" s="1"/>
  <c r="D97" i="8" s="1"/>
  <c r="D96" i="8" s="1"/>
  <c r="D95" i="8" s="1"/>
  <c r="D94" i="8" s="1"/>
  <c r="D93" i="8" s="1"/>
  <c r="D92" i="8" s="1"/>
  <c r="D91" i="8" s="1"/>
  <c r="D90" i="8" s="1"/>
  <c r="D89" i="8" s="1"/>
  <c r="D88" i="8" s="1"/>
  <c r="D87" i="8" s="1"/>
  <c r="D86" i="8" s="1"/>
  <c r="D85" i="8" s="1"/>
  <c r="D84" i="8" s="1"/>
  <c r="D83" i="8" s="1"/>
  <c r="D82" i="8" s="1"/>
  <c r="D81" i="8" s="1"/>
  <c r="D80" i="8" s="1"/>
  <c r="D79" i="8" s="1"/>
  <c r="D78" i="8" s="1"/>
  <c r="D77" i="8" s="1"/>
  <c r="D76" i="8" s="1"/>
  <c r="D75" i="8" s="1"/>
  <c r="D74" i="8" s="1"/>
  <c r="D73" i="8" s="1"/>
  <c r="D72" i="8" s="1"/>
  <c r="D71" i="8" s="1"/>
  <c r="D70" i="8" s="1"/>
  <c r="D69" i="8" s="1"/>
  <c r="D68" i="8" s="1"/>
  <c r="D67" i="8" s="1"/>
  <c r="D66" i="8" s="1"/>
  <c r="D65" i="8" s="1"/>
  <c r="D64" i="8" s="1"/>
  <c r="D63" i="8" s="1"/>
  <c r="D62" i="8" s="1"/>
  <c r="D61" i="8" s="1"/>
  <c r="D60" i="8" s="1"/>
  <c r="D59" i="8" s="1"/>
  <c r="D58" i="8" s="1"/>
  <c r="D57" i="8" s="1"/>
  <c r="D56" i="8" s="1"/>
  <c r="D55" i="8" s="1"/>
  <c r="D54" i="8" s="1"/>
  <c r="D53" i="8" s="1"/>
  <c r="D52" i="8" s="1"/>
  <c r="D51" i="8" s="1"/>
  <c r="D50" i="8" s="1"/>
  <c r="D49" i="8" s="1"/>
  <c r="D48" i="8" s="1"/>
  <c r="D47" i="8" s="1"/>
  <c r="D46" i="8" s="1"/>
  <c r="D45" i="8" s="1"/>
  <c r="D44" i="8" s="1"/>
  <c r="D43" i="8" s="1"/>
  <c r="D42" i="8" s="1"/>
  <c r="D41" i="8" s="1"/>
  <c r="D40" i="8" s="1"/>
  <c r="D39" i="8" s="1"/>
  <c r="D38" i="8" s="1"/>
  <c r="D37" i="8" s="1"/>
  <c r="D36" i="8" s="1"/>
  <c r="D35" i="8" s="1"/>
  <c r="D34" i="8" s="1"/>
  <c r="D33" i="8" s="1"/>
  <c r="D32" i="8" s="1"/>
  <c r="D31" i="8" s="1"/>
  <c r="D30" i="8" s="1"/>
  <c r="D29" i="8" s="1"/>
  <c r="D28" i="8" s="1"/>
  <c r="D27" i="8" s="1"/>
  <c r="D26" i="8" s="1"/>
  <c r="D25" i="8" s="1"/>
  <c r="D24" i="8" s="1"/>
  <c r="D23" i="8" s="1"/>
  <c r="D22" i="8" s="1"/>
  <c r="D21" i="8" s="1"/>
  <c r="D20" i="8" s="1"/>
  <c r="D19" i="8" s="1"/>
  <c r="D18" i="8" s="1"/>
  <c r="D17" i="8" s="1"/>
  <c r="D16" i="8" s="1"/>
  <c r="D15" i="8" s="1"/>
  <c r="D14" i="8" s="1"/>
  <c r="D13" i="8" s="1"/>
  <c r="D12" i="8" s="1"/>
  <c r="D11" i="8" s="1"/>
  <c r="D10" i="8" s="1"/>
  <c r="D9" i="8" s="1"/>
  <c r="D8" i="8" s="1"/>
  <c r="D7" i="8" s="1"/>
  <c r="D6" i="8" s="1"/>
  <c r="D4" i="8" s="1"/>
  <c r="C159" i="8" l="1"/>
  <c r="C158" i="8" s="1"/>
  <c r="C157" i="8" s="1"/>
  <c r="C156" i="8" s="1"/>
  <c r="C155" i="8" s="1"/>
  <c r="C154" i="8" s="1"/>
  <c r="C153" i="8" s="1"/>
  <c r="C152" i="8" s="1"/>
  <c r="C151" i="8" s="1"/>
  <c r="C150" i="8" s="1"/>
  <c r="C149" i="8" s="1"/>
  <c r="C148" i="8" s="1"/>
  <c r="C147" i="8" s="1"/>
  <c r="C146" i="8" s="1"/>
  <c r="C145" i="8" s="1"/>
  <c r="C144" i="8" s="1"/>
  <c r="C143" i="8" s="1"/>
  <c r="C142" i="8" s="1"/>
  <c r="C141" i="8" s="1"/>
  <c r="C140" i="8" s="1"/>
  <c r="C139" i="8" s="1"/>
  <c r="C138" i="8" s="1"/>
  <c r="C137" i="8" s="1"/>
  <c r="C136" i="8" s="1"/>
  <c r="C135" i="8" s="1"/>
  <c r="C134" i="8" s="1"/>
  <c r="C133" i="8" s="1"/>
  <c r="C132" i="8" s="1"/>
  <c r="C131" i="8" s="1"/>
  <c r="C130" i="8" s="1"/>
  <c r="C129" i="8" s="1"/>
  <c r="C128" i="8" s="1"/>
  <c r="C127" i="8" s="1"/>
  <c r="C126" i="8" s="1"/>
  <c r="C125" i="8" s="1"/>
  <c r="C124" i="8" s="1"/>
  <c r="C123" i="8" s="1"/>
  <c r="C122" i="8" s="1"/>
  <c r="C121" i="8" s="1"/>
  <c r="C120" i="8" s="1"/>
  <c r="C119" i="8" s="1"/>
  <c r="C118" i="8" s="1"/>
  <c r="C117" i="8" s="1"/>
  <c r="C116" i="8" s="1"/>
  <c r="C115" i="8" s="1"/>
  <c r="C114" i="8" s="1"/>
  <c r="C113" i="8" s="1"/>
  <c r="C112" i="8" s="1"/>
  <c r="C111" i="8" s="1"/>
  <c r="C110" i="8" s="1"/>
  <c r="C109" i="8" s="1"/>
  <c r="C108" i="8" s="1"/>
  <c r="C107" i="8" s="1"/>
  <c r="C106" i="8" s="1"/>
  <c r="C105" i="8" s="1"/>
  <c r="C104" i="8" s="1"/>
  <c r="C103" i="8" s="1"/>
  <c r="C102" i="8" s="1"/>
  <c r="C101" i="8" s="1"/>
  <c r="C100" i="8" s="1"/>
  <c r="C99" i="8" s="1"/>
  <c r="C98" i="8" s="1"/>
  <c r="C97" i="8" s="1"/>
  <c r="C96" i="8" s="1"/>
  <c r="C95" i="8" s="1"/>
  <c r="C94" i="8" s="1"/>
  <c r="C93" i="8" s="1"/>
  <c r="C92" i="8" s="1"/>
  <c r="C91" i="8" s="1"/>
  <c r="C90" i="8" s="1"/>
  <c r="C89" i="8" s="1"/>
  <c r="C88" i="8" s="1"/>
  <c r="C87" i="8" s="1"/>
  <c r="C86" i="8" s="1"/>
  <c r="C85" i="8" s="1"/>
  <c r="C84" i="8" s="1"/>
  <c r="C83" i="8" s="1"/>
  <c r="C82" i="8" s="1"/>
  <c r="C81" i="8" s="1"/>
  <c r="C80" i="8" s="1"/>
  <c r="C79" i="8" s="1"/>
  <c r="C78" i="8" s="1"/>
  <c r="C77" i="8" s="1"/>
  <c r="C76" i="8" s="1"/>
  <c r="C75" i="8" s="1"/>
  <c r="C74" i="8" s="1"/>
  <c r="C73" i="8" s="1"/>
  <c r="C72" i="8" s="1"/>
  <c r="C71" i="8" s="1"/>
  <c r="C70" i="8" s="1"/>
  <c r="C69" i="8" s="1"/>
  <c r="C68" i="8" s="1"/>
  <c r="C67" i="8" s="1"/>
  <c r="C66" i="8" s="1"/>
  <c r="C65" i="8" s="1"/>
  <c r="C64" i="8" s="1"/>
  <c r="C63" i="8" s="1"/>
  <c r="C62" i="8" s="1"/>
  <c r="C61" i="8" s="1"/>
  <c r="C60" i="8" s="1"/>
  <c r="C59" i="8" s="1"/>
  <c r="C58" i="8" s="1"/>
  <c r="C57" i="8" s="1"/>
  <c r="C56" i="8" s="1"/>
  <c r="C55" i="8" s="1"/>
  <c r="C54" i="8" s="1"/>
  <c r="C53" i="8" s="1"/>
  <c r="C52" i="8" s="1"/>
  <c r="C51" i="8" s="1"/>
  <c r="C50" i="8" s="1"/>
  <c r="C49" i="8" s="1"/>
  <c r="C48" i="8" s="1"/>
  <c r="C47" i="8" s="1"/>
  <c r="C46" i="8" s="1"/>
  <c r="C45" i="8" s="1"/>
  <c r="C44" i="8" s="1"/>
  <c r="C43" i="8" s="1"/>
  <c r="C42" i="8" s="1"/>
  <c r="C41" i="8" s="1"/>
  <c r="C40" i="8" s="1"/>
  <c r="C39" i="8" s="1"/>
  <c r="C38" i="8" s="1"/>
  <c r="C37" i="8" s="1"/>
  <c r="C36" i="8" s="1"/>
  <c r="C35" i="8" s="1"/>
  <c r="C34" i="8" s="1"/>
  <c r="C33" i="8" s="1"/>
  <c r="C32" i="8" s="1"/>
  <c r="C31" i="8" s="1"/>
  <c r="C30" i="8" s="1"/>
  <c r="C29" i="8" s="1"/>
  <c r="C28" i="8" s="1"/>
  <c r="C27" i="8" s="1"/>
  <c r="C26" i="8" s="1"/>
  <c r="C25" i="8" s="1"/>
  <c r="C24" i="8" s="1"/>
  <c r="C23" i="8" s="1"/>
  <c r="C22" i="8" s="1"/>
  <c r="C21" i="8" s="1"/>
  <c r="C20" i="8" s="1"/>
  <c r="C19" i="8" s="1"/>
  <c r="C18" i="8" s="1"/>
  <c r="C17" i="8" s="1"/>
  <c r="C16" i="8" s="1"/>
  <c r="C15" i="8" s="1"/>
  <c r="C14" i="8" s="1"/>
  <c r="C13" i="8" s="1"/>
  <c r="C12" i="8" s="1"/>
  <c r="C11" i="8" s="1"/>
  <c r="C10" i="8" s="1"/>
  <c r="C9" i="8" s="1"/>
  <c r="C8" i="8" s="1"/>
  <c r="C7" i="8" s="1"/>
  <c r="C6" i="8" s="1"/>
  <c r="C4" i="8" s="1"/>
  <c r="O31" i="8" s="1"/>
  <c r="C71" i="1" s="1"/>
  <c r="O32" i="8"/>
  <c r="C72" i="1" s="1"/>
  <c r="N32" i="8"/>
  <c r="N31" i="8" l="1"/>
  <c r="B231" i="2"/>
  <c r="B354" i="2" s="1"/>
  <c r="C46" i="16"/>
  <c r="D46" i="16" s="1"/>
  <c r="B219" i="2" l="1"/>
  <c r="A354" i="2"/>
  <c r="B232" i="2"/>
  <c r="C47" i="16"/>
  <c r="D47" i="16" s="1"/>
  <c r="B235" i="2"/>
  <c r="W625" i="25" l="1"/>
  <c r="L612" i="25"/>
  <c r="L610" i="25"/>
  <c r="K612" i="25"/>
  <c r="K610" i="25"/>
  <c r="C635" i="25"/>
  <c r="K613" i="25"/>
  <c r="K611" i="25"/>
  <c r="K609" i="25"/>
  <c r="K607" i="25"/>
  <c r="L611" i="25"/>
  <c r="L608" i="25"/>
  <c r="L607" i="25"/>
  <c r="K606" i="25"/>
  <c r="K604" i="25"/>
  <c r="K602" i="25"/>
  <c r="K600" i="25"/>
  <c r="K598" i="25"/>
  <c r="L613" i="25"/>
  <c r="K608" i="25"/>
  <c r="L605" i="25"/>
  <c r="L603" i="25"/>
  <c r="L601" i="25"/>
  <c r="L599" i="25"/>
  <c r="L597" i="25"/>
  <c r="L609" i="25"/>
  <c r="L606" i="25"/>
  <c r="L604" i="25"/>
  <c r="L602" i="25"/>
  <c r="L600" i="25"/>
  <c r="L598" i="25"/>
  <c r="L596" i="25"/>
  <c r="L594" i="25"/>
  <c r="L592" i="25"/>
  <c r="K605" i="25"/>
  <c r="K597" i="25"/>
  <c r="L591" i="25"/>
  <c r="L589" i="25"/>
  <c r="L587" i="25"/>
  <c r="L585" i="25"/>
  <c r="K599" i="25"/>
  <c r="K596" i="25"/>
  <c r="L595" i="25"/>
  <c r="K591" i="25"/>
  <c r="K589" i="25"/>
  <c r="K587" i="25"/>
  <c r="K585" i="25"/>
  <c r="A625" i="25"/>
  <c r="K603" i="25"/>
  <c r="K593" i="25"/>
  <c r="K592" i="25"/>
  <c r="K590" i="25"/>
  <c r="K588" i="25"/>
  <c r="K586" i="25"/>
  <c r="K584" i="25"/>
  <c r="K582" i="25"/>
  <c r="K580" i="25"/>
  <c r="K578" i="25"/>
  <c r="K601" i="25"/>
  <c r="K595" i="25"/>
  <c r="L593" i="25"/>
  <c r="L586" i="25"/>
  <c r="K581" i="25"/>
  <c r="L579" i="25"/>
  <c r="L578" i="25"/>
  <c r="K576" i="25"/>
  <c r="K574" i="25"/>
  <c r="K572" i="25"/>
  <c r="K570" i="25"/>
  <c r="K568" i="25"/>
  <c r="K566" i="25"/>
  <c r="K564" i="25"/>
  <c r="K562" i="25"/>
  <c r="K560" i="25"/>
  <c r="K558" i="25"/>
  <c r="K594" i="25"/>
  <c r="L588" i="25"/>
  <c r="K579" i="25"/>
  <c r="L577" i="25"/>
  <c r="L575" i="25"/>
  <c r="L573" i="25"/>
  <c r="L571" i="25"/>
  <c r="L569" i="25"/>
  <c r="L567" i="25"/>
  <c r="L565" i="25"/>
  <c r="L584" i="25"/>
  <c r="K583" i="25"/>
  <c r="L581" i="25"/>
  <c r="L580" i="25"/>
  <c r="L576" i="25"/>
  <c r="L574" i="25"/>
  <c r="L572" i="25"/>
  <c r="L570" i="25"/>
  <c r="L568" i="25"/>
  <c r="L566" i="25"/>
  <c r="L590" i="25"/>
  <c r="L583" i="25"/>
  <c r="K577" i="25"/>
  <c r="K569" i="25"/>
  <c r="K565" i="25"/>
  <c r="L564" i="25"/>
  <c r="K559" i="25"/>
  <c r="L557" i="25"/>
  <c r="K555" i="25"/>
  <c r="K553" i="25"/>
  <c r="K551" i="25"/>
  <c r="K549" i="25"/>
  <c r="K547" i="25"/>
  <c r="K545" i="25"/>
  <c r="K543" i="25"/>
  <c r="K541" i="25"/>
  <c r="K539" i="25"/>
  <c r="K537" i="25"/>
  <c r="K535" i="25"/>
  <c r="K533" i="25"/>
  <c r="K531" i="25"/>
  <c r="K529" i="25"/>
  <c r="K527" i="25"/>
  <c r="K525" i="25"/>
  <c r="K571" i="25"/>
  <c r="L563" i="25"/>
  <c r="L562" i="25"/>
  <c r="K557" i="25"/>
  <c r="L556" i="25"/>
  <c r="L554" i="25"/>
  <c r="L552" i="25"/>
  <c r="L550" i="25"/>
  <c r="L548" i="25"/>
  <c r="L546" i="25"/>
  <c r="L544" i="25"/>
  <c r="L542" i="25"/>
  <c r="L540" i="25"/>
  <c r="L582" i="25"/>
  <c r="K575" i="25"/>
  <c r="K567" i="25"/>
  <c r="K561" i="25"/>
  <c r="L559" i="25"/>
  <c r="L558" i="25"/>
  <c r="L555" i="25"/>
  <c r="L553" i="25"/>
  <c r="L551" i="25"/>
  <c r="L549" i="25"/>
  <c r="L547" i="25"/>
  <c r="L545" i="25"/>
  <c r="L543" i="25"/>
  <c r="L541" i="25"/>
  <c r="L539" i="25"/>
  <c r="K573" i="25"/>
  <c r="K550" i="25"/>
  <c r="K542" i="25"/>
  <c r="K538" i="25"/>
  <c r="L536" i="25"/>
  <c r="L535" i="25"/>
  <c r="K530" i="25"/>
  <c r="L528" i="25"/>
  <c r="L527" i="25"/>
  <c r="K552" i="25"/>
  <c r="K544" i="25"/>
  <c r="K536" i="25"/>
  <c r="L534" i="25"/>
  <c r="L533" i="25"/>
  <c r="K528" i="25"/>
  <c r="L526" i="25"/>
  <c r="L525" i="25"/>
  <c r="L561" i="25"/>
  <c r="K556" i="25"/>
  <c r="K548" i="25"/>
  <c r="K540" i="25"/>
  <c r="L538" i="25"/>
  <c r="L537" i="25"/>
  <c r="K532" i="25"/>
  <c r="L530" i="25"/>
  <c r="L529" i="25"/>
  <c r="K524" i="25"/>
  <c r="K522" i="25"/>
  <c r="K520" i="25"/>
  <c r="K518" i="25"/>
  <c r="K516" i="25"/>
  <c r="K514" i="25"/>
  <c r="K512" i="25"/>
  <c r="K563" i="25"/>
  <c r="K554" i="25"/>
  <c r="K534" i="25"/>
  <c r="L531" i="25"/>
  <c r="L523" i="25"/>
  <c r="L522" i="25"/>
  <c r="K517" i="25"/>
  <c r="L515" i="25"/>
  <c r="L514" i="25"/>
  <c r="K511" i="25"/>
  <c r="K509" i="25"/>
  <c r="K507" i="25"/>
  <c r="K505" i="25"/>
  <c r="K503" i="25"/>
  <c r="K501" i="25"/>
  <c r="K499" i="25"/>
  <c r="K497" i="25"/>
  <c r="K495" i="25"/>
  <c r="K493" i="25"/>
  <c r="K491" i="25"/>
  <c r="K489" i="25"/>
  <c r="K487" i="25"/>
  <c r="K485" i="25"/>
  <c r="K483" i="25"/>
  <c r="K481" i="25"/>
  <c r="K479" i="25"/>
  <c r="K477" i="25"/>
  <c r="K475" i="25"/>
  <c r="K473" i="25"/>
  <c r="K471" i="25"/>
  <c r="K469" i="25"/>
  <c r="K467" i="25"/>
  <c r="K465" i="25"/>
  <c r="L532" i="25"/>
  <c r="K526" i="25"/>
  <c r="K523" i="25"/>
  <c r="L521" i="25"/>
  <c r="L520" i="25"/>
  <c r="K515" i="25"/>
  <c r="L513" i="25"/>
  <c r="L512" i="25"/>
  <c r="L510" i="25"/>
  <c r="L508" i="25"/>
  <c r="L506" i="25"/>
  <c r="L504" i="25"/>
  <c r="L502" i="25"/>
  <c r="L500" i="25"/>
  <c r="L498" i="25"/>
  <c r="L496" i="25"/>
  <c r="L494" i="25"/>
  <c r="L492" i="25"/>
  <c r="L490" i="25"/>
  <c r="L488" i="25"/>
  <c r="L486" i="25"/>
  <c r="L484" i="25"/>
  <c r="L560" i="25"/>
  <c r="K546" i="25"/>
  <c r="K519" i="25"/>
  <c r="L517" i="25"/>
  <c r="L516" i="25"/>
  <c r="L511" i="25"/>
  <c r="L509" i="25"/>
  <c r="L507" i="25"/>
  <c r="L505" i="25"/>
  <c r="L503" i="25"/>
  <c r="L501" i="25"/>
  <c r="L499" i="25"/>
  <c r="L497" i="25"/>
  <c r="L495" i="25"/>
  <c r="L493" i="25"/>
  <c r="L491" i="25"/>
  <c r="L489" i="25"/>
  <c r="L487" i="25"/>
  <c r="L485" i="25"/>
  <c r="L519" i="25"/>
  <c r="K513" i="25"/>
  <c r="K510" i="25"/>
  <c r="K502" i="25"/>
  <c r="K494" i="25"/>
  <c r="K486" i="25"/>
  <c r="K482" i="25"/>
  <c r="L480" i="25"/>
  <c r="L479" i="25"/>
  <c r="K474" i="25"/>
  <c r="L472" i="25"/>
  <c r="L471" i="25"/>
  <c r="K466" i="25"/>
  <c r="L464" i="25"/>
  <c r="L462" i="25"/>
  <c r="L460" i="25"/>
  <c r="L458" i="25"/>
  <c r="L456" i="25"/>
  <c r="L454" i="25"/>
  <c r="L452" i="25"/>
  <c r="L450" i="25"/>
  <c r="L448" i="25"/>
  <c r="L446" i="25"/>
  <c r="L444" i="25"/>
  <c r="L442" i="25"/>
  <c r="L440" i="25"/>
  <c r="L438" i="25"/>
  <c r="L436" i="25"/>
  <c r="L434" i="25"/>
  <c r="L432" i="25"/>
  <c r="L430" i="25"/>
  <c r="L428" i="25"/>
  <c r="L426" i="25"/>
  <c r="L424" i="25"/>
  <c r="L422" i="25"/>
  <c r="L420" i="25"/>
  <c r="L418" i="25"/>
  <c r="L416" i="25"/>
  <c r="L414" i="25"/>
  <c r="L412" i="25"/>
  <c r="L410" i="25"/>
  <c r="L408" i="25"/>
  <c r="L406" i="25"/>
  <c r="L404" i="25"/>
  <c r="L402" i="25"/>
  <c r="L400" i="25"/>
  <c r="K504" i="25"/>
  <c r="K496" i="25"/>
  <c r="K488" i="25"/>
  <c r="K484" i="25"/>
  <c r="K480" i="25"/>
  <c r="L478" i="25"/>
  <c r="L477" i="25"/>
  <c r="K472" i="25"/>
  <c r="L470" i="25"/>
  <c r="L469" i="25"/>
  <c r="K464" i="25"/>
  <c r="K462" i="25"/>
  <c r="K460" i="25"/>
  <c r="K458" i="25"/>
  <c r="K456" i="25"/>
  <c r="K454" i="25"/>
  <c r="K452" i="25"/>
  <c r="K450" i="25"/>
  <c r="K448" i="25"/>
  <c r="K446" i="25"/>
  <c r="K444" i="25"/>
  <c r="K442" i="25"/>
  <c r="K440" i="25"/>
  <c r="K438" i="25"/>
  <c r="K436" i="25"/>
  <c r="K434" i="25"/>
  <c r="K432" i="25"/>
  <c r="K430" i="25"/>
  <c r="K428" i="25"/>
  <c r="K521" i="25"/>
  <c r="L518" i="25"/>
  <c r="K508" i="25"/>
  <c r="K500" i="25"/>
  <c r="K492" i="25"/>
  <c r="L483" i="25"/>
  <c r="L482" i="25"/>
  <c r="L481" i="25"/>
  <c r="K476" i="25"/>
  <c r="L474" i="25"/>
  <c r="L473" i="25"/>
  <c r="K468" i="25"/>
  <c r="L466" i="25"/>
  <c r="L465" i="25"/>
  <c r="K463" i="25"/>
  <c r="K461" i="25"/>
  <c r="K459" i="25"/>
  <c r="K457" i="25"/>
  <c r="K455" i="25"/>
  <c r="K453" i="25"/>
  <c r="K451" i="25"/>
  <c r="K449" i="25"/>
  <c r="K447" i="25"/>
  <c r="K445" i="25"/>
  <c r="K443" i="25"/>
  <c r="K441" i="25"/>
  <c r="K439" i="25"/>
  <c r="K437" i="25"/>
  <c r="K435" i="25"/>
  <c r="K433" i="25"/>
  <c r="K431" i="25"/>
  <c r="K429" i="25"/>
  <c r="K498" i="25"/>
  <c r="L457" i="25"/>
  <c r="L449" i="25"/>
  <c r="L441" i="25"/>
  <c r="L433" i="25"/>
  <c r="L427" i="25"/>
  <c r="K421" i="25"/>
  <c r="K420" i="25"/>
  <c r="L419" i="25"/>
  <c r="K413" i="25"/>
  <c r="K412" i="25"/>
  <c r="L411" i="25"/>
  <c r="K405" i="25"/>
  <c r="K404" i="25"/>
  <c r="L403" i="25"/>
  <c r="K506" i="25"/>
  <c r="K478" i="25"/>
  <c r="L475" i="25"/>
  <c r="L459" i="25"/>
  <c r="L451" i="25"/>
  <c r="L443" i="25"/>
  <c r="L435" i="25"/>
  <c r="K427" i="25"/>
  <c r="K426" i="25"/>
  <c r="L425" i="25"/>
  <c r="K419" i="25"/>
  <c r="K418" i="25"/>
  <c r="L417" i="25"/>
  <c r="K411" i="25"/>
  <c r="K410" i="25"/>
  <c r="L409" i="25"/>
  <c r="K403" i="25"/>
  <c r="K402" i="25"/>
  <c r="L401" i="25"/>
  <c r="L524" i="25"/>
  <c r="K490" i="25"/>
  <c r="L468" i="25"/>
  <c r="L463" i="25"/>
  <c r="L455" i="25"/>
  <c r="L447" i="25"/>
  <c r="L439" i="25"/>
  <c r="L431" i="25"/>
  <c r="K423" i="25"/>
  <c r="K422" i="25"/>
  <c r="L421" i="25"/>
  <c r="K415" i="25"/>
  <c r="K414" i="25"/>
  <c r="L413" i="25"/>
  <c r="K407" i="25"/>
  <c r="K406" i="25"/>
  <c r="L405" i="25"/>
  <c r="L399" i="25"/>
  <c r="L397" i="25"/>
  <c r="L395" i="25"/>
  <c r="L393" i="25"/>
  <c r="L391" i="25"/>
  <c r="L389" i="25"/>
  <c r="L387" i="25"/>
  <c r="L385" i="25"/>
  <c r="L383" i="25"/>
  <c r="L381" i="25"/>
  <c r="L379" i="25"/>
  <c r="L377" i="25"/>
  <c r="L375" i="25"/>
  <c r="L453" i="25"/>
  <c r="K425" i="25"/>
  <c r="L423" i="25"/>
  <c r="K394" i="25"/>
  <c r="K393" i="25"/>
  <c r="L392" i="25"/>
  <c r="K386" i="25"/>
  <c r="K385" i="25"/>
  <c r="L384" i="25"/>
  <c r="K378" i="25"/>
  <c r="K377" i="25"/>
  <c r="L376" i="25"/>
  <c r="L373" i="25"/>
  <c r="L371" i="25"/>
  <c r="L369" i="25"/>
  <c r="L367" i="25"/>
  <c r="L365" i="25"/>
  <c r="L363" i="25"/>
  <c r="L361" i="25"/>
  <c r="L359" i="25"/>
  <c r="L357" i="25"/>
  <c r="L355" i="25"/>
  <c r="L353" i="25"/>
  <c r="L351" i="25"/>
  <c r="L349" i="25"/>
  <c r="L347" i="25"/>
  <c r="L345" i="25"/>
  <c r="L343" i="25"/>
  <c r="L341" i="25"/>
  <c r="L339" i="25"/>
  <c r="L337" i="25"/>
  <c r="L335" i="25"/>
  <c r="L333" i="25"/>
  <c r="L331" i="25"/>
  <c r="L329" i="25"/>
  <c r="L327" i="25"/>
  <c r="L325" i="25"/>
  <c r="L323" i="25"/>
  <c r="L321" i="25"/>
  <c r="L319" i="25"/>
  <c r="L317" i="25"/>
  <c r="L315" i="25"/>
  <c r="L313" i="25"/>
  <c r="L311" i="25"/>
  <c r="L309" i="25"/>
  <c r="L307" i="25"/>
  <c r="L305" i="25"/>
  <c r="L303" i="25"/>
  <c r="L301" i="25"/>
  <c r="L299" i="25"/>
  <c r="L297" i="25"/>
  <c r="L295" i="25"/>
  <c r="L293" i="25"/>
  <c r="L291" i="25"/>
  <c r="L289" i="25"/>
  <c r="L287" i="25"/>
  <c r="L285" i="25"/>
  <c r="L283" i="25"/>
  <c r="L281" i="25"/>
  <c r="L279" i="25"/>
  <c r="L467" i="25"/>
  <c r="L461" i="25"/>
  <c r="L429" i="25"/>
  <c r="K424" i="25"/>
  <c r="K417" i="25"/>
  <c r="L415" i="25"/>
  <c r="K400" i="25"/>
  <c r="K399" i="25"/>
  <c r="L398" i="25"/>
  <c r="K392" i="25"/>
  <c r="K391" i="25"/>
  <c r="L390" i="25"/>
  <c r="K384" i="25"/>
  <c r="K383" i="25"/>
  <c r="L382" i="25"/>
  <c r="K376" i="25"/>
  <c r="K375" i="25"/>
  <c r="K373" i="25"/>
  <c r="K371" i="25"/>
  <c r="K369" i="25"/>
  <c r="K367" i="25"/>
  <c r="K365" i="25"/>
  <c r="L445" i="25"/>
  <c r="K408" i="25"/>
  <c r="K401" i="25"/>
  <c r="K396" i="25"/>
  <c r="K395" i="25"/>
  <c r="L394" i="25"/>
  <c r="K388" i="25"/>
  <c r="K387" i="25"/>
  <c r="L386" i="25"/>
  <c r="K380" i="25"/>
  <c r="K379" i="25"/>
  <c r="L378" i="25"/>
  <c r="K374" i="25"/>
  <c r="K372" i="25"/>
  <c r="K370" i="25"/>
  <c r="K368" i="25"/>
  <c r="K366" i="25"/>
  <c r="K364" i="25"/>
  <c r="K362" i="25"/>
  <c r="K360" i="25"/>
  <c r="K358" i="25"/>
  <c r="K356" i="25"/>
  <c r="K354" i="25"/>
  <c r="K352" i="25"/>
  <c r="K350" i="25"/>
  <c r="K348" i="25"/>
  <c r="K346" i="25"/>
  <c r="K344" i="25"/>
  <c r="L476" i="25"/>
  <c r="K416" i="25"/>
  <c r="K398" i="25"/>
  <c r="L396" i="25"/>
  <c r="L374" i="25"/>
  <c r="L366" i="25"/>
  <c r="L364" i="25"/>
  <c r="K363" i="25"/>
  <c r="L360" i="25"/>
  <c r="K359" i="25"/>
  <c r="L356" i="25"/>
  <c r="K355" i="25"/>
  <c r="L352" i="25"/>
  <c r="K351" i="25"/>
  <c r="L348" i="25"/>
  <c r="K347" i="25"/>
  <c r="L344" i="25"/>
  <c r="K343" i="25"/>
  <c r="L342" i="25"/>
  <c r="K336" i="25"/>
  <c r="K335" i="25"/>
  <c r="L334" i="25"/>
  <c r="K328" i="25"/>
  <c r="K327" i="25"/>
  <c r="L326" i="25"/>
  <c r="K320" i="25"/>
  <c r="K319" i="25"/>
  <c r="L318" i="25"/>
  <c r="K312" i="25"/>
  <c r="K311" i="25"/>
  <c r="L310" i="25"/>
  <c r="K304" i="25"/>
  <c r="K303" i="25"/>
  <c r="L302" i="25"/>
  <c r="K296" i="25"/>
  <c r="K295" i="25"/>
  <c r="L294" i="25"/>
  <c r="K288" i="25"/>
  <c r="K287" i="25"/>
  <c r="L286" i="25"/>
  <c r="K280" i="25"/>
  <c r="K279" i="25"/>
  <c r="L278" i="25"/>
  <c r="L276" i="25"/>
  <c r="L274" i="25"/>
  <c r="L272" i="25"/>
  <c r="L270" i="25"/>
  <c r="L268" i="25"/>
  <c r="L266" i="25"/>
  <c r="K409" i="25"/>
  <c r="K397" i="25"/>
  <c r="K390" i="25"/>
  <c r="L388" i="25"/>
  <c r="L368" i="25"/>
  <c r="K342" i="25"/>
  <c r="K341" i="25"/>
  <c r="L340" i="25"/>
  <c r="K334" i="25"/>
  <c r="K333" i="25"/>
  <c r="L332" i="25"/>
  <c r="K326" i="25"/>
  <c r="K325" i="25"/>
  <c r="L324" i="25"/>
  <c r="K318" i="25"/>
  <c r="K317" i="25"/>
  <c r="L316" i="25"/>
  <c r="K310" i="25"/>
  <c r="K309" i="25"/>
  <c r="L308" i="25"/>
  <c r="K302" i="25"/>
  <c r="K301" i="25"/>
  <c r="L300" i="25"/>
  <c r="K294" i="25"/>
  <c r="K293" i="25"/>
  <c r="L292" i="25"/>
  <c r="K286" i="25"/>
  <c r="K285" i="25"/>
  <c r="L284" i="25"/>
  <c r="K278" i="25"/>
  <c r="K276" i="25"/>
  <c r="K274" i="25"/>
  <c r="K272" i="25"/>
  <c r="K270" i="25"/>
  <c r="K268" i="25"/>
  <c r="K266" i="25"/>
  <c r="K264" i="25"/>
  <c r="L407" i="25"/>
  <c r="K381" i="25"/>
  <c r="L372" i="25"/>
  <c r="K338" i="25"/>
  <c r="K337" i="25"/>
  <c r="L336" i="25"/>
  <c r="K330" i="25"/>
  <c r="K329" i="25"/>
  <c r="L328" i="25"/>
  <c r="K322" i="25"/>
  <c r="K321" i="25"/>
  <c r="L320" i="25"/>
  <c r="K314" i="25"/>
  <c r="K313" i="25"/>
  <c r="L312" i="25"/>
  <c r="K306" i="25"/>
  <c r="K305" i="25"/>
  <c r="L304" i="25"/>
  <c r="K298" i="25"/>
  <c r="K297" i="25"/>
  <c r="L296" i="25"/>
  <c r="K290" i="25"/>
  <c r="K289" i="25"/>
  <c r="L288" i="25"/>
  <c r="K282" i="25"/>
  <c r="K281" i="25"/>
  <c r="L280" i="25"/>
  <c r="K277" i="25"/>
  <c r="K275" i="25"/>
  <c r="K273" i="25"/>
  <c r="K271" i="25"/>
  <c r="K269" i="25"/>
  <c r="K267" i="25"/>
  <c r="K265" i="25"/>
  <c r="K263" i="25"/>
  <c r="K261" i="25"/>
  <c r="K259" i="25"/>
  <c r="K257" i="25"/>
  <c r="K255" i="25"/>
  <c r="K253" i="25"/>
  <c r="K251" i="25"/>
  <c r="K249" i="25"/>
  <c r="K247" i="25"/>
  <c r="K245" i="25"/>
  <c r="K243" i="25"/>
  <c r="K241" i="25"/>
  <c r="K239" i="25"/>
  <c r="K237" i="25"/>
  <c r="K235" i="25"/>
  <c r="K233" i="25"/>
  <c r="K231" i="25"/>
  <c r="K229" i="25"/>
  <c r="K227" i="25"/>
  <c r="K382" i="25"/>
  <c r="L358" i="25"/>
  <c r="K357" i="25"/>
  <c r="K331" i="25"/>
  <c r="K324" i="25"/>
  <c r="L322" i="25"/>
  <c r="K299" i="25"/>
  <c r="K292" i="25"/>
  <c r="L290" i="25"/>
  <c r="L277" i="25"/>
  <c r="L269" i="25"/>
  <c r="L264" i="25"/>
  <c r="L262" i="25"/>
  <c r="L261" i="25"/>
  <c r="K256" i="25"/>
  <c r="L254" i="25"/>
  <c r="L253" i="25"/>
  <c r="K248" i="25"/>
  <c r="L246" i="25"/>
  <c r="L245" i="25"/>
  <c r="K240" i="25"/>
  <c r="L238" i="25"/>
  <c r="L237" i="25"/>
  <c r="K232" i="25"/>
  <c r="L230" i="25"/>
  <c r="L229" i="25"/>
  <c r="K225" i="25"/>
  <c r="K223" i="25"/>
  <c r="K221" i="25"/>
  <c r="K219" i="25"/>
  <c r="K217" i="25"/>
  <c r="K215" i="25"/>
  <c r="K213" i="25"/>
  <c r="K211" i="25"/>
  <c r="K209" i="25"/>
  <c r="K207" i="25"/>
  <c r="K205" i="25"/>
  <c r="K203" i="25"/>
  <c r="K201" i="25"/>
  <c r="K199" i="25"/>
  <c r="K197" i="25"/>
  <c r="K195" i="25"/>
  <c r="K193" i="25"/>
  <c r="K191" i="25"/>
  <c r="K189" i="25"/>
  <c r="K187" i="25"/>
  <c r="K185" i="25"/>
  <c r="K183" i="25"/>
  <c r="K181" i="25"/>
  <c r="K179" i="25"/>
  <c r="K177" i="25"/>
  <c r="K175" i="25"/>
  <c r="K173" i="25"/>
  <c r="K171" i="25"/>
  <c r="K169" i="25"/>
  <c r="K167" i="25"/>
  <c r="K165" i="25"/>
  <c r="K163" i="25"/>
  <c r="K161" i="25"/>
  <c r="K159" i="25"/>
  <c r="K157" i="25"/>
  <c r="K155" i="25"/>
  <c r="K153" i="25"/>
  <c r="K151" i="25"/>
  <c r="K149" i="25"/>
  <c r="K147" i="25"/>
  <c r="K145" i="25"/>
  <c r="K143" i="25"/>
  <c r="K141" i="25"/>
  <c r="K139" i="25"/>
  <c r="K137" i="25"/>
  <c r="K135" i="25"/>
  <c r="K133" i="25"/>
  <c r="K131" i="25"/>
  <c r="K129" i="25"/>
  <c r="K127" i="25"/>
  <c r="K125" i="25"/>
  <c r="K123" i="25"/>
  <c r="K121" i="25"/>
  <c r="K470" i="25"/>
  <c r="L370" i="25"/>
  <c r="L362" i="25"/>
  <c r="K361" i="25"/>
  <c r="L346" i="25"/>
  <c r="K345" i="25"/>
  <c r="K323" i="25"/>
  <c r="K316" i="25"/>
  <c r="L314" i="25"/>
  <c r="K291" i="25"/>
  <c r="K284" i="25"/>
  <c r="L282" i="25"/>
  <c r="L271" i="25"/>
  <c r="K262" i="25"/>
  <c r="L260" i="25"/>
  <c r="L259" i="25"/>
  <c r="K254" i="25"/>
  <c r="L252" i="25"/>
  <c r="L251" i="25"/>
  <c r="K246" i="25"/>
  <c r="L244" i="25"/>
  <c r="L243" i="25"/>
  <c r="K238" i="25"/>
  <c r="L236" i="25"/>
  <c r="L235" i="25"/>
  <c r="K230" i="25"/>
  <c r="L228" i="25"/>
  <c r="L227" i="25"/>
  <c r="L224" i="25"/>
  <c r="L222" i="25"/>
  <c r="L220" i="25"/>
  <c r="L437" i="25"/>
  <c r="K389" i="25"/>
  <c r="L354" i="25"/>
  <c r="K353" i="25"/>
  <c r="K339" i="25"/>
  <c r="K332" i="25"/>
  <c r="L330" i="25"/>
  <c r="K307" i="25"/>
  <c r="K300" i="25"/>
  <c r="L298" i="25"/>
  <c r="L275" i="25"/>
  <c r="L267" i="25"/>
  <c r="L263" i="25"/>
  <c r="K258" i="25"/>
  <c r="L256" i="25"/>
  <c r="L255" i="25"/>
  <c r="K250" i="25"/>
  <c r="L248" i="25"/>
  <c r="L247" i="25"/>
  <c r="K242" i="25"/>
  <c r="L240" i="25"/>
  <c r="L239" i="25"/>
  <c r="K234" i="25"/>
  <c r="L232" i="25"/>
  <c r="L231" i="25"/>
  <c r="K226" i="25"/>
  <c r="L225" i="25"/>
  <c r="L223" i="25"/>
  <c r="L221" i="25"/>
  <c r="L219" i="25"/>
  <c r="L217" i="25"/>
  <c r="L215" i="25"/>
  <c r="L213" i="25"/>
  <c r="L211" i="25"/>
  <c r="L209" i="25"/>
  <c r="L207" i="25"/>
  <c r="L205" i="25"/>
  <c r="L203" i="25"/>
  <c r="L201" i="25"/>
  <c r="L199" i="25"/>
  <c r="L197" i="25"/>
  <c r="L195" i="25"/>
  <c r="L193" i="25"/>
  <c r="L191" i="25"/>
  <c r="L189" i="25"/>
  <c r="L187" i="25"/>
  <c r="L185" i="25"/>
  <c r="L183" i="25"/>
  <c r="L181" i="25"/>
  <c r="L179" i="25"/>
  <c r="L177" i="25"/>
  <c r="L175" i="25"/>
  <c r="L173" i="25"/>
  <c r="L171" i="25"/>
  <c r="L169" i="25"/>
  <c r="L167" i="25"/>
  <c r="L165" i="25"/>
  <c r="L163" i="25"/>
  <c r="L161" i="25"/>
  <c r="L159" i="25"/>
  <c r="L157" i="25"/>
  <c r="L155" i="25"/>
  <c r="L153" i="25"/>
  <c r="L151" i="25"/>
  <c r="L149" i="25"/>
  <c r="L147" i="25"/>
  <c r="L145" i="25"/>
  <c r="L143" i="25"/>
  <c r="L141" i="25"/>
  <c r="L139" i="25"/>
  <c r="L137" i="25"/>
  <c r="L135" i="25"/>
  <c r="L133" i="25"/>
  <c r="L131" i="25"/>
  <c r="L129" i="25"/>
  <c r="L127" i="25"/>
  <c r="L125" i="25"/>
  <c r="L123" i="25"/>
  <c r="L121" i="25"/>
  <c r="L119" i="25"/>
  <c r="L117" i="25"/>
  <c r="L115" i="25"/>
  <c r="L113" i="25"/>
  <c r="L111" i="25"/>
  <c r="L109" i="25"/>
  <c r="L107" i="25"/>
  <c r="L105" i="25"/>
  <c r="L103" i="25"/>
  <c r="L101" i="25"/>
  <c r="L99" i="25"/>
  <c r="L97" i="25"/>
  <c r="L95" i="25"/>
  <c r="L93" i="25"/>
  <c r="L91" i="25"/>
  <c r="L89" i="25"/>
  <c r="L87" i="25"/>
  <c r="L85" i="25"/>
  <c r="L83" i="25"/>
  <c r="L81" i="25"/>
  <c r="L79" i="25"/>
  <c r="L77" i="25"/>
  <c r="L75" i="25"/>
  <c r="L73" i="25"/>
  <c r="L71" i="25"/>
  <c r="L69" i="25"/>
  <c r="L67" i="25"/>
  <c r="L65" i="25"/>
  <c r="L63" i="25"/>
  <c r="L61" i="25"/>
  <c r="L59" i="25"/>
  <c r="L57" i="25"/>
  <c r="L55" i="25"/>
  <c r="L53" i="25"/>
  <c r="L51" i="25"/>
  <c r="L49" i="25"/>
  <c r="L47" i="25"/>
  <c r="L45" i="25"/>
  <c r="L43" i="25"/>
  <c r="L41" i="25"/>
  <c r="L39" i="25"/>
  <c r="L37" i="25"/>
  <c r="L35" i="25"/>
  <c r="L33" i="25"/>
  <c r="L31" i="25"/>
  <c r="L29" i="25"/>
  <c r="K340" i="25"/>
  <c r="K315" i="25"/>
  <c r="L273" i="25"/>
  <c r="L250" i="25"/>
  <c r="K244" i="25"/>
  <c r="L241" i="25"/>
  <c r="K222" i="25"/>
  <c r="L218" i="25"/>
  <c r="L214" i="25"/>
  <c r="L210" i="25"/>
  <c r="L206" i="25"/>
  <c r="L202" i="25"/>
  <c r="L198" i="25"/>
  <c r="L194" i="25"/>
  <c r="L190" i="25"/>
  <c r="L186" i="25"/>
  <c r="L182" i="25"/>
  <c r="L178" i="25"/>
  <c r="L174" i="25"/>
  <c r="L170" i="25"/>
  <c r="L166" i="25"/>
  <c r="L162" i="25"/>
  <c r="L158" i="25"/>
  <c r="L154" i="25"/>
  <c r="L150" i="25"/>
  <c r="L146" i="25"/>
  <c r="L142" i="25"/>
  <c r="L138" i="25"/>
  <c r="L134" i="25"/>
  <c r="L130" i="25"/>
  <c r="L126" i="25"/>
  <c r="L122" i="25"/>
  <c r="K118" i="25"/>
  <c r="K117" i="25"/>
  <c r="L116" i="25"/>
  <c r="K110" i="25"/>
  <c r="K109" i="25"/>
  <c r="L108" i="25"/>
  <c r="K102" i="25"/>
  <c r="K101" i="25"/>
  <c r="L100" i="25"/>
  <c r="K94" i="25"/>
  <c r="K93" i="25"/>
  <c r="L92" i="25"/>
  <c r="K86" i="25"/>
  <c r="K85" i="25"/>
  <c r="L84" i="25"/>
  <c r="K78" i="25"/>
  <c r="K77" i="25"/>
  <c r="L76" i="25"/>
  <c r="K70" i="25"/>
  <c r="K69" i="25"/>
  <c r="L68" i="25"/>
  <c r="K62" i="25"/>
  <c r="K61" i="25"/>
  <c r="L60" i="25"/>
  <c r="K53" i="25"/>
  <c r="K45" i="25"/>
  <c r="K37" i="25"/>
  <c r="K30" i="25"/>
  <c r="K27" i="25"/>
  <c r="L350" i="25"/>
  <c r="K308" i="25"/>
  <c r="K283" i="25"/>
  <c r="L242" i="25"/>
  <c r="K236" i="25"/>
  <c r="L233" i="25"/>
  <c r="K224" i="25"/>
  <c r="K218" i="25"/>
  <c r="K214" i="25"/>
  <c r="K210" i="25"/>
  <c r="K206" i="25"/>
  <c r="K202" i="25"/>
  <c r="K198" i="25"/>
  <c r="K194" i="25"/>
  <c r="K190" i="25"/>
  <c r="K186" i="25"/>
  <c r="K182" i="25"/>
  <c r="K178" i="25"/>
  <c r="K174" i="25"/>
  <c r="K170" i="25"/>
  <c r="K166" i="25"/>
  <c r="K162" i="25"/>
  <c r="K158" i="25"/>
  <c r="K154" i="25"/>
  <c r="K150" i="25"/>
  <c r="K146" i="25"/>
  <c r="K142" i="25"/>
  <c r="K138" i="25"/>
  <c r="K134" i="25"/>
  <c r="K130" i="25"/>
  <c r="K126" i="25"/>
  <c r="K122" i="25"/>
  <c r="K116" i="25"/>
  <c r="K115" i="25"/>
  <c r="L114" i="25"/>
  <c r="K108" i="25"/>
  <c r="K107" i="25"/>
  <c r="L106" i="25"/>
  <c r="K100" i="25"/>
  <c r="K99" i="25"/>
  <c r="L98" i="25"/>
  <c r="K92" i="25"/>
  <c r="K91" i="25"/>
  <c r="L90" i="25"/>
  <c r="K84" i="25"/>
  <c r="K83" i="25"/>
  <c r="L82" i="25"/>
  <c r="K76" i="25"/>
  <c r="K75" i="25"/>
  <c r="L74" i="25"/>
  <c r="K68" i="25"/>
  <c r="K67" i="25"/>
  <c r="L66" i="25"/>
  <c r="K60" i="25"/>
  <c r="K59" i="25"/>
  <c r="L58" i="25"/>
  <c r="K52" i="25"/>
  <c r="K51" i="25"/>
  <c r="L50" i="25"/>
  <c r="K44" i="25"/>
  <c r="K43" i="25"/>
  <c r="L42" i="25"/>
  <c r="L380" i="25"/>
  <c r="L306" i="25"/>
  <c r="L265" i="25"/>
  <c r="L258" i="25"/>
  <c r="K252" i="25"/>
  <c r="L249" i="25"/>
  <c r="L226" i="25"/>
  <c r="K220" i="25"/>
  <c r="K216" i="25"/>
  <c r="K212" i="25"/>
  <c r="K208" i="25"/>
  <c r="K204" i="25"/>
  <c r="K200" i="25"/>
  <c r="K196" i="25"/>
  <c r="K192" i="25"/>
  <c r="K188" i="25"/>
  <c r="K184" i="25"/>
  <c r="K180" i="25"/>
  <c r="K176" i="25"/>
  <c r="K172" i="25"/>
  <c r="K168" i="25"/>
  <c r="K164" i="25"/>
  <c r="K160" i="25"/>
  <c r="K156" i="25"/>
  <c r="K152" i="25"/>
  <c r="K148" i="25"/>
  <c r="K144" i="25"/>
  <c r="K140" i="25"/>
  <c r="K136" i="25"/>
  <c r="K132" i="25"/>
  <c r="K128" i="25"/>
  <c r="K124" i="25"/>
  <c r="K120" i="25"/>
  <c r="K119" i="25"/>
  <c r="L118" i="25"/>
  <c r="K112" i="25"/>
  <c r="K111" i="25"/>
  <c r="L110" i="25"/>
  <c r="K104" i="25"/>
  <c r="K103" i="25"/>
  <c r="L102" i="25"/>
  <c r="K96" i="25"/>
  <c r="K95" i="25"/>
  <c r="L94" i="25"/>
  <c r="K88" i="25"/>
  <c r="K87" i="25"/>
  <c r="L86" i="25"/>
  <c r="K80" i="25"/>
  <c r="K79" i="25"/>
  <c r="L78" i="25"/>
  <c r="K72" i="25"/>
  <c r="K71" i="25"/>
  <c r="L70" i="25"/>
  <c r="K64" i="25"/>
  <c r="K63" i="25"/>
  <c r="L62" i="25"/>
  <c r="K56" i="25"/>
  <c r="K55" i="25"/>
  <c r="L54" i="25"/>
  <c r="K48" i="25"/>
  <c r="K47" i="25"/>
  <c r="L46" i="25"/>
  <c r="K40" i="25"/>
  <c r="K39" i="25"/>
  <c r="L38" i="25"/>
  <c r="K32" i="25"/>
  <c r="K31" i="25"/>
  <c r="L30" i="25"/>
  <c r="L27" i="25"/>
  <c r="L25" i="25"/>
  <c r="L23" i="25"/>
  <c r="L21" i="25"/>
  <c r="L19" i="25"/>
  <c r="L17" i="25"/>
  <c r="L15" i="25"/>
  <c r="L13" i="25"/>
  <c r="K54" i="25"/>
  <c r="L52" i="25"/>
  <c r="K46" i="25"/>
  <c r="L44" i="25"/>
  <c r="K38" i="25"/>
  <c r="L36" i="25"/>
  <c r="K29" i="25"/>
  <c r="K25" i="25"/>
  <c r="K349" i="25"/>
  <c r="L257" i="25"/>
  <c r="L212" i="25"/>
  <c r="L196" i="25"/>
  <c r="L180" i="25"/>
  <c r="L164" i="25"/>
  <c r="L148" i="25"/>
  <c r="L132" i="25"/>
  <c r="K113" i="25"/>
  <c r="K106" i="25"/>
  <c r="L104" i="25"/>
  <c r="K81" i="25"/>
  <c r="K74" i="25"/>
  <c r="L72" i="25"/>
  <c r="K49" i="25"/>
  <c r="K42" i="25"/>
  <c r="L40" i="25"/>
  <c r="K35" i="25"/>
  <c r="K34" i="25"/>
  <c r="K33" i="25"/>
  <c r="K26" i="25"/>
  <c r="K20" i="25"/>
  <c r="K23" i="25"/>
  <c r="L22" i="25"/>
  <c r="K260" i="25"/>
  <c r="L216" i="25"/>
  <c r="L200" i="25"/>
  <c r="L184" i="25"/>
  <c r="L168" i="25"/>
  <c r="L152" i="25"/>
  <c r="L136" i="25"/>
  <c r="L120" i="25"/>
  <c r="K105" i="25"/>
  <c r="K98" i="25"/>
  <c r="L96" i="25"/>
  <c r="K73" i="25"/>
  <c r="K66" i="25"/>
  <c r="L64" i="25"/>
  <c r="K41" i="25"/>
  <c r="L28" i="25"/>
  <c r="L24" i="25"/>
  <c r="K18" i="25"/>
  <c r="K17" i="25"/>
  <c r="L16" i="25"/>
  <c r="L234" i="25"/>
  <c r="K228" i="25"/>
  <c r="L188" i="25"/>
  <c r="K97" i="25"/>
  <c r="L88" i="25"/>
  <c r="K65" i="25"/>
  <c r="K28" i="25"/>
  <c r="L338" i="25"/>
  <c r="L208" i="25"/>
  <c r="L192" i="25"/>
  <c r="L176" i="25"/>
  <c r="L160" i="25"/>
  <c r="L144" i="25"/>
  <c r="L128" i="25"/>
  <c r="K114" i="25"/>
  <c r="L112" i="25"/>
  <c r="K89" i="25"/>
  <c r="K82" i="25"/>
  <c r="L80" i="25"/>
  <c r="K57" i="25"/>
  <c r="K50" i="25"/>
  <c r="L48" i="25"/>
  <c r="K36" i="25"/>
  <c r="L34" i="25"/>
  <c r="L32" i="25"/>
  <c r="L26" i="25"/>
  <c r="K22" i="25"/>
  <c r="K21" i="25"/>
  <c r="L20" i="25"/>
  <c r="K14" i="25"/>
  <c r="K13" i="25"/>
  <c r="K19" i="25"/>
  <c r="L18" i="25"/>
  <c r="L204" i="25"/>
  <c r="L172" i="25"/>
  <c r="L156" i="25"/>
  <c r="L140" i="25"/>
  <c r="L124" i="25"/>
  <c r="K90" i="25"/>
  <c r="K58" i="25"/>
  <c r="L56" i="25"/>
  <c r="K24" i="25"/>
  <c r="K16" i="25"/>
  <c r="K15" i="25"/>
  <c r="L14" i="25"/>
  <c r="L628" i="25"/>
  <c r="L626" i="25"/>
  <c r="K628" i="25"/>
  <c r="K626" i="25"/>
  <c r="L623" i="25"/>
  <c r="K623" i="25"/>
  <c r="L622" i="25"/>
  <c r="K622" i="25"/>
  <c r="J613" i="25"/>
  <c r="J611" i="25"/>
  <c r="J609" i="25"/>
  <c r="A624" i="25"/>
  <c r="I613" i="25"/>
  <c r="I611" i="25"/>
  <c r="I609" i="25"/>
  <c r="W624" i="25"/>
  <c r="I612" i="25"/>
  <c r="I610" i="25"/>
  <c r="I608" i="25"/>
  <c r="C634" i="25"/>
  <c r="I605" i="25"/>
  <c r="I603" i="25"/>
  <c r="I601" i="25"/>
  <c r="I599" i="25"/>
  <c r="I597" i="25"/>
  <c r="J607" i="25"/>
  <c r="J606" i="25"/>
  <c r="J604" i="25"/>
  <c r="J602" i="25"/>
  <c r="J600" i="25"/>
  <c r="J598" i="25"/>
  <c r="J612" i="25"/>
  <c r="J605" i="25"/>
  <c r="J603" i="25"/>
  <c r="J601" i="25"/>
  <c r="J599" i="25"/>
  <c r="J597" i="25"/>
  <c r="J595" i="25"/>
  <c r="J593" i="25"/>
  <c r="J608" i="25"/>
  <c r="I602" i="25"/>
  <c r="I594" i="25"/>
  <c r="I593" i="25"/>
  <c r="J592" i="25"/>
  <c r="J590" i="25"/>
  <c r="J588" i="25"/>
  <c r="J586" i="25"/>
  <c r="I607" i="25"/>
  <c r="I604" i="25"/>
  <c r="I592" i="25"/>
  <c r="I590" i="25"/>
  <c r="I588" i="25"/>
  <c r="I586" i="25"/>
  <c r="I584" i="25"/>
  <c r="I600" i="25"/>
  <c r="I596" i="25"/>
  <c r="I595" i="25"/>
  <c r="J594" i="25"/>
  <c r="I591" i="25"/>
  <c r="I589" i="25"/>
  <c r="I587" i="25"/>
  <c r="I585" i="25"/>
  <c r="I583" i="25"/>
  <c r="I581" i="25"/>
  <c r="I579" i="25"/>
  <c r="I598" i="25"/>
  <c r="J596" i="25"/>
  <c r="J589" i="25"/>
  <c r="J584" i="25"/>
  <c r="J583" i="25"/>
  <c r="I582" i="25"/>
  <c r="J580" i="25"/>
  <c r="I577" i="25"/>
  <c r="I575" i="25"/>
  <c r="I573" i="25"/>
  <c r="I571" i="25"/>
  <c r="I569" i="25"/>
  <c r="I567" i="25"/>
  <c r="I565" i="25"/>
  <c r="I563" i="25"/>
  <c r="I561" i="25"/>
  <c r="I559" i="25"/>
  <c r="I557" i="25"/>
  <c r="J610" i="25"/>
  <c r="I606" i="25"/>
  <c r="J591" i="25"/>
  <c r="J581" i="25"/>
  <c r="I580" i="25"/>
  <c r="J578" i="25"/>
  <c r="J576" i="25"/>
  <c r="J574" i="25"/>
  <c r="J572" i="25"/>
  <c r="J570" i="25"/>
  <c r="J568" i="25"/>
  <c r="J566" i="25"/>
  <c r="J587" i="25"/>
  <c r="J582" i="25"/>
  <c r="J577" i="25"/>
  <c r="J575" i="25"/>
  <c r="J573" i="25"/>
  <c r="J571" i="25"/>
  <c r="J569" i="25"/>
  <c r="J567" i="25"/>
  <c r="I578" i="25"/>
  <c r="I574" i="25"/>
  <c r="I566" i="25"/>
  <c r="J561" i="25"/>
  <c r="I560" i="25"/>
  <c r="J558" i="25"/>
  <c r="I556" i="25"/>
  <c r="I554" i="25"/>
  <c r="I552" i="25"/>
  <c r="I550" i="25"/>
  <c r="I548" i="25"/>
  <c r="I546" i="25"/>
  <c r="I544" i="25"/>
  <c r="I542" i="25"/>
  <c r="I540" i="25"/>
  <c r="I538" i="25"/>
  <c r="I536" i="25"/>
  <c r="I534" i="25"/>
  <c r="I532" i="25"/>
  <c r="I530" i="25"/>
  <c r="I528" i="25"/>
  <c r="I526" i="25"/>
  <c r="I576" i="25"/>
  <c r="I568" i="25"/>
  <c r="J565" i="25"/>
  <c r="J564" i="25"/>
  <c r="J559" i="25"/>
  <c r="I558" i="25"/>
  <c r="J555" i="25"/>
  <c r="J553" i="25"/>
  <c r="J551" i="25"/>
  <c r="J549" i="25"/>
  <c r="J547" i="25"/>
  <c r="J545" i="25"/>
  <c r="J543" i="25"/>
  <c r="J541" i="25"/>
  <c r="J539" i="25"/>
  <c r="J585" i="25"/>
  <c r="J579" i="25"/>
  <c r="I572" i="25"/>
  <c r="J563" i="25"/>
  <c r="I562" i="25"/>
  <c r="J560" i="25"/>
  <c r="J556" i="25"/>
  <c r="J554" i="25"/>
  <c r="J552" i="25"/>
  <c r="J550" i="25"/>
  <c r="J548" i="25"/>
  <c r="J546" i="25"/>
  <c r="J544" i="25"/>
  <c r="J542" i="25"/>
  <c r="J540" i="25"/>
  <c r="I570" i="25"/>
  <c r="I555" i="25"/>
  <c r="I547" i="25"/>
  <c r="I539" i="25"/>
  <c r="J537" i="25"/>
  <c r="J532" i="25"/>
  <c r="I531" i="25"/>
  <c r="J529" i="25"/>
  <c r="J524" i="25"/>
  <c r="I549" i="25"/>
  <c r="I541" i="25"/>
  <c r="J538" i="25"/>
  <c r="I537" i="25"/>
  <c r="J535" i="25"/>
  <c r="J530" i="25"/>
  <c r="I529" i="25"/>
  <c r="J527" i="25"/>
  <c r="I524" i="25"/>
  <c r="I553" i="25"/>
  <c r="I545" i="25"/>
  <c r="J534" i="25"/>
  <c r="I533" i="25"/>
  <c r="J531" i="25"/>
  <c r="J526" i="25"/>
  <c r="I525" i="25"/>
  <c r="I523" i="25"/>
  <c r="I521" i="25"/>
  <c r="I519" i="25"/>
  <c r="I517" i="25"/>
  <c r="I515" i="25"/>
  <c r="I513" i="25"/>
  <c r="I551" i="25"/>
  <c r="I535" i="25"/>
  <c r="J533" i="25"/>
  <c r="J528" i="25"/>
  <c r="J519" i="25"/>
  <c r="I518" i="25"/>
  <c r="J516" i="25"/>
  <c r="I510" i="25"/>
  <c r="I508" i="25"/>
  <c r="I506" i="25"/>
  <c r="I504" i="25"/>
  <c r="I502" i="25"/>
  <c r="I500" i="25"/>
  <c r="I498" i="25"/>
  <c r="I496" i="25"/>
  <c r="I494" i="25"/>
  <c r="I492" i="25"/>
  <c r="I490" i="25"/>
  <c r="I488" i="25"/>
  <c r="I486" i="25"/>
  <c r="I484" i="25"/>
  <c r="I482" i="25"/>
  <c r="I480" i="25"/>
  <c r="I478" i="25"/>
  <c r="I476" i="25"/>
  <c r="I474" i="25"/>
  <c r="I472" i="25"/>
  <c r="I470" i="25"/>
  <c r="I468" i="25"/>
  <c r="I466" i="25"/>
  <c r="J562" i="25"/>
  <c r="I527" i="25"/>
  <c r="J525" i="25"/>
  <c r="J522" i="25"/>
  <c r="J517" i="25"/>
  <c r="I516" i="25"/>
  <c r="J514" i="25"/>
  <c r="J511" i="25"/>
  <c r="J509" i="25"/>
  <c r="J507" i="25"/>
  <c r="J505" i="25"/>
  <c r="J503" i="25"/>
  <c r="J501" i="25"/>
  <c r="J499" i="25"/>
  <c r="J497" i="25"/>
  <c r="J495" i="25"/>
  <c r="J493" i="25"/>
  <c r="J491" i="25"/>
  <c r="J489" i="25"/>
  <c r="J487" i="25"/>
  <c r="J485" i="25"/>
  <c r="J483" i="25"/>
  <c r="I564" i="25"/>
  <c r="J557" i="25"/>
  <c r="I543" i="25"/>
  <c r="J536" i="25"/>
  <c r="J521" i="25"/>
  <c r="I520" i="25"/>
  <c r="J518" i="25"/>
  <c r="J513" i="25"/>
  <c r="I512" i="25"/>
  <c r="J510" i="25"/>
  <c r="J508" i="25"/>
  <c r="J506" i="25"/>
  <c r="J504" i="25"/>
  <c r="J502" i="25"/>
  <c r="J500" i="25"/>
  <c r="J498" i="25"/>
  <c r="J496" i="25"/>
  <c r="J494" i="25"/>
  <c r="J492" i="25"/>
  <c r="J490" i="25"/>
  <c r="J488" i="25"/>
  <c r="J486" i="25"/>
  <c r="I514" i="25"/>
  <c r="J512" i="25"/>
  <c r="I507" i="25"/>
  <c r="I499" i="25"/>
  <c r="I491" i="25"/>
  <c r="I483" i="25"/>
  <c r="J481" i="25"/>
  <c r="J476" i="25"/>
  <c r="I475" i="25"/>
  <c r="J473" i="25"/>
  <c r="J468" i="25"/>
  <c r="I467" i="25"/>
  <c r="J465" i="25"/>
  <c r="J463" i="25"/>
  <c r="J461" i="25"/>
  <c r="J459" i="25"/>
  <c r="J457" i="25"/>
  <c r="J455" i="25"/>
  <c r="J453" i="25"/>
  <c r="J451" i="25"/>
  <c r="J449" i="25"/>
  <c r="J447" i="25"/>
  <c r="J445" i="25"/>
  <c r="J443" i="25"/>
  <c r="J441" i="25"/>
  <c r="J439" i="25"/>
  <c r="J437" i="25"/>
  <c r="J435" i="25"/>
  <c r="J433" i="25"/>
  <c r="J431" i="25"/>
  <c r="J429" i="25"/>
  <c r="J427" i="25"/>
  <c r="J425" i="25"/>
  <c r="J423" i="25"/>
  <c r="J421" i="25"/>
  <c r="J419" i="25"/>
  <c r="J417" i="25"/>
  <c r="J415" i="25"/>
  <c r="J413" i="25"/>
  <c r="J411" i="25"/>
  <c r="J409" i="25"/>
  <c r="J407" i="25"/>
  <c r="J405" i="25"/>
  <c r="J403" i="25"/>
  <c r="J401" i="25"/>
  <c r="I509" i="25"/>
  <c r="I501" i="25"/>
  <c r="I493" i="25"/>
  <c r="I485" i="25"/>
  <c r="J482" i="25"/>
  <c r="I481" i="25"/>
  <c r="J479" i="25"/>
  <c r="J474" i="25"/>
  <c r="I473" i="25"/>
  <c r="J471" i="25"/>
  <c r="J466" i="25"/>
  <c r="I465" i="25"/>
  <c r="I463" i="25"/>
  <c r="I461" i="25"/>
  <c r="I459" i="25"/>
  <c r="I457" i="25"/>
  <c r="I455" i="25"/>
  <c r="I453" i="25"/>
  <c r="I451" i="25"/>
  <c r="I449" i="25"/>
  <c r="I447" i="25"/>
  <c r="I445" i="25"/>
  <c r="I443" i="25"/>
  <c r="I441" i="25"/>
  <c r="I439" i="25"/>
  <c r="I437" i="25"/>
  <c r="I435" i="25"/>
  <c r="I433" i="25"/>
  <c r="I431" i="25"/>
  <c r="I429" i="25"/>
  <c r="I522" i="25"/>
  <c r="J520" i="25"/>
  <c r="J515" i="25"/>
  <c r="I505" i="25"/>
  <c r="I497" i="25"/>
  <c r="I489" i="25"/>
  <c r="J478" i="25"/>
  <c r="I477" i="25"/>
  <c r="J475" i="25"/>
  <c r="J470" i="25"/>
  <c r="I469" i="25"/>
  <c r="J467" i="25"/>
  <c r="I464" i="25"/>
  <c r="I462" i="25"/>
  <c r="I460" i="25"/>
  <c r="I458" i="25"/>
  <c r="I456" i="25"/>
  <c r="I454" i="25"/>
  <c r="I452" i="25"/>
  <c r="I450" i="25"/>
  <c r="I448" i="25"/>
  <c r="I446" i="25"/>
  <c r="I444" i="25"/>
  <c r="I442" i="25"/>
  <c r="I440" i="25"/>
  <c r="I438" i="25"/>
  <c r="I436" i="25"/>
  <c r="I434" i="25"/>
  <c r="I432" i="25"/>
  <c r="I430" i="25"/>
  <c r="J523" i="25"/>
  <c r="I495" i="25"/>
  <c r="J480" i="25"/>
  <c r="J460" i="25"/>
  <c r="J452" i="25"/>
  <c r="J444" i="25"/>
  <c r="J436" i="25"/>
  <c r="I424" i="25"/>
  <c r="I423" i="25"/>
  <c r="J422" i="25"/>
  <c r="I416" i="25"/>
  <c r="I415" i="25"/>
  <c r="J414" i="25"/>
  <c r="I408" i="25"/>
  <c r="I407" i="25"/>
  <c r="J406" i="25"/>
  <c r="I503" i="25"/>
  <c r="I479" i="25"/>
  <c r="J477" i="25"/>
  <c r="J472" i="25"/>
  <c r="J462" i="25"/>
  <c r="J454" i="25"/>
  <c r="J446" i="25"/>
  <c r="J438" i="25"/>
  <c r="J430" i="25"/>
  <c r="I422" i="25"/>
  <c r="I421" i="25"/>
  <c r="J420" i="25"/>
  <c r="I414" i="25"/>
  <c r="I413" i="25"/>
  <c r="J412" i="25"/>
  <c r="I406" i="25"/>
  <c r="I405" i="25"/>
  <c r="J404" i="25"/>
  <c r="I487" i="25"/>
  <c r="J484" i="25"/>
  <c r="J458" i="25"/>
  <c r="J450" i="25"/>
  <c r="J442" i="25"/>
  <c r="J434" i="25"/>
  <c r="I428" i="25"/>
  <c r="I426" i="25"/>
  <c r="I425" i="25"/>
  <c r="J424" i="25"/>
  <c r="I418" i="25"/>
  <c r="I417" i="25"/>
  <c r="J416" i="25"/>
  <c r="I410" i="25"/>
  <c r="I409" i="25"/>
  <c r="J408" i="25"/>
  <c r="I402" i="25"/>
  <c r="I401" i="25"/>
  <c r="J400" i="25"/>
  <c r="J398" i="25"/>
  <c r="J396" i="25"/>
  <c r="J394" i="25"/>
  <c r="J392" i="25"/>
  <c r="J390" i="25"/>
  <c r="J388" i="25"/>
  <c r="J386" i="25"/>
  <c r="J384" i="25"/>
  <c r="J382" i="25"/>
  <c r="J380" i="25"/>
  <c r="J378" i="25"/>
  <c r="J376" i="25"/>
  <c r="J456" i="25"/>
  <c r="I427" i="25"/>
  <c r="J426" i="25"/>
  <c r="I420" i="25"/>
  <c r="I397" i="25"/>
  <c r="I396" i="25"/>
  <c r="J395" i="25"/>
  <c r="I389" i="25"/>
  <c r="I388" i="25"/>
  <c r="J387" i="25"/>
  <c r="I381" i="25"/>
  <c r="I380" i="25"/>
  <c r="J379" i="25"/>
  <c r="J374" i="25"/>
  <c r="J372" i="25"/>
  <c r="J370" i="25"/>
  <c r="J368" i="25"/>
  <c r="J366" i="25"/>
  <c r="J364" i="25"/>
  <c r="J362" i="25"/>
  <c r="J360" i="25"/>
  <c r="J358" i="25"/>
  <c r="J356" i="25"/>
  <c r="J354" i="25"/>
  <c r="J352" i="25"/>
  <c r="J350" i="25"/>
  <c r="J348" i="25"/>
  <c r="J346" i="25"/>
  <c r="J344" i="25"/>
  <c r="J342" i="25"/>
  <c r="J340" i="25"/>
  <c r="J338" i="25"/>
  <c r="J336" i="25"/>
  <c r="J334" i="25"/>
  <c r="J332" i="25"/>
  <c r="J330" i="25"/>
  <c r="J328" i="25"/>
  <c r="J326" i="25"/>
  <c r="J324" i="25"/>
  <c r="J322" i="25"/>
  <c r="J320" i="25"/>
  <c r="J318" i="25"/>
  <c r="J316" i="25"/>
  <c r="J314" i="25"/>
  <c r="J312" i="25"/>
  <c r="J310" i="25"/>
  <c r="J308" i="25"/>
  <c r="J306" i="25"/>
  <c r="J304" i="25"/>
  <c r="J302" i="25"/>
  <c r="J300" i="25"/>
  <c r="J298" i="25"/>
  <c r="J296" i="25"/>
  <c r="J294" i="25"/>
  <c r="J292" i="25"/>
  <c r="J290" i="25"/>
  <c r="J288" i="25"/>
  <c r="J286" i="25"/>
  <c r="J284" i="25"/>
  <c r="J282" i="25"/>
  <c r="J280" i="25"/>
  <c r="I511" i="25"/>
  <c r="I471" i="25"/>
  <c r="J464" i="25"/>
  <c r="J432" i="25"/>
  <c r="I419" i="25"/>
  <c r="J418" i="25"/>
  <c r="I412" i="25"/>
  <c r="I395" i="25"/>
  <c r="I394" i="25"/>
  <c r="J393" i="25"/>
  <c r="I387" i="25"/>
  <c r="I386" i="25"/>
  <c r="J385" i="25"/>
  <c r="I379" i="25"/>
  <c r="I378" i="25"/>
  <c r="J377" i="25"/>
  <c r="I374" i="25"/>
  <c r="I372" i="25"/>
  <c r="I370" i="25"/>
  <c r="I368" i="25"/>
  <c r="I366" i="25"/>
  <c r="J469" i="25"/>
  <c r="J448" i="25"/>
  <c r="J428" i="25"/>
  <c r="I403" i="25"/>
  <c r="J402" i="25"/>
  <c r="I399" i="25"/>
  <c r="I398" i="25"/>
  <c r="J397" i="25"/>
  <c r="I391" i="25"/>
  <c r="I390" i="25"/>
  <c r="J389" i="25"/>
  <c r="I383" i="25"/>
  <c r="I382" i="25"/>
  <c r="J381" i="25"/>
  <c r="I375" i="25"/>
  <c r="I373" i="25"/>
  <c r="I371" i="25"/>
  <c r="I369" i="25"/>
  <c r="I367" i="25"/>
  <c r="I365" i="25"/>
  <c r="I363" i="25"/>
  <c r="I361" i="25"/>
  <c r="I359" i="25"/>
  <c r="I357" i="25"/>
  <c r="I355" i="25"/>
  <c r="I353" i="25"/>
  <c r="I351" i="25"/>
  <c r="I349" i="25"/>
  <c r="I347" i="25"/>
  <c r="I345" i="25"/>
  <c r="J440" i="25"/>
  <c r="J410" i="25"/>
  <c r="I400" i="25"/>
  <c r="J399" i="25"/>
  <c r="I393" i="25"/>
  <c r="J369" i="25"/>
  <c r="I339" i="25"/>
  <c r="I338" i="25"/>
  <c r="J337" i="25"/>
  <c r="I331" i="25"/>
  <c r="I330" i="25"/>
  <c r="J329" i="25"/>
  <c r="I323" i="25"/>
  <c r="I322" i="25"/>
  <c r="J321" i="25"/>
  <c r="I315" i="25"/>
  <c r="I314" i="25"/>
  <c r="J313" i="25"/>
  <c r="I307" i="25"/>
  <c r="I306" i="25"/>
  <c r="J305" i="25"/>
  <c r="I299" i="25"/>
  <c r="I298" i="25"/>
  <c r="J297" i="25"/>
  <c r="I291" i="25"/>
  <c r="I290" i="25"/>
  <c r="J289" i="25"/>
  <c r="I283" i="25"/>
  <c r="I282" i="25"/>
  <c r="J281" i="25"/>
  <c r="J277" i="25"/>
  <c r="J275" i="25"/>
  <c r="J273" i="25"/>
  <c r="J271" i="25"/>
  <c r="J269" i="25"/>
  <c r="J267" i="25"/>
  <c r="J265" i="25"/>
  <c r="I392" i="25"/>
  <c r="J391" i="25"/>
  <c r="I385" i="25"/>
  <c r="J371" i="25"/>
  <c r="I364" i="25"/>
  <c r="J363" i="25"/>
  <c r="I360" i="25"/>
  <c r="J359" i="25"/>
  <c r="I356" i="25"/>
  <c r="J355" i="25"/>
  <c r="I352" i="25"/>
  <c r="J351" i="25"/>
  <c r="I348" i="25"/>
  <c r="J347" i="25"/>
  <c r="I344" i="25"/>
  <c r="J343" i="25"/>
  <c r="I337" i="25"/>
  <c r="I336" i="25"/>
  <c r="J335" i="25"/>
  <c r="I329" i="25"/>
  <c r="I328" i="25"/>
  <c r="J327" i="25"/>
  <c r="I321" i="25"/>
  <c r="I320" i="25"/>
  <c r="J319" i="25"/>
  <c r="I313" i="25"/>
  <c r="I312" i="25"/>
  <c r="J311" i="25"/>
  <c r="I305" i="25"/>
  <c r="I304" i="25"/>
  <c r="J303" i="25"/>
  <c r="I297" i="25"/>
  <c r="I296" i="25"/>
  <c r="J295" i="25"/>
  <c r="I289" i="25"/>
  <c r="I288" i="25"/>
  <c r="J287" i="25"/>
  <c r="I281" i="25"/>
  <c r="I280" i="25"/>
  <c r="J279" i="25"/>
  <c r="I277" i="25"/>
  <c r="I275" i="25"/>
  <c r="I273" i="25"/>
  <c r="I271" i="25"/>
  <c r="I269" i="25"/>
  <c r="I267" i="25"/>
  <c r="I265" i="25"/>
  <c r="I411" i="25"/>
  <c r="I404" i="25"/>
  <c r="I376" i="25"/>
  <c r="J375" i="25"/>
  <c r="J367" i="25"/>
  <c r="I362" i="25"/>
  <c r="J361" i="25"/>
  <c r="I358" i="25"/>
  <c r="J357" i="25"/>
  <c r="I354" i="25"/>
  <c r="J353" i="25"/>
  <c r="I350" i="25"/>
  <c r="J349" i="25"/>
  <c r="I346" i="25"/>
  <c r="J345" i="25"/>
  <c r="I341" i="25"/>
  <c r="I340" i="25"/>
  <c r="J339" i="25"/>
  <c r="I333" i="25"/>
  <c r="I332" i="25"/>
  <c r="J331" i="25"/>
  <c r="I325" i="25"/>
  <c r="I324" i="25"/>
  <c r="J323" i="25"/>
  <c r="I317" i="25"/>
  <c r="I316" i="25"/>
  <c r="J315" i="25"/>
  <c r="I309" i="25"/>
  <c r="I308" i="25"/>
  <c r="J307" i="25"/>
  <c r="I301" i="25"/>
  <c r="I300" i="25"/>
  <c r="J299" i="25"/>
  <c r="I293" i="25"/>
  <c r="I292" i="25"/>
  <c r="J291" i="25"/>
  <c r="I285" i="25"/>
  <c r="I284" i="25"/>
  <c r="J283" i="25"/>
  <c r="I278" i="25"/>
  <c r="I276" i="25"/>
  <c r="I274" i="25"/>
  <c r="I272" i="25"/>
  <c r="I270" i="25"/>
  <c r="I268" i="25"/>
  <c r="I266" i="25"/>
  <c r="I264" i="25"/>
  <c r="I262" i="25"/>
  <c r="I260" i="25"/>
  <c r="I258" i="25"/>
  <c r="I256" i="25"/>
  <c r="I254" i="25"/>
  <c r="I252" i="25"/>
  <c r="I250" i="25"/>
  <c r="I248" i="25"/>
  <c r="I246" i="25"/>
  <c r="I244" i="25"/>
  <c r="I242" i="25"/>
  <c r="I240" i="25"/>
  <c r="I238" i="25"/>
  <c r="I236" i="25"/>
  <c r="I234" i="25"/>
  <c r="I232" i="25"/>
  <c r="I230" i="25"/>
  <c r="I228" i="25"/>
  <c r="I226" i="25"/>
  <c r="J365" i="25"/>
  <c r="I326" i="25"/>
  <c r="J325" i="25"/>
  <c r="I319" i="25"/>
  <c r="I294" i="25"/>
  <c r="J293" i="25"/>
  <c r="I287" i="25"/>
  <c r="J272" i="25"/>
  <c r="J263" i="25"/>
  <c r="J258" i="25"/>
  <c r="I257" i="25"/>
  <c r="J255" i="25"/>
  <c r="J250" i="25"/>
  <c r="I249" i="25"/>
  <c r="J247" i="25"/>
  <c r="J242" i="25"/>
  <c r="I241" i="25"/>
  <c r="J239" i="25"/>
  <c r="J234" i="25"/>
  <c r="I233" i="25"/>
  <c r="J231" i="25"/>
  <c r="J226" i="25"/>
  <c r="I224" i="25"/>
  <c r="I222" i="25"/>
  <c r="I220" i="25"/>
  <c r="I218" i="25"/>
  <c r="I216" i="25"/>
  <c r="I214" i="25"/>
  <c r="I212" i="25"/>
  <c r="I210" i="25"/>
  <c r="I208" i="25"/>
  <c r="I206" i="25"/>
  <c r="I204" i="25"/>
  <c r="I202" i="25"/>
  <c r="I200" i="25"/>
  <c r="I198" i="25"/>
  <c r="I196" i="25"/>
  <c r="I194" i="25"/>
  <c r="I192" i="25"/>
  <c r="I190" i="25"/>
  <c r="I188" i="25"/>
  <c r="I186" i="25"/>
  <c r="I184" i="25"/>
  <c r="I182" i="25"/>
  <c r="I180" i="25"/>
  <c r="I178" i="25"/>
  <c r="I176" i="25"/>
  <c r="I174" i="25"/>
  <c r="I172" i="25"/>
  <c r="I170" i="25"/>
  <c r="I168" i="25"/>
  <c r="I166" i="25"/>
  <c r="I164" i="25"/>
  <c r="I162" i="25"/>
  <c r="I160" i="25"/>
  <c r="I158" i="25"/>
  <c r="I156" i="25"/>
  <c r="I154" i="25"/>
  <c r="I152" i="25"/>
  <c r="I150" i="25"/>
  <c r="I148" i="25"/>
  <c r="I146" i="25"/>
  <c r="I144" i="25"/>
  <c r="I142" i="25"/>
  <c r="I140" i="25"/>
  <c r="I138" i="25"/>
  <c r="I136" i="25"/>
  <c r="I134" i="25"/>
  <c r="I132" i="25"/>
  <c r="I130" i="25"/>
  <c r="I128" i="25"/>
  <c r="I126" i="25"/>
  <c r="I124" i="25"/>
  <c r="I122" i="25"/>
  <c r="I120" i="25"/>
  <c r="J373" i="25"/>
  <c r="I343" i="25"/>
  <c r="I318" i="25"/>
  <c r="J317" i="25"/>
  <c r="I311" i="25"/>
  <c r="I286" i="25"/>
  <c r="J285" i="25"/>
  <c r="I279" i="25"/>
  <c r="J274" i="25"/>
  <c r="J266" i="25"/>
  <c r="J264" i="25"/>
  <c r="I263" i="25"/>
  <c r="J261" i="25"/>
  <c r="J256" i="25"/>
  <c r="I255" i="25"/>
  <c r="J253" i="25"/>
  <c r="J248" i="25"/>
  <c r="I247" i="25"/>
  <c r="J245" i="25"/>
  <c r="J240" i="25"/>
  <c r="I239" i="25"/>
  <c r="J237" i="25"/>
  <c r="J232" i="25"/>
  <c r="I231" i="25"/>
  <c r="J229" i="25"/>
  <c r="J225" i="25"/>
  <c r="J223" i="25"/>
  <c r="J221" i="25"/>
  <c r="J383" i="25"/>
  <c r="I334" i="25"/>
  <c r="J333" i="25"/>
  <c r="I327" i="25"/>
  <c r="I302" i="25"/>
  <c r="J301" i="25"/>
  <c r="I295" i="25"/>
  <c r="J278" i="25"/>
  <c r="J270" i="25"/>
  <c r="J260" i="25"/>
  <c r="I259" i="25"/>
  <c r="J257" i="25"/>
  <c r="J252" i="25"/>
  <c r="I251" i="25"/>
  <c r="J249" i="25"/>
  <c r="J244" i="25"/>
  <c r="I243" i="25"/>
  <c r="J241" i="25"/>
  <c r="J236" i="25"/>
  <c r="I235" i="25"/>
  <c r="J233" i="25"/>
  <c r="J228" i="25"/>
  <c r="I227" i="25"/>
  <c r="J224" i="25"/>
  <c r="J222" i="25"/>
  <c r="J220" i="25"/>
  <c r="J218" i="25"/>
  <c r="J216" i="25"/>
  <c r="J214" i="25"/>
  <c r="J212" i="25"/>
  <c r="J210" i="25"/>
  <c r="J208" i="25"/>
  <c r="J206" i="25"/>
  <c r="J204" i="25"/>
  <c r="J202" i="25"/>
  <c r="J200" i="25"/>
  <c r="J198" i="25"/>
  <c r="J196" i="25"/>
  <c r="J194" i="25"/>
  <c r="J192" i="25"/>
  <c r="J190" i="25"/>
  <c r="J188" i="25"/>
  <c r="J186" i="25"/>
  <c r="J184" i="25"/>
  <c r="J182" i="25"/>
  <c r="J180" i="25"/>
  <c r="J178" i="25"/>
  <c r="J176" i="25"/>
  <c r="J174" i="25"/>
  <c r="J172" i="25"/>
  <c r="J170" i="25"/>
  <c r="J168" i="25"/>
  <c r="J166" i="25"/>
  <c r="J164" i="25"/>
  <c r="J162" i="25"/>
  <c r="J160" i="25"/>
  <c r="J158" i="25"/>
  <c r="J156" i="25"/>
  <c r="J154" i="25"/>
  <c r="J152" i="25"/>
  <c r="J150" i="25"/>
  <c r="J148" i="25"/>
  <c r="J146" i="25"/>
  <c r="J144" i="25"/>
  <c r="J142" i="25"/>
  <c r="J140" i="25"/>
  <c r="J138" i="25"/>
  <c r="J136" i="25"/>
  <c r="J134" i="25"/>
  <c r="J132" i="25"/>
  <c r="J130" i="25"/>
  <c r="J128" i="25"/>
  <c r="J126" i="25"/>
  <c r="J124" i="25"/>
  <c r="J122" i="25"/>
  <c r="J120" i="25"/>
  <c r="J118" i="25"/>
  <c r="J116" i="25"/>
  <c r="J114" i="25"/>
  <c r="J112" i="25"/>
  <c r="J110" i="25"/>
  <c r="J108" i="25"/>
  <c r="J106" i="25"/>
  <c r="J104" i="25"/>
  <c r="J102" i="25"/>
  <c r="J100" i="25"/>
  <c r="J98" i="25"/>
  <c r="J96" i="25"/>
  <c r="J94" i="25"/>
  <c r="J92" i="25"/>
  <c r="J90" i="25"/>
  <c r="J88" i="25"/>
  <c r="J86" i="25"/>
  <c r="J84" i="25"/>
  <c r="J82" i="25"/>
  <c r="J80" i="25"/>
  <c r="J78" i="25"/>
  <c r="J76" i="25"/>
  <c r="J74" i="25"/>
  <c r="J72" i="25"/>
  <c r="J70" i="25"/>
  <c r="J68" i="25"/>
  <c r="J66" i="25"/>
  <c r="J64" i="25"/>
  <c r="J62" i="25"/>
  <c r="J60" i="25"/>
  <c r="J58" i="25"/>
  <c r="J56" i="25"/>
  <c r="J54" i="25"/>
  <c r="J52" i="25"/>
  <c r="J50" i="25"/>
  <c r="J48" i="25"/>
  <c r="J46" i="25"/>
  <c r="J44" i="25"/>
  <c r="J42" i="25"/>
  <c r="J40" i="25"/>
  <c r="J38" i="25"/>
  <c r="J36" i="25"/>
  <c r="J34" i="25"/>
  <c r="J32" i="25"/>
  <c r="J30" i="25"/>
  <c r="J309" i="25"/>
  <c r="J276" i="25"/>
  <c r="I245" i="25"/>
  <c r="J243" i="25"/>
  <c r="J238" i="25"/>
  <c r="I217" i="25"/>
  <c r="I213" i="25"/>
  <c r="I209" i="25"/>
  <c r="I205" i="25"/>
  <c r="I201" i="25"/>
  <c r="I197" i="25"/>
  <c r="I193" i="25"/>
  <c r="I189" i="25"/>
  <c r="I185" i="25"/>
  <c r="I181" i="25"/>
  <c r="I177" i="25"/>
  <c r="I173" i="25"/>
  <c r="I169" i="25"/>
  <c r="I165" i="25"/>
  <c r="I161" i="25"/>
  <c r="I157" i="25"/>
  <c r="I153" i="25"/>
  <c r="I149" i="25"/>
  <c r="I145" i="25"/>
  <c r="I141" i="25"/>
  <c r="I137" i="25"/>
  <c r="I133" i="25"/>
  <c r="I129" i="25"/>
  <c r="I125" i="25"/>
  <c r="I121" i="25"/>
  <c r="J119" i="25"/>
  <c r="I113" i="25"/>
  <c r="I112" i="25"/>
  <c r="J111" i="25"/>
  <c r="I105" i="25"/>
  <c r="I104" i="25"/>
  <c r="J103" i="25"/>
  <c r="I97" i="25"/>
  <c r="I96" i="25"/>
  <c r="J95" i="25"/>
  <c r="I89" i="25"/>
  <c r="I88" i="25"/>
  <c r="J87" i="25"/>
  <c r="I81" i="25"/>
  <c r="I80" i="25"/>
  <c r="J79" i="25"/>
  <c r="I73" i="25"/>
  <c r="I72" i="25"/>
  <c r="J71" i="25"/>
  <c r="I65" i="25"/>
  <c r="I64" i="25"/>
  <c r="I49" i="25"/>
  <c r="I40" i="25"/>
  <c r="I26" i="25"/>
  <c r="I377" i="25"/>
  <c r="J262" i="25"/>
  <c r="I237" i="25"/>
  <c r="J235" i="25"/>
  <c r="J230" i="25"/>
  <c r="I221" i="25"/>
  <c r="J219" i="25"/>
  <c r="J215" i="25"/>
  <c r="J211" i="25"/>
  <c r="J207" i="25"/>
  <c r="J203" i="25"/>
  <c r="J199" i="25"/>
  <c r="J195" i="25"/>
  <c r="J191" i="25"/>
  <c r="J187" i="25"/>
  <c r="J183" i="25"/>
  <c r="J179" i="25"/>
  <c r="J175" i="25"/>
  <c r="J171" i="25"/>
  <c r="J167" i="25"/>
  <c r="J163" i="25"/>
  <c r="J159" i="25"/>
  <c r="J155" i="25"/>
  <c r="J151" i="25"/>
  <c r="J147" i="25"/>
  <c r="J143" i="25"/>
  <c r="J139" i="25"/>
  <c r="J135" i="25"/>
  <c r="J131" i="25"/>
  <c r="J127" i="25"/>
  <c r="J123" i="25"/>
  <c r="I119" i="25"/>
  <c r="I118" i="25"/>
  <c r="J117" i="25"/>
  <c r="I111" i="25"/>
  <c r="I110" i="25"/>
  <c r="J109" i="25"/>
  <c r="I103" i="25"/>
  <c r="I102" i="25"/>
  <c r="J101" i="25"/>
  <c r="I95" i="25"/>
  <c r="I94" i="25"/>
  <c r="J93" i="25"/>
  <c r="I87" i="25"/>
  <c r="I86" i="25"/>
  <c r="J85" i="25"/>
  <c r="I79" i="25"/>
  <c r="I78" i="25"/>
  <c r="J77" i="25"/>
  <c r="I71" i="25"/>
  <c r="I70" i="25"/>
  <c r="J69" i="25"/>
  <c r="I63" i="25"/>
  <c r="I62" i="25"/>
  <c r="J61" i="25"/>
  <c r="I55" i="25"/>
  <c r="I54" i="25"/>
  <c r="J53" i="25"/>
  <c r="I47" i="25"/>
  <c r="I46" i="25"/>
  <c r="J45" i="25"/>
  <c r="J341" i="25"/>
  <c r="I310" i="25"/>
  <c r="I303" i="25"/>
  <c r="J268" i="25"/>
  <c r="I253" i="25"/>
  <c r="J251" i="25"/>
  <c r="J246" i="25"/>
  <c r="I225" i="25"/>
  <c r="J217" i="25"/>
  <c r="J213" i="25"/>
  <c r="J209" i="25"/>
  <c r="J205" i="25"/>
  <c r="J201" i="25"/>
  <c r="J197" i="25"/>
  <c r="J193" i="25"/>
  <c r="J189" i="25"/>
  <c r="J185" i="25"/>
  <c r="J181" i="25"/>
  <c r="J177" i="25"/>
  <c r="J173" i="25"/>
  <c r="J169" i="25"/>
  <c r="J165" i="25"/>
  <c r="J161" i="25"/>
  <c r="J157" i="25"/>
  <c r="J153" i="25"/>
  <c r="J149" i="25"/>
  <c r="J145" i="25"/>
  <c r="J141" i="25"/>
  <c r="J137" i="25"/>
  <c r="J133" i="25"/>
  <c r="J129" i="25"/>
  <c r="J125" i="25"/>
  <c r="J121" i="25"/>
  <c r="I115" i="25"/>
  <c r="I114" i="25"/>
  <c r="J113" i="25"/>
  <c r="I107" i="25"/>
  <c r="I106" i="25"/>
  <c r="J105" i="25"/>
  <c r="I99" i="25"/>
  <c r="I98" i="25"/>
  <c r="J97" i="25"/>
  <c r="I91" i="25"/>
  <c r="I90" i="25"/>
  <c r="J89" i="25"/>
  <c r="I83" i="25"/>
  <c r="I82" i="25"/>
  <c r="J81" i="25"/>
  <c r="I75" i="25"/>
  <c r="I74" i="25"/>
  <c r="J73" i="25"/>
  <c r="I67" i="25"/>
  <c r="I66" i="25"/>
  <c r="J65" i="25"/>
  <c r="I59" i="25"/>
  <c r="I58" i="25"/>
  <c r="J57" i="25"/>
  <c r="I51" i="25"/>
  <c r="I50" i="25"/>
  <c r="J49" i="25"/>
  <c r="I43" i="25"/>
  <c r="I42" i="25"/>
  <c r="J41" i="25"/>
  <c r="I35" i="25"/>
  <c r="I34" i="25"/>
  <c r="J33" i="25"/>
  <c r="J28" i="25"/>
  <c r="J26" i="25"/>
  <c r="J24" i="25"/>
  <c r="J22" i="25"/>
  <c r="J20" i="25"/>
  <c r="J18" i="25"/>
  <c r="J16" i="25"/>
  <c r="J14" i="25"/>
  <c r="J63" i="25"/>
  <c r="I57" i="25"/>
  <c r="I56" i="25"/>
  <c r="J55" i="25"/>
  <c r="I48" i="25"/>
  <c r="J47" i="25"/>
  <c r="I41" i="25"/>
  <c r="J39" i="25"/>
  <c r="I33" i="25"/>
  <c r="I32" i="25"/>
  <c r="J31" i="25"/>
  <c r="I28" i="25"/>
  <c r="I261" i="25"/>
  <c r="J254" i="25"/>
  <c r="I223" i="25"/>
  <c r="I211" i="25"/>
  <c r="I195" i="25"/>
  <c r="I179" i="25"/>
  <c r="I163" i="25"/>
  <c r="I147" i="25"/>
  <c r="I131" i="25"/>
  <c r="I108" i="25"/>
  <c r="J107" i="25"/>
  <c r="I101" i="25"/>
  <c r="I76" i="25"/>
  <c r="J75" i="25"/>
  <c r="I69" i="25"/>
  <c r="I44" i="25"/>
  <c r="J43" i="25"/>
  <c r="I36" i="25"/>
  <c r="I30" i="25"/>
  <c r="J29" i="25"/>
  <c r="J27" i="25"/>
  <c r="I23" i="25"/>
  <c r="I22" i="25"/>
  <c r="I187" i="25"/>
  <c r="I155" i="25"/>
  <c r="I92" i="25"/>
  <c r="I85" i="25"/>
  <c r="J59" i="25"/>
  <c r="I18" i="25"/>
  <c r="I335" i="25"/>
  <c r="I229" i="25"/>
  <c r="I215" i="25"/>
  <c r="I199" i="25"/>
  <c r="I183" i="25"/>
  <c r="I167" i="25"/>
  <c r="I151" i="25"/>
  <c r="I135" i="25"/>
  <c r="I100" i="25"/>
  <c r="J99" i="25"/>
  <c r="I93" i="25"/>
  <c r="I68" i="25"/>
  <c r="J67" i="25"/>
  <c r="I61" i="25"/>
  <c r="I39" i="25"/>
  <c r="J35" i="25"/>
  <c r="I29" i="25"/>
  <c r="I27" i="25"/>
  <c r="I21" i="25"/>
  <c r="I20" i="25"/>
  <c r="J19" i="25"/>
  <c r="I342" i="25"/>
  <c r="J259" i="25"/>
  <c r="I203" i="25"/>
  <c r="I123" i="25"/>
  <c r="J91" i="25"/>
  <c r="I60" i="25"/>
  <c r="I38" i="25"/>
  <c r="J37" i="25"/>
  <c r="I19" i="25"/>
  <c r="I384" i="25"/>
  <c r="J227" i="25"/>
  <c r="I207" i="25"/>
  <c r="I191" i="25"/>
  <c r="I175" i="25"/>
  <c r="I159" i="25"/>
  <c r="I143" i="25"/>
  <c r="I127" i="25"/>
  <c r="I116" i="25"/>
  <c r="J115" i="25"/>
  <c r="I109" i="25"/>
  <c r="I84" i="25"/>
  <c r="J83" i="25"/>
  <c r="I77" i="25"/>
  <c r="I52" i="25"/>
  <c r="J51" i="25"/>
  <c r="I45" i="25"/>
  <c r="I37" i="25"/>
  <c r="I31" i="25"/>
  <c r="I25" i="25"/>
  <c r="I24" i="25"/>
  <c r="J23" i="25"/>
  <c r="I17" i="25"/>
  <c r="I16" i="25"/>
  <c r="J15" i="25"/>
  <c r="J21" i="25"/>
  <c r="I15" i="25"/>
  <c r="I14" i="25"/>
  <c r="J13" i="25"/>
  <c r="I13" i="25"/>
  <c r="I219" i="25"/>
  <c r="I171" i="25"/>
  <c r="I139" i="25"/>
  <c r="I117" i="25"/>
  <c r="I53" i="25"/>
  <c r="J25" i="25"/>
  <c r="J17" i="25"/>
  <c r="I628" i="25"/>
  <c r="J626" i="25"/>
  <c r="I626" i="25"/>
  <c r="J628" i="25"/>
  <c r="J623" i="25"/>
  <c r="I623" i="25"/>
  <c r="J622" i="25"/>
  <c r="I622" i="25"/>
  <c r="B355" i="2"/>
  <c r="F71" i="1"/>
  <c r="F70" i="1"/>
  <c r="A355" i="2"/>
  <c r="B220" i="2"/>
  <c r="B236" i="2"/>
  <c r="C5" i="17"/>
  <c r="E64" i="1"/>
  <c r="C4" i="17"/>
  <c r="D49" i="16" l="1"/>
  <c r="O625" i="25"/>
  <c r="P625" i="25"/>
  <c r="O624" i="25"/>
  <c r="P624" i="25"/>
  <c r="L625" i="25"/>
  <c r="D625" i="25"/>
  <c r="K625" i="25"/>
  <c r="C625" i="25"/>
  <c r="I625" i="25"/>
  <c r="E625" i="25"/>
  <c r="F625" i="25"/>
  <c r="J625" i="25"/>
  <c r="A629" i="25"/>
  <c r="A627" i="25"/>
  <c r="K624" i="25"/>
  <c r="C624" i="25"/>
  <c r="N624" i="25"/>
  <c r="J624" i="25"/>
  <c r="F624" i="25"/>
  <c r="L624" i="25"/>
  <c r="D624" i="25"/>
  <c r="E624" i="25"/>
  <c r="I624" i="25"/>
  <c r="C7" i="17"/>
  <c r="M81" i="17" s="1"/>
  <c r="F72" i="1"/>
  <c r="A629" i="17"/>
  <c r="A627" i="17"/>
  <c r="H627" i="17" s="1"/>
  <c r="J628" i="17"/>
  <c r="I628" i="17"/>
  <c r="K628" i="17"/>
  <c r="L628" i="17"/>
  <c r="J610" i="17"/>
  <c r="I613" i="17"/>
  <c r="J606" i="17"/>
  <c r="J602" i="17"/>
  <c r="J598" i="17"/>
  <c r="C634" i="17"/>
  <c r="I612" i="17"/>
  <c r="I608" i="17"/>
  <c r="I604" i="17"/>
  <c r="I600" i="17"/>
  <c r="I596" i="17"/>
  <c r="J592" i="17"/>
  <c r="J588" i="17"/>
  <c r="J584" i="17"/>
  <c r="J580" i="17"/>
  <c r="J576" i="17"/>
  <c r="J572" i="17"/>
  <c r="J568" i="17"/>
  <c r="J564" i="17"/>
  <c r="J560" i="17"/>
  <c r="J556" i="17"/>
  <c r="J552" i="17"/>
  <c r="J548" i="17"/>
  <c r="J544" i="17"/>
  <c r="J587" i="17"/>
  <c r="J579" i="17"/>
  <c r="J571" i="17"/>
  <c r="J563" i="17"/>
  <c r="J555" i="17"/>
  <c r="J547" i="17"/>
  <c r="J541" i="17"/>
  <c r="J537" i="17"/>
  <c r="J533" i="17"/>
  <c r="J529" i="17"/>
  <c r="J525" i="17"/>
  <c r="J521" i="17"/>
  <c r="I588" i="17"/>
  <c r="I580" i="17"/>
  <c r="I572" i="17"/>
  <c r="I564" i="17"/>
  <c r="I556" i="17"/>
  <c r="I548" i="17"/>
  <c r="J542" i="17"/>
  <c r="J538" i="17"/>
  <c r="J534" i="17"/>
  <c r="J530" i="17"/>
  <c r="J526" i="17"/>
  <c r="J522" i="17"/>
  <c r="I520" i="17"/>
  <c r="I515" i="17"/>
  <c r="I511" i="17"/>
  <c r="I507" i="17"/>
  <c r="I503" i="17"/>
  <c r="I499" i="17"/>
  <c r="I495" i="17"/>
  <c r="I491" i="17"/>
  <c r="I487" i="17"/>
  <c r="I483" i="17"/>
  <c r="I479" i="17"/>
  <c r="I475" i="17"/>
  <c r="I471" i="17"/>
  <c r="I467" i="17"/>
  <c r="I463" i="17"/>
  <c r="I459" i="17"/>
  <c r="I455" i="17"/>
  <c r="I451" i="17"/>
  <c r="I447" i="17"/>
  <c r="I443" i="17"/>
  <c r="I439" i="17"/>
  <c r="I435" i="17"/>
  <c r="I431" i="17"/>
  <c r="I427" i="17"/>
  <c r="I423" i="17"/>
  <c r="I419" i="17"/>
  <c r="I518" i="17"/>
  <c r="I514" i="17"/>
  <c r="I510" i="17"/>
  <c r="I506" i="17"/>
  <c r="I502" i="17"/>
  <c r="I498" i="17"/>
  <c r="I494" i="17"/>
  <c r="I490" i="17"/>
  <c r="I486" i="17"/>
  <c r="I482" i="17"/>
  <c r="I478" i="17"/>
  <c r="I474" i="17"/>
  <c r="I470" i="17"/>
  <c r="I466" i="17"/>
  <c r="I462" i="17"/>
  <c r="I458" i="17"/>
  <c r="I454" i="17"/>
  <c r="I450" i="17"/>
  <c r="I446" i="17"/>
  <c r="I442" i="17"/>
  <c r="I438" i="17"/>
  <c r="I434" i="17"/>
  <c r="I430" i="17"/>
  <c r="I426" i="17"/>
  <c r="I422" i="17"/>
  <c r="I418" i="17"/>
  <c r="I414" i="17"/>
  <c r="I410" i="17"/>
  <c r="I406" i="17"/>
  <c r="I402" i="17"/>
  <c r="I398" i="17"/>
  <c r="I394" i="17"/>
  <c r="I390" i="17"/>
  <c r="I386" i="17"/>
  <c r="I382" i="17"/>
  <c r="I378" i="17"/>
  <c r="I374" i="17"/>
  <c r="I370" i="17"/>
  <c r="I366" i="17"/>
  <c r="I362" i="17"/>
  <c r="I358" i="17"/>
  <c r="I354" i="17"/>
  <c r="I350" i="17"/>
  <c r="I346" i="17"/>
  <c r="I342" i="17"/>
  <c r="I338" i="17"/>
  <c r="I334" i="17"/>
  <c r="I330" i="17"/>
  <c r="I326" i="17"/>
  <c r="I322" i="17"/>
  <c r="I318" i="17"/>
  <c r="J416" i="17"/>
  <c r="J412" i="17"/>
  <c r="J408" i="17"/>
  <c r="J404" i="17"/>
  <c r="J400" i="17"/>
  <c r="J396" i="17"/>
  <c r="J392" i="17"/>
  <c r="J388" i="17"/>
  <c r="J384" i="17"/>
  <c r="J380" i="17"/>
  <c r="J376" i="17"/>
  <c r="J372" i="17"/>
  <c r="J368" i="17"/>
  <c r="J364" i="17"/>
  <c r="J360" i="17"/>
  <c r="J356" i="17"/>
  <c r="J352" i="17"/>
  <c r="J348" i="17"/>
  <c r="J344" i="17"/>
  <c r="J340" i="17"/>
  <c r="J336" i="17"/>
  <c r="J332" i="17"/>
  <c r="J328" i="17"/>
  <c r="J324" i="17"/>
  <c r="J320" i="17"/>
  <c r="J316" i="17"/>
  <c r="I312" i="17"/>
  <c r="I308" i="17"/>
  <c r="I304" i="17"/>
  <c r="I300" i="17"/>
  <c r="I296" i="17"/>
  <c r="I292" i="17"/>
  <c r="I288" i="17"/>
  <c r="I284" i="17"/>
  <c r="I280" i="17"/>
  <c r="I276" i="17"/>
  <c r="I272" i="17"/>
  <c r="I268" i="17"/>
  <c r="I264" i="17"/>
  <c r="I260" i="17"/>
  <c r="I256" i="17"/>
  <c r="I252" i="17"/>
  <c r="I248" i="17"/>
  <c r="I244" i="17"/>
  <c r="I240" i="17"/>
  <c r="I236" i="17"/>
  <c r="I232" i="17"/>
  <c r="I228" i="17"/>
  <c r="I224" i="17"/>
  <c r="I220" i="17"/>
  <c r="I216" i="17"/>
  <c r="I212" i="17"/>
  <c r="I208" i="17"/>
  <c r="I204" i="17"/>
  <c r="I200" i="17"/>
  <c r="I196" i="17"/>
  <c r="I192" i="17"/>
  <c r="I188" i="17"/>
  <c r="I184" i="17"/>
  <c r="I180" i="17"/>
  <c r="I176" i="17"/>
  <c r="I172" i="17"/>
  <c r="I168" i="17"/>
  <c r="I164" i="17"/>
  <c r="I160" i="17"/>
  <c r="I156" i="17"/>
  <c r="I152" i="17"/>
  <c r="I148" i="17"/>
  <c r="I144" i="17"/>
  <c r="I140" i="17"/>
  <c r="I136" i="17"/>
  <c r="I132" i="17"/>
  <c r="I128" i="17"/>
  <c r="I124" i="17"/>
  <c r="I120" i="17"/>
  <c r="I116" i="17"/>
  <c r="I112" i="17"/>
  <c r="I313" i="17"/>
  <c r="I309" i="17"/>
  <c r="I305" i="17"/>
  <c r="I301" i="17"/>
  <c r="I297" i="17"/>
  <c r="I293" i="17"/>
  <c r="I289" i="17"/>
  <c r="I285" i="17"/>
  <c r="I281" i="17"/>
  <c r="I277" i="17"/>
  <c r="I273" i="17"/>
  <c r="I269" i="17"/>
  <c r="I265" i="17"/>
  <c r="I261" i="17"/>
  <c r="I257" i="17"/>
  <c r="I253" i="17"/>
  <c r="I249" i="17"/>
  <c r="I245" i="17"/>
  <c r="I241" i="17"/>
  <c r="I237" i="17"/>
  <c r="I233" i="17"/>
  <c r="I229" i="17"/>
  <c r="I225" i="17"/>
  <c r="I221" i="17"/>
  <c r="I217" i="17"/>
  <c r="I213" i="17"/>
  <c r="I209" i="17"/>
  <c r="I205" i="17"/>
  <c r="I201" i="17"/>
  <c r="I197" i="17"/>
  <c r="I193" i="17"/>
  <c r="I189" i="17"/>
  <c r="I185" i="17"/>
  <c r="I181" i="17"/>
  <c r="I177" i="17"/>
  <c r="I173" i="17"/>
  <c r="I169" i="17"/>
  <c r="I165" i="17"/>
  <c r="I161" i="17"/>
  <c r="I157" i="17"/>
  <c r="I153" i="17"/>
  <c r="I149" i="17"/>
  <c r="I145" i="17"/>
  <c r="I141" i="17"/>
  <c r="I611" i="17"/>
  <c r="I605" i="17"/>
  <c r="I601" i="17"/>
  <c r="I597" i="17"/>
  <c r="W624" i="17"/>
  <c r="J611" i="17"/>
  <c r="J607" i="17"/>
  <c r="J603" i="17"/>
  <c r="J599" i="17"/>
  <c r="J612" i="17"/>
  <c r="J608" i="17"/>
  <c r="I609" i="17"/>
  <c r="J604" i="17"/>
  <c r="J600" i="17"/>
  <c r="J596" i="17"/>
  <c r="A624" i="17"/>
  <c r="I610" i="17"/>
  <c r="I606" i="17"/>
  <c r="I602" i="17"/>
  <c r="I598" i="17"/>
  <c r="J594" i="17"/>
  <c r="J590" i="17"/>
  <c r="J586" i="17"/>
  <c r="J582" i="17"/>
  <c r="J578" i="17"/>
  <c r="J574" i="17"/>
  <c r="J570" i="17"/>
  <c r="J566" i="17"/>
  <c r="J562" i="17"/>
  <c r="J558" i="17"/>
  <c r="J554" i="17"/>
  <c r="J550" i="17"/>
  <c r="J546" i="17"/>
  <c r="J591" i="17"/>
  <c r="J583" i="17"/>
  <c r="J575" i="17"/>
  <c r="J567" i="17"/>
  <c r="J559" i="17"/>
  <c r="J551" i="17"/>
  <c r="J543" i="17"/>
  <c r="J539" i="17"/>
  <c r="J535" i="17"/>
  <c r="J531" i="17"/>
  <c r="J527" i="17"/>
  <c r="J523" i="17"/>
  <c r="I592" i="17"/>
  <c r="I584" i="17"/>
  <c r="I576" i="17"/>
  <c r="I568" i="17"/>
  <c r="I560" i="17"/>
  <c r="I552" i="17"/>
  <c r="I544" i="17"/>
  <c r="J540" i="17"/>
  <c r="J536" i="17"/>
  <c r="J532" i="17"/>
  <c r="J528" i="17"/>
  <c r="J524" i="17"/>
  <c r="J520" i="17"/>
  <c r="I517" i="17"/>
  <c r="I513" i="17"/>
  <c r="I509" i="17"/>
  <c r="I505" i="17"/>
  <c r="I501" i="17"/>
  <c r="I497" i="17"/>
  <c r="I493" i="17"/>
  <c r="I489" i="17"/>
  <c r="I485" i="17"/>
  <c r="I481" i="17"/>
  <c r="I477" i="17"/>
  <c r="I473" i="17"/>
  <c r="I469" i="17"/>
  <c r="I465" i="17"/>
  <c r="I461" i="17"/>
  <c r="I457" i="17"/>
  <c r="I453" i="17"/>
  <c r="I449" i="17"/>
  <c r="I445" i="17"/>
  <c r="I441" i="17"/>
  <c r="I437" i="17"/>
  <c r="I433" i="17"/>
  <c r="I429" i="17"/>
  <c r="I425" i="17"/>
  <c r="I421" i="17"/>
  <c r="I417" i="17"/>
  <c r="I516" i="17"/>
  <c r="I512" i="17"/>
  <c r="I508" i="17"/>
  <c r="I504" i="17"/>
  <c r="I500" i="17"/>
  <c r="I496" i="17"/>
  <c r="I492" i="17"/>
  <c r="I488" i="17"/>
  <c r="I484" i="17"/>
  <c r="I480" i="17"/>
  <c r="I476" i="17"/>
  <c r="I472" i="17"/>
  <c r="I468" i="17"/>
  <c r="I464" i="17"/>
  <c r="I460" i="17"/>
  <c r="I456" i="17"/>
  <c r="I452" i="17"/>
  <c r="I448" i="17"/>
  <c r="I444" i="17"/>
  <c r="I440" i="17"/>
  <c r="I436" i="17"/>
  <c r="I432" i="17"/>
  <c r="I428" i="17"/>
  <c r="I424" i="17"/>
  <c r="I420" i="17"/>
  <c r="I416" i="17"/>
  <c r="I412" i="17"/>
  <c r="I408" i="17"/>
  <c r="I404" i="17"/>
  <c r="I400" i="17"/>
  <c r="I396" i="17"/>
  <c r="I392" i="17"/>
  <c r="I388" i="17"/>
  <c r="I384" i="17"/>
  <c r="I380" i="17"/>
  <c r="I376" i="17"/>
  <c r="I372" i="17"/>
  <c r="I368" i="17"/>
  <c r="I364" i="17"/>
  <c r="I360" i="17"/>
  <c r="I356" i="17"/>
  <c r="I352" i="17"/>
  <c r="I348" i="17"/>
  <c r="I344" i="17"/>
  <c r="I340" i="17"/>
  <c r="I336" i="17"/>
  <c r="I332" i="17"/>
  <c r="I328" i="17"/>
  <c r="I324" i="17"/>
  <c r="I320" i="17"/>
  <c r="I316" i="17"/>
  <c r="J414" i="17"/>
  <c r="J410" i="17"/>
  <c r="J406" i="17"/>
  <c r="J402" i="17"/>
  <c r="J398" i="17"/>
  <c r="J394" i="17"/>
  <c r="J390" i="17"/>
  <c r="J386" i="17"/>
  <c r="J382" i="17"/>
  <c r="J378" i="17"/>
  <c r="J374" i="17"/>
  <c r="J370" i="17"/>
  <c r="J366" i="17"/>
  <c r="J362" i="17"/>
  <c r="J358" i="17"/>
  <c r="J354" i="17"/>
  <c r="J350" i="17"/>
  <c r="J346" i="17"/>
  <c r="J342" i="17"/>
  <c r="J338" i="17"/>
  <c r="J334" i="17"/>
  <c r="J330" i="17"/>
  <c r="J326" i="17"/>
  <c r="J322" i="17"/>
  <c r="J318" i="17"/>
  <c r="I314" i="17"/>
  <c r="I310" i="17"/>
  <c r="I306" i="17"/>
  <c r="I302" i="17"/>
  <c r="I298" i="17"/>
  <c r="I294" i="17"/>
  <c r="I290" i="17"/>
  <c r="I286" i="17"/>
  <c r="I282" i="17"/>
  <c r="I278" i="17"/>
  <c r="I274" i="17"/>
  <c r="I270" i="17"/>
  <c r="I266" i="17"/>
  <c r="I262" i="17"/>
  <c r="I258" i="17"/>
  <c r="I254" i="17"/>
  <c r="I250" i="17"/>
  <c r="I246" i="17"/>
  <c r="I242" i="17"/>
  <c r="I238" i="17"/>
  <c r="I234" i="17"/>
  <c r="I230" i="17"/>
  <c r="I226" i="17"/>
  <c r="I222" i="17"/>
  <c r="I218" i="17"/>
  <c r="I214" i="17"/>
  <c r="I210" i="17"/>
  <c r="I206" i="17"/>
  <c r="I202" i="17"/>
  <c r="I198" i="17"/>
  <c r="I194" i="17"/>
  <c r="I190" i="17"/>
  <c r="I186" i="17"/>
  <c r="I182" i="17"/>
  <c r="I178" i="17"/>
  <c r="I174" i="17"/>
  <c r="I170" i="17"/>
  <c r="I166" i="17"/>
  <c r="I162" i="17"/>
  <c r="I158" i="17"/>
  <c r="I154" i="17"/>
  <c r="I150" i="17"/>
  <c r="I146" i="17"/>
  <c r="I142" i="17"/>
  <c r="I138" i="17"/>
  <c r="I134" i="17"/>
  <c r="I130" i="17"/>
  <c r="I126" i="17"/>
  <c r="I122" i="17"/>
  <c r="I118" i="17"/>
  <c r="I114" i="17"/>
  <c r="I110" i="17"/>
  <c r="I311" i="17"/>
  <c r="I307" i="17"/>
  <c r="I303" i="17"/>
  <c r="I299" i="17"/>
  <c r="I295" i="17"/>
  <c r="I291" i="17"/>
  <c r="I287" i="17"/>
  <c r="I283" i="17"/>
  <c r="I279" i="17"/>
  <c r="I275" i="17"/>
  <c r="I271" i="17"/>
  <c r="I267" i="17"/>
  <c r="I259" i="17"/>
  <c r="I251" i="17"/>
  <c r="I243" i="17"/>
  <c r="I235" i="17"/>
  <c r="I227" i="17"/>
  <c r="I219" i="17"/>
  <c r="I211" i="17"/>
  <c r="I203" i="17"/>
  <c r="I195" i="17"/>
  <c r="I187" i="17"/>
  <c r="I179" i="17"/>
  <c r="I171" i="17"/>
  <c r="I163" i="17"/>
  <c r="I155" i="17"/>
  <c r="I147" i="17"/>
  <c r="I139" i="17"/>
  <c r="I603" i="17"/>
  <c r="I595" i="17"/>
  <c r="J609" i="17"/>
  <c r="J601" i="17"/>
  <c r="J595" i="17"/>
  <c r="I591" i="17"/>
  <c r="I587" i="17"/>
  <c r="I583" i="17"/>
  <c r="I579" i="17"/>
  <c r="I575" i="17"/>
  <c r="I571" i="17"/>
  <c r="I567" i="17"/>
  <c r="I563" i="17"/>
  <c r="I559" i="17"/>
  <c r="I555" i="17"/>
  <c r="I551" i="17"/>
  <c r="I547" i="17"/>
  <c r="J593" i="17"/>
  <c r="J585" i="17"/>
  <c r="J577" i="17"/>
  <c r="J569" i="17"/>
  <c r="J561" i="17"/>
  <c r="J553" i="17"/>
  <c r="J545" i="17"/>
  <c r="I540" i="17"/>
  <c r="I536" i="17"/>
  <c r="I532" i="17"/>
  <c r="I528" i="17"/>
  <c r="I524" i="17"/>
  <c r="I594" i="17"/>
  <c r="I586" i="17"/>
  <c r="I578" i="17"/>
  <c r="I570" i="17"/>
  <c r="I562" i="17"/>
  <c r="I554" i="17"/>
  <c r="I546" i="17"/>
  <c r="I541" i="17"/>
  <c r="I537" i="17"/>
  <c r="I533" i="17"/>
  <c r="I529" i="17"/>
  <c r="I525" i="17"/>
  <c r="I521" i="17"/>
  <c r="J518" i="17"/>
  <c r="J514" i="17"/>
  <c r="J510" i="17"/>
  <c r="J506" i="17"/>
  <c r="J502" i="17"/>
  <c r="J498" i="17"/>
  <c r="J494" i="17"/>
  <c r="J490" i="17"/>
  <c r="J486" i="17"/>
  <c r="J482" i="17"/>
  <c r="J478" i="17"/>
  <c r="J474" i="17"/>
  <c r="J470" i="17"/>
  <c r="J466" i="17"/>
  <c r="J462" i="17"/>
  <c r="J458" i="17"/>
  <c r="J454" i="17"/>
  <c r="J450" i="17"/>
  <c r="J446" i="17"/>
  <c r="J442" i="17"/>
  <c r="J438" i="17"/>
  <c r="J434" i="17"/>
  <c r="J430" i="17"/>
  <c r="J426" i="17"/>
  <c r="J422" i="17"/>
  <c r="J418" i="17"/>
  <c r="J517" i="17"/>
  <c r="J513" i="17"/>
  <c r="J509" i="17"/>
  <c r="J505" i="17"/>
  <c r="J501" i="17"/>
  <c r="J497" i="17"/>
  <c r="J493" i="17"/>
  <c r="J489" i="17"/>
  <c r="J485" i="17"/>
  <c r="J481" i="17"/>
  <c r="J477" i="17"/>
  <c r="J473" i="17"/>
  <c r="J469" i="17"/>
  <c r="J465" i="17"/>
  <c r="J461" i="17"/>
  <c r="J457" i="17"/>
  <c r="J453" i="17"/>
  <c r="J449" i="17"/>
  <c r="J445" i="17"/>
  <c r="J441" i="17"/>
  <c r="J437" i="17"/>
  <c r="J433" i="17"/>
  <c r="J429" i="17"/>
  <c r="J425" i="17"/>
  <c r="J421" i="17"/>
  <c r="J417" i="17"/>
  <c r="J413" i="17"/>
  <c r="J409" i="17"/>
  <c r="J405" i="17"/>
  <c r="J401" i="17"/>
  <c r="J397" i="17"/>
  <c r="J393" i="17"/>
  <c r="J389" i="17"/>
  <c r="J385" i="17"/>
  <c r="J381" i="17"/>
  <c r="J377" i="17"/>
  <c r="J373" i="17"/>
  <c r="J369" i="17"/>
  <c r="J365" i="17"/>
  <c r="J361" i="17"/>
  <c r="J357" i="17"/>
  <c r="J353" i="17"/>
  <c r="J349" i="17"/>
  <c r="J345" i="17"/>
  <c r="J341" i="17"/>
  <c r="J337" i="17"/>
  <c r="J333" i="17"/>
  <c r="J329" i="17"/>
  <c r="J325" i="17"/>
  <c r="J321" i="17"/>
  <c r="J317" i="17"/>
  <c r="I415" i="17"/>
  <c r="I411" i="17"/>
  <c r="I407" i="17"/>
  <c r="I403" i="17"/>
  <c r="I399" i="17"/>
  <c r="I395" i="17"/>
  <c r="I391" i="17"/>
  <c r="I387" i="17"/>
  <c r="I383" i="17"/>
  <c r="I379" i="17"/>
  <c r="I375" i="17"/>
  <c r="I371" i="17"/>
  <c r="I367" i="17"/>
  <c r="I363" i="17"/>
  <c r="I359" i="17"/>
  <c r="I355" i="17"/>
  <c r="I351" i="17"/>
  <c r="I347" i="17"/>
  <c r="I343" i="17"/>
  <c r="I339" i="17"/>
  <c r="I335" i="17"/>
  <c r="I331" i="17"/>
  <c r="I327" i="17"/>
  <c r="I323" i="17"/>
  <c r="I319" i="17"/>
  <c r="I315" i="17"/>
  <c r="J311" i="17"/>
  <c r="J307" i="17"/>
  <c r="J303" i="17"/>
  <c r="J299" i="17"/>
  <c r="J295" i="17"/>
  <c r="J291" i="17"/>
  <c r="J287" i="17"/>
  <c r="J283" i="17"/>
  <c r="J279" i="17"/>
  <c r="J275" i="17"/>
  <c r="J271" i="17"/>
  <c r="J267" i="17"/>
  <c r="J263" i="17"/>
  <c r="J259" i="17"/>
  <c r="J255" i="17"/>
  <c r="J251" i="17"/>
  <c r="J247" i="17"/>
  <c r="J243" i="17"/>
  <c r="J239" i="17"/>
  <c r="J235" i="17"/>
  <c r="J231" i="17"/>
  <c r="J227" i="17"/>
  <c r="J223" i="17"/>
  <c r="J219" i="17"/>
  <c r="J215" i="17"/>
  <c r="J211" i="17"/>
  <c r="J207" i="17"/>
  <c r="J203" i="17"/>
  <c r="J199" i="17"/>
  <c r="J195" i="17"/>
  <c r="J191" i="17"/>
  <c r="J187" i="17"/>
  <c r="J183" i="17"/>
  <c r="J179" i="17"/>
  <c r="J175" i="17"/>
  <c r="J171" i="17"/>
  <c r="J167" i="17"/>
  <c r="J163" i="17"/>
  <c r="J159" i="17"/>
  <c r="J155" i="17"/>
  <c r="J151" i="17"/>
  <c r="J147" i="17"/>
  <c r="J143" i="17"/>
  <c r="J139" i="17"/>
  <c r="J135" i="17"/>
  <c r="J131" i="17"/>
  <c r="J127" i="17"/>
  <c r="J123" i="17"/>
  <c r="J119" i="17"/>
  <c r="J115" i="17"/>
  <c r="J111" i="17"/>
  <c r="J312" i="17"/>
  <c r="J308" i="17"/>
  <c r="J304" i="17"/>
  <c r="J300" i="17"/>
  <c r="J296" i="17"/>
  <c r="J292" i="17"/>
  <c r="J288" i="17"/>
  <c r="J284" i="17"/>
  <c r="J280" i="17"/>
  <c r="J276" i="17"/>
  <c r="J272" i="17"/>
  <c r="J268" i="17"/>
  <c r="J264" i="17"/>
  <c r="J260" i="17"/>
  <c r="J256" i="17"/>
  <c r="J252" i="17"/>
  <c r="J248" i="17"/>
  <c r="J244" i="17"/>
  <c r="J240" i="17"/>
  <c r="J236" i="17"/>
  <c r="J232" i="17"/>
  <c r="J228" i="17"/>
  <c r="J224" i="17"/>
  <c r="J220" i="17"/>
  <c r="J216" i="17"/>
  <c r="J212" i="17"/>
  <c r="J208" i="17"/>
  <c r="J204" i="17"/>
  <c r="J200" i="17"/>
  <c r="J196" i="17"/>
  <c r="J192" i="17"/>
  <c r="J188" i="17"/>
  <c r="J184" i="17"/>
  <c r="J180" i="17"/>
  <c r="J176" i="17"/>
  <c r="J172" i="17"/>
  <c r="J168" i="17"/>
  <c r="J164" i="17"/>
  <c r="J160" i="17"/>
  <c r="J156" i="17"/>
  <c r="J152" i="17"/>
  <c r="J148" i="17"/>
  <c r="J144" i="17"/>
  <c r="J140" i="17"/>
  <c r="J136" i="17"/>
  <c r="J132" i="17"/>
  <c r="J128" i="17"/>
  <c r="J124" i="17"/>
  <c r="J120" i="17"/>
  <c r="J116" i="17"/>
  <c r="J112" i="17"/>
  <c r="I135" i="17"/>
  <c r="I127" i="17"/>
  <c r="I119" i="17"/>
  <c r="I111" i="17"/>
  <c r="J16" i="17"/>
  <c r="J20" i="17"/>
  <c r="J24" i="17"/>
  <c r="J28" i="17"/>
  <c r="J32" i="17"/>
  <c r="J36" i="17"/>
  <c r="J40" i="17"/>
  <c r="J44" i="17"/>
  <c r="J48" i="17"/>
  <c r="J52" i="17"/>
  <c r="J56" i="17"/>
  <c r="J60" i="17"/>
  <c r="J64" i="17"/>
  <c r="J68" i="17"/>
  <c r="J72" i="17"/>
  <c r="J76" i="17"/>
  <c r="J80" i="17"/>
  <c r="J84" i="17"/>
  <c r="J88" i="17"/>
  <c r="J92" i="17"/>
  <c r="J96" i="17"/>
  <c r="J100" i="17"/>
  <c r="J104" i="17"/>
  <c r="J108" i="17"/>
  <c r="I133" i="17"/>
  <c r="I125" i="17"/>
  <c r="I117" i="17"/>
  <c r="I13" i="17"/>
  <c r="I17" i="17"/>
  <c r="I21" i="17"/>
  <c r="I25" i="17"/>
  <c r="I29" i="17"/>
  <c r="I33" i="17"/>
  <c r="I37" i="17"/>
  <c r="I41" i="17"/>
  <c r="I45" i="17"/>
  <c r="I49" i="17"/>
  <c r="I53" i="17"/>
  <c r="I57" i="17"/>
  <c r="I61" i="17"/>
  <c r="I65" i="17"/>
  <c r="I69" i="17"/>
  <c r="I73" i="17"/>
  <c r="I77" i="17"/>
  <c r="I81" i="17"/>
  <c r="I85" i="17"/>
  <c r="I89" i="17"/>
  <c r="I93" i="17"/>
  <c r="I97" i="17"/>
  <c r="I101" i="17"/>
  <c r="I105" i="17"/>
  <c r="I109" i="17"/>
  <c r="I106" i="17"/>
  <c r="I102" i="17"/>
  <c r="I98" i="17"/>
  <c r="I94" i="17"/>
  <c r="I90" i="17"/>
  <c r="I86" i="17"/>
  <c r="I82" i="17"/>
  <c r="I78" i="17"/>
  <c r="I74" i="17"/>
  <c r="I70" i="17"/>
  <c r="I66" i="17"/>
  <c r="I62" i="17"/>
  <c r="I58" i="17"/>
  <c r="I54" i="17"/>
  <c r="I50" i="17"/>
  <c r="I46" i="17"/>
  <c r="I42" i="17"/>
  <c r="I38" i="17"/>
  <c r="I34" i="17"/>
  <c r="I30" i="17"/>
  <c r="I26" i="17"/>
  <c r="I22" i="17"/>
  <c r="I18" i="17"/>
  <c r="I14" i="17"/>
  <c r="J107" i="17"/>
  <c r="J103" i="17"/>
  <c r="J99" i="17"/>
  <c r="J95" i="17"/>
  <c r="J91" i="17"/>
  <c r="J87" i="17"/>
  <c r="J83" i="17"/>
  <c r="J79" i="17"/>
  <c r="J75" i="17"/>
  <c r="J71" i="17"/>
  <c r="J67" i="17"/>
  <c r="J63" i="17"/>
  <c r="J59" i="17"/>
  <c r="J55" i="17"/>
  <c r="J51" i="17"/>
  <c r="J47" i="17"/>
  <c r="J43" i="17"/>
  <c r="J39" i="17"/>
  <c r="J35" i="17"/>
  <c r="J31" i="17"/>
  <c r="J27" i="17"/>
  <c r="J23" i="17"/>
  <c r="J19" i="17"/>
  <c r="J15" i="17"/>
  <c r="I622" i="17"/>
  <c r="J626" i="17"/>
  <c r="I623" i="17"/>
  <c r="I263" i="17"/>
  <c r="I255" i="17"/>
  <c r="I247" i="17"/>
  <c r="I239" i="17"/>
  <c r="I231" i="17"/>
  <c r="I223" i="17"/>
  <c r="I215" i="17"/>
  <c r="I207" i="17"/>
  <c r="I199" i="17"/>
  <c r="I191" i="17"/>
  <c r="I183" i="17"/>
  <c r="I175" i="17"/>
  <c r="I167" i="17"/>
  <c r="I159" i="17"/>
  <c r="I151" i="17"/>
  <c r="I143" i="17"/>
  <c r="I607" i="17"/>
  <c r="I599" i="17"/>
  <c r="J613" i="17"/>
  <c r="J605" i="17"/>
  <c r="J597" i="17"/>
  <c r="I593" i="17"/>
  <c r="I589" i="17"/>
  <c r="I585" i="17"/>
  <c r="I581" i="17"/>
  <c r="I577" i="17"/>
  <c r="I573" i="17"/>
  <c r="I569" i="17"/>
  <c r="I565" i="17"/>
  <c r="I561" i="17"/>
  <c r="I557" i="17"/>
  <c r="I553" i="17"/>
  <c r="I549" i="17"/>
  <c r="I545" i="17"/>
  <c r="J589" i="17"/>
  <c r="J581" i="17"/>
  <c r="J573" i="17"/>
  <c r="J565" i="17"/>
  <c r="J557" i="17"/>
  <c r="J549" i="17"/>
  <c r="I542" i="17"/>
  <c r="I538" i="17"/>
  <c r="I534" i="17"/>
  <c r="I530" i="17"/>
  <c r="I526" i="17"/>
  <c r="I522" i="17"/>
  <c r="I590" i="17"/>
  <c r="I582" i="17"/>
  <c r="I574" i="17"/>
  <c r="I566" i="17"/>
  <c r="I558" i="17"/>
  <c r="I550" i="17"/>
  <c r="I543" i="17"/>
  <c r="I539" i="17"/>
  <c r="I535" i="17"/>
  <c r="I531" i="17"/>
  <c r="I527" i="17"/>
  <c r="I523" i="17"/>
  <c r="I519" i="17"/>
  <c r="J516" i="17"/>
  <c r="J512" i="17"/>
  <c r="J508" i="17"/>
  <c r="J504" i="17"/>
  <c r="J500" i="17"/>
  <c r="J496" i="17"/>
  <c r="J492" i="17"/>
  <c r="J488" i="17"/>
  <c r="J484" i="17"/>
  <c r="J480" i="17"/>
  <c r="J476" i="17"/>
  <c r="J472" i="17"/>
  <c r="J468" i="17"/>
  <c r="J464" i="17"/>
  <c r="J460" i="17"/>
  <c r="J456" i="17"/>
  <c r="J452" i="17"/>
  <c r="J448" i="17"/>
  <c r="J444" i="17"/>
  <c r="J440" i="17"/>
  <c r="J436" i="17"/>
  <c r="J432" i="17"/>
  <c r="J428" i="17"/>
  <c r="J424" i="17"/>
  <c r="J420" i="17"/>
  <c r="J519" i="17"/>
  <c r="J515" i="17"/>
  <c r="J511" i="17"/>
  <c r="J507" i="17"/>
  <c r="J503" i="17"/>
  <c r="J499" i="17"/>
  <c r="J495" i="17"/>
  <c r="J491" i="17"/>
  <c r="J487" i="17"/>
  <c r="J483" i="17"/>
  <c r="J479" i="17"/>
  <c r="J475" i="17"/>
  <c r="J471" i="17"/>
  <c r="J467" i="17"/>
  <c r="J463" i="17"/>
  <c r="J459" i="17"/>
  <c r="J455" i="17"/>
  <c r="J451" i="17"/>
  <c r="J447" i="17"/>
  <c r="J443" i="17"/>
  <c r="J439" i="17"/>
  <c r="J435" i="17"/>
  <c r="J431" i="17"/>
  <c r="J427" i="17"/>
  <c r="J423" i="17"/>
  <c r="J419" i="17"/>
  <c r="J415" i="17"/>
  <c r="J411" i="17"/>
  <c r="J407" i="17"/>
  <c r="J403" i="17"/>
  <c r="J399" i="17"/>
  <c r="J395" i="17"/>
  <c r="J391" i="17"/>
  <c r="J387" i="17"/>
  <c r="J383" i="17"/>
  <c r="J379" i="17"/>
  <c r="J375" i="17"/>
  <c r="J371" i="17"/>
  <c r="J367" i="17"/>
  <c r="J363" i="17"/>
  <c r="J359" i="17"/>
  <c r="J355" i="17"/>
  <c r="J351" i="17"/>
  <c r="J347" i="17"/>
  <c r="J343" i="17"/>
  <c r="J339" i="17"/>
  <c r="J335" i="17"/>
  <c r="J331" i="17"/>
  <c r="J327" i="17"/>
  <c r="J323" i="17"/>
  <c r="J319" i="17"/>
  <c r="J315" i="17"/>
  <c r="I413" i="17"/>
  <c r="I409" i="17"/>
  <c r="I405" i="17"/>
  <c r="I401" i="17"/>
  <c r="I397" i="17"/>
  <c r="I393" i="17"/>
  <c r="I385" i="17"/>
  <c r="I377" i="17"/>
  <c r="I369" i="17"/>
  <c r="I361" i="17"/>
  <c r="I353" i="17"/>
  <c r="I345" i="17"/>
  <c r="I337" i="17"/>
  <c r="I329" i="17"/>
  <c r="I321" i="17"/>
  <c r="J313" i="17"/>
  <c r="J305" i="17"/>
  <c r="J297" i="17"/>
  <c r="J289" i="17"/>
  <c r="J281" i="17"/>
  <c r="J273" i="17"/>
  <c r="J265" i="17"/>
  <c r="J257" i="17"/>
  <c r="J249" i="17"/>
  <c r="J241" i="17"/>
  <c r="J233" i="17"/>
  <c r="J225" i="17"/>
  <c r="J217" i="17"/>
  <c r="J209" i="17"/>
  <c r="J201" i="17"/>
  <c r="J193" i="17"/>
  <c r="J185" i="17"/>
  <c r="J177" i="17"/>
  <c r="J169" i="17"/>
  <c r="J161" i="17"/>
  <c r="J153" i="17"/>
  <c r="J145" i="17"/>
  <c r="J137" i="17"/>
  <c r="J129" i="17"/>
  <c r="J121" i="17"/>
  <c r="J113" i="17"/>
  <c r="J310" i="17"/>
  <c r="J302" i="17"/>
  <c r="J294" i="17"/>
  <c r="J286" i="17"/>
  <c r="J278" i="17"/>
  <c r="J270" i="17"/>
  <c r="J262" i="17"/>
  <c r="J254" i="17"/>
  <c r="J246" i="17"/>
  <c r="J238" i="17"/>
  <c r="J230" i="17"/>
  <c r="J222" i="17"/>
  <c r="J214" i="17"/>
  <c r="J206" i="17"/>
  <c r="J198" i="17"/>
  <c r="J190" i="17"/>
  <c r="J182" i="17"/>
  <c r="J174" i="17"/>
  <c r="J166" i="17"/>
  <c r="J158" i="17"/>
  <c r="J150" i="17"/>
  <c r="J142" i="17"/>
  <c r="J134" i="17"/>
  <c r="J126" i="17"/>
  <c r="J118" i="17"/>
  <c r="J110" i="17"/>
  <c r="I123" i="17"/>
  <c r="J14" i="17"/>
  <c r="J22" i="17"/>
  <c r="J30" i="17"/>
  <c r="J38" i="17"/>
  <c r="J46" i="17"/>
  <c r="J54" i="17"/>
  <c r="J62" i="17"/>
  <c r="J70" i="17"/>
  <c r="J78" i="17"/>
  <c r="J86" i="17"/>
  <c r="J94" i="17"/>
  <c r="J102" i="17"/>
  <c r="I137" i="17"/>
  <c r="I121" i="17"/>
  <c r="I15" i="17"/>
  <c r="I23" i="17"/>
  <c r="I31" i="17"/>
  <c r="I39" i="17"/>
  <c r="I47" i="17"/>
  <c r="I55" i="17"/>
  <c r="I63" i="17"/>
  <c r="I71" i="17"/>
  <c r="I79" i="17"/>
  <c r="I87" i="17"/>
  <c r="I95" i="17"/>
  <c r="I103" i="17"/>
  <c r="I108" i="17"/>
  <c r="I100" i="17"/>
  <c r="I92" i="17"/>
  <c r="I84" i="17"/>
  <c r="I76" i="17"/>
  <c r="I68" i="17"/>
  <c r="I60" i="17"/>
  <c r="I52" i="17"/>
  <c r="I44" i="17"/>
  <c r="I36" i="17"/>
  <c r="I28" i="17"/>
  <c r="I20" i="17"/>
  <c r="J109" i="17"/>
  <c r="J101" i="17"/>
  <c r="J93" i="17"/>
  <c r="J85" i="17"/>
  <c r="J77" i="17"/>
  <c r="J69" i="17"/>
  <c r="J61" i="17"/>
  <c r="J53" i="17"/>
  <c r="J45" i="17"/>
  <c r="J37" i="17"/>
  <c r="J29" i="17"/>
  <c r="J21" i="17"/>
  <c r="J13" i="17"/>
  <c r="I626" i="17"/>
  <c r="J622" i="17"/>
  <c r="I389" i="17"/>
  <c r="I381" i="17"/>
  <c r="I373" i="17"/>
  <c r="I365" i="17"/>
  <c r="I357" i="17"/>
  <c r="I349" i="17"/>
  <c r="I341" i="17"/>
  <c r="I333" i="17"/>
  <c r="I325" i="17"/>
  <c r="I317" i="17"/>
  <c r="J309" i="17"/>
  <c r="J301" i="17"/>
  <c r="J293" i="17"/>
  <c r="J285" i="17"/>
  <c r="J277" i="17"/>
  <c r="J269" i="17"/>
  <c r="J261" i="17"/>
  <c r="J253" i="17"/>
  <c r="J245" i="17"/>
  <c r="J237" i="17"/>
  <c r="J229" i="17"/>
  <c r="J221" i="17"/>
  <c r="J213" i="17"/>
  <c r="J205" i="17"/>
  <c r="J197" i="17"/>
  <c r="J189" i="17"/>
  <c r="J181" i="17"/>
  <c r="J173" i="17"/>
  <c r="J165" i="17"/>
  <c r="J157" i="17"/>
  <c r="J149" i="17"/>
  <c r="J141" i="17"/>
  <c r="J133" i="17"/>
  <c r="J125" i="17"/>
  <c r="J117" i="17"/>
  <c r="J314" i="17"/>
  <c r="J306" i="17"/>
  <c r="J298" i="17"/>
  <c r="J290" i="17"/>
  <c r="J282" i="17"/>
  <c r="J274" i="17"/>
  <c r="J266" i="17"/>
  <c r="J258" i="17"/>
  <c r="J250" i="17"/>
  <c r="J242" i="17"/>
  <c r="J234" i="17"/>
  <c r="J226" i="17"/>
  <c r="J218" i="17"/>
  <c r="J210" i="17"/>
  <c r="J202" i="17"/>
  <c r="J194" i="17"/>
  <c r="J186" i="17"/>
  <c r="J178" i="17"/>
  <c r="J170" i="17"/>
  <c r="J162" i="17"/>
  <c r="J154" i="17"/>
  <c r="J146" i="17"/>
  <c r="J138" i="17"/>
  <c r="J130" i="17"/>
  <c r="J122" i="17"/>
  <c r="J114" i="17"/>
  <c r="I131" i="17"/>
  <c r="I115" i="17"/>
  <c r="J18" i="17"/>
  <c r="J26" i="17"/>
  <c r="J34" i="17"/>
  <c r="J42" i="17"/>
  <c r="J50" i="17"/>
  <c r="J58" i="17"/>
  <c r="J66" i="17"/>
  <c r="J74" i="17"/>
  <c r="J82" i="17"/>
  <c r="J90" i="17"/>
  <c r="J98" i="17"/>
  <c r="J106" i="17"/>
  <c r="I129" i="17"/>
  <c r="I113" i="17"/>
  <c r="I19" i="17"/>
  <c r="I27" i="17"/>
  <c r="I35" i="17"/>
  <c r="I43" i="17"/>
  <c r="I51" i="17"/>
  <c r="I59" i="17"/>
  <c r="I67" i="17"/>
  <c r="I75" i="17"/>
  <c r="I83" i="17"/>
  <c r="I91" i="17"/>
  <c r="I99" i="17"/>
  <c r="I107" i="17"/>
  <c r="I104" i="17"/>
  <c r="I96" i="17"/>
  <c r="I88" i="17"/>
  <c r="I80" i="17"/>
  <c r="I72" i="17"/>
  <c r="I64" i="17"/>
  <c r="I56" i="17"/>
  <c r="I48" i="17"/>
  <c r="I40" i="17"/>
  <c r="I32" i="17"/>
  <c r="I24" i="17"/>
  <c r="I16" i="17"/>
  <c r="J105" i="17"/>
  <c r="J97" i="17"/>
  <c r="J89" i="17"/>
  <c r="J81" i="17"/>
  <c r="J73" i="17"/>
  <c r="J65" i="17"/>
  <c r="J57" i="17"/>
  <c r="J49" i="17"/>
  <c r="J41" i="17"/>
  <c r="J33" i="17"/>
  <c r="J25" i="17"/>
  <c r="J17" i="17"/>
  <c r="J623" i="17"/>
  <c r="L610" i="17"/>
  <c r="K379" i="17"/>
  <c r="L386" i="17"/>
  <c r="L123" i="17"/>
  <c r="W625" i="17"/>
  <c r="L200" i="17"/>
  <c r="K207" i="17"/>
  <c r="K453" i="17"/>
  <c r="L66" i="17"/>
  <c r="K95" i="17"/>
  <c r="L264" i="17"/>
  <c r="K315" i="17"/>
  <c r="K271" i="17"/>
  <c r="L322" i="17"/>
  <c r="K532" i="17"/>
  <c r="L535" i="17"/>
  <c r="L34" i="17"/>
  <c r="K56" i="17"/>
  <c r="K63" i="17"/>
  <c r="L168" i="17"/>
  <c r="L296" i="17"/>
  <c r="L219" i="17"/>
  <c r="K347" i="17"/>
  <c r="K175" i="17"/>
  <c r="K303" i="17"/>
  <c r="K226" i="17"/>
  <c r="L354" i="17"/>
  <c r="K492" i="17"/>
  <c r="L570" i="17"/>
  <c r="L495" i="17"/>
  <c r="K573" i="17"/>
  <c r="L82" i="17"/>
  <c r="L18" i="17"/>
  <c r="K80" i="17"/>
  <c r="K48" i="17"/>
  <c r="L13" i="17"/>
  <c r="K47" i="17"/>
  <c r="L120" i="17"/>
  <c r="L184" i="17"/>
  <c r="L248" i="17"/>
  <c r="L312" i="17"/>
  <c r="L171" i="17"/>
  <c r="L235" i="17"/>
  <c r="L299" i="17"/>
  <c r="K363" i="17"/>
  <c r="K127" i="17"/>
  <c r="K191" i="17"/>
  <c r="K255" i="17"/>
  <c r="K114" i="17"/>
  <c r="K178" i="17"/>
  <c r="K242" i="17"/>
  <c r="K306" i="17"/>
  <c r="L370" i="17"/>
  <c r="K396" i="17"/>
  <c r="K421" i="17"/>
  <c r="L553" i="17"/>
  <c r="K602" i="17"/>
  <c r="L399" i="17"/>
  <c r="L424" i="17"/>
  <c r="L559" i="17"/>
  <c r="L605" i="17"/>
  <c r="L90" i="17"/>
  <c r="L58" i="17"/>
  <c r="L26" i="17"/>
  <c r="K100" i="17"/>
  <c r="K84" i="17"/>
  <c r="K68" i="17"/>
  <c r="K52" i="17"/>
  <c r="K36" i="17"/>
  <c r="K20" i="17"/>
  <c r="K87" i="17"/>
  <c r="K55" i="17"/>
  <c r="K23" i="17"/>
  <c r="K115" i="17"/>
  <c r="L144" i="17"/>
  <c r="L176" i="17"/>
  <c r="L208" i="17"/>
  <c r="L240" i="17"/>
  <c r="L272" i="17"/>
  <c r="L304" i="17"/>
  <c r="L131" i="17"/>
  <c r="L163" i="17"/>
  <c r="L195" i="17"/>
  <c r="L227" i="17"/>
  <c r="L259" i="17"/>
  <c r="L291" i="17"/>
  <c r="K323" i="17"/>
  <c r="K355" i="17"/>
  <c r="K387" i="17"/>
  <c r="K330" i="17"/>
  <c r="K151" i="17"/>
  <c r="K183" i="17"/>
  <c r="K215" i="17"/>
  <c r="K247" i="17"/>
  <c r="K279" i="17"/>
  <c r="K311" i="17"/>
  <c r="K138" i="17"/>
  <c r="K170" i="17"/>
  <c r="K202" i="17"/>
  <c r="K234" i="17"/>
  <c r="K266" i="17"/>
  <c r="K298" i="17"/>
  <c r="L330" i="17"/>
  <c r="L362" i="17"/>
  <c r="L402" i="17"/>
  <c r="K380" i="17"/>
  <c r="K444" i="17"/>
  <c r="K508" i="17"/>
  <c r="K469" i="17"/>
  <c r="L532" i="17"/>
  <c r="K552" i="17"/>
  <c r="L586" i="17"/>
  <c r="L319" i="17"/>
  <c r="L383" i="17"/>
  <c r="L447" i="17"/>
  <c r="L511" i="17"/>
  <c r="L472" i="17"/>
  <c r="K535" i="17"/>
  <c r="K558" i="17"/>
  <c r="K589" i="17"/>
  <c r="K623" i="17"/>
  <c r="L102" i="17"/>
  <c r="L86" i="17"/>
  <c r="L70" i="17"/>
  <c r="L54" i="17"/>
  <c r="L38" i="17"/>
  <c r="L22" i="17"/>
  <c r="K106" i="17"/>
  <c r="K98" i="17"/>
  <c r="K90" i="17"/>
  <c r="K82" i="17"/>
  <c r="K74" i="17"/>
  <c r="K66" i="17"/>
  <c r="K58" i="17"/>
  <c r="K50" i="17"/>
  <c r="K42" i="17"/>
  <c r="K34" i="17"/>
  <c r="K26" i="17"/>
  <c r="L17" i="17"/>
  <c r="K99" i="17"/>
  <c r="K83" i="17"/>
  <c r="K67" i="17"/>
  <c r="K51" i="17"/>
  <c r="K35" i="17"/>
  <c r="K19" i="17"/>
  <c r="L112" i="17"/>
  <c r="L116" i="17"/>
  <c r="L132" i="17"/>
  <c r="L148" i="17"/>
  <c r="L164" i="17"/>
  <c r="L180" i="17"/>
  <c r="L196" i="17"/>
  <c r="L212" i="17"/>
  <c r="L228" i="17"/>
  <c r="L244" i="17"/>
  <c r="L260" i="17"/>
  <c r="L276" i="17"/>
  <c r="L292" i="17"/>
  <c r="L308" i="17"/>
  <c r="L119" i="17"/>
  <c r="L135" i="17"/>
  <c r="L151" i="17"/>
  <c r="L167" i="17"/>
  <c r="L183" i="17"/>
  <c r="L199" i="17"/>
  <c r="L215" i="17"/>
  <c r="L231" i="17"/>
  <c r="L247" i="17"/>
  <c r="L263" i="17"/>
  <c r="L279" i="17"/>
  <c r="L295" i="17"/>
  <c r="L311" i="17"/>
  <c r="K327" i="17"/>
  <c r="K343" i="17"/>
  <c r="K359" i="17"/>
  <c r="K375" i="17"/>
  <c r="K391" i="17"/>
  <c r="L408" i="17"/>
  <c r="K123" i="17"/>
  <c r="K139" i="17"/>
  <c r="K155" i="17"/>
  <c r="K171" i="17"/>
  <c r="K187" i="17"/>
  <c r="K203" i="17"/>
  <c r="K219" i="17"/>
  <c r="K235" i="17"/>
  <c r="K251" i="17"/>
  <c r="K267" i="17"/>
  <c r="K283" i="17"/>
  <c r="K299" i="17"/>
  <c r="K110" i="17"/>
  <c r="K126" i="17"/>
  <c r="K142" i="17"/>
  <c r="K158" i="17"/>
  <c r="K174" i="17"/>
  <c r="K190" i="17"/>
  <c r="K206" i="17"/>
  <c r="K222" i="17"/>
  <c r="K238" i="17"/>
  <c r="K254" i="17"/>
  <c r="K270" i="17"/>
  <c r="K286" i="17"/>
  <c r="K302" i="17"/>
  <c r="L318" i="17"/>
  <c r="L334" i="17"/>
  <c r="L350" i="17"/>
  <c r="L366" i="17"/>
  <c r="L382" i="17"/>
  <c r="L414" i="17"/>
  <c r="K356" i="17"/>
  <c r="K388" i="17"/>
  <c r="K420" i="17"/>
  <c r="K452" i="17"/>
  <c r="K484" i="17"/>
  <c r="K516" i="17"/>
  <c r="K445" i="17"/>
  <c r="K477" i="17"/>
  <c r="K509" i="17"/>
  <c r="L540" i="17"/>
  <c r="K524" i="17"/>
  <c r="K568" i="17"/>
  <c r="L562" i="17"/>
  <c r="L594" i="17"/>
  <c r="K607" i="17"/>
  <c r="L327" i="17"/>
  <c r="L359" i="17"/>
  <c r="L391" i="17"/>
  <c r="L423" i="17"/>
  <c r="L455" i="17"/>
  <c r="L487" i="17"/>
  <c r="K520" i="17"/>
  <c r="L448" i="17"/>
  <c r="L480" i="17"/>
  <c r="L512" i="17"/>
  <c r="K543" i="17"/>
  <c r="L527" i="17"/>
  <c r="K574" i="17"/>
  <c r="K565" i="17"/>
  <c r="L597" i="17"/>
  <c r="C635" i="17"/>
  <c r="L608" i="17"/>
  <c r="L600" i="17"/>
  <c r="L611" i="17"/>
  <c r="L603" i="17"/>
  <c r="L595" i="17"/>
  <c r="K587" i="17"/>
  <c r="K579" i="17"/>
  <c r="K571" i="17"/>
  <c r="K563" i="17"/>
  <c r="K555" i="17"/>
  <c r="K547" i="17"/>
  <c r="K586" i="17"/>
  <c r="K570" i="17"/>
  <c r="K554" i="17"/>
  <c r="L541" i="17"/>
  <c r="L533" i="17"/>
  <c r="K31" i="17"/>
  <c r="K104" i="17"/>
  <c r="K130" i="17"/>
  <c r="K40" i="17"/>
  <c r="L251" i="17"/>
  <c r="K258" i="17"/>
  <c r="L456" i="17"/>
  <c r="K72" i="17"/>
  <c r="L136" i="17"/>
  <c r="L187" i="17"/>
  <c r="K143" i="17"/>
  <c r="K194" i="17"/>
  <c r="K428" i="17"/>
  <c r="L431" i="17"/>
  <c r="L98" i="17"/>
  <c r="K88" i="17"/>
  <c r="K24" i="17"/>
  <c r="K117" i="17"/>
  <c r="L232" i="17"/>
  <c r="L155" i="17"/>
  <c r="L283" i="17"/>
  <c r="L416" i="17"/>
  <c r="K239" i="17"/>
  <c r="K162" i="17"/>
  <c r="K290" i="17"/>
  <c r="K364" i="17"/>
  <c r="K517" i="17"/>
  <c r="L367" i="17"/>
  <c r="K519" i="17"/>
  <c r="K626" i="17"/>
  <c r="L50" i="17"/>
  <c r="K96" i="17"/>
  <c r="K64" i="17"/>
  <c r="K32" i="17"/>
  <c r="K79" i="17"/>
  <c r="K15" i="17"/>
  <c r="L152" i="17"/>
  <c r="L216" i="17"/>
  <c r="L280" i="17"/>
  <c r="L139" i="17"/>
  <c r="L203" i="17"/>
  <c r="L267" i="17"/>
  <c r="K331" i="17"/>
  <c r="K395" i="17"/>
  <c r="K159" i="17"/>
  <c r="K223" i="17"/>
  <c r="K287" i="17"/>
  <c r="K146" i="17"/>
  <c r="K210" i="17"/>
  <c r="K274" i="17"/>
  <c r="L338" i="17"/>
  <c r="K328" i="17"/>
  <c r="K460" i="17"/>
  <c r="K485" i="17"/>
  <c r="K584" i="17"/>
  <c r="L335" i="17"/>
  <c r="L463" i="17"/>
  <c r="L488" i="17"/>
  <c r="K590" i="17"/>
  <c r="L106" i="17"/>
  <c r="L74" i="17"/>
  <c r="L42" i="17"/>
  <c r="K108" i="17"/>
  <c r="K92" i="17"/>
  <c r="K76" i="17"/>
  <c r="K60" i="17"/>
  <c r="K44" i="17"/>
  <c r="K28" i="17"/>
  <c r="K103" i="17"/>
  <c r="K71" i="17"/>
  <c r="K39" i="17"/>
  <c r="K14" i="17"/>
  <c r="L128" i="17"/>
  <c r="L160" i="17"/>
  <c r="L192" i="17"/>
  <c r="L224" i="17"/>
  <c r="L256" i="17"/>
  <c r="L288" i="17"/>
  <c r="L115" i="17"/>
  <c r="L147" i="17"/>
  <c r="L179" i="17"/>
  <c r="L211" i="17"/>
  <c r="L243" i="17"/>
  <c r="L275" i="17"/>
  <c r="L307" i="17"/>
  <c r="K339" i="17"/>
  <c r="K371" i="17"/>
  <c r="K403" i="17"/>
  <c r="K135" i="17"/>
  <c r="K167" i="17"/>
  <c r="K199" i="17"/>
  <c r="K231" i="17"/>
  <c r="K263" i="17"/>
  <c r="K295" i="17"/>
  <c r="K122" i="17"/>
  <c r="K154" i="17"/>
  <c r="K186" i="17"/>
  <c r="K218" i="17"/>
  <c r="K250" i="17"/>
  <c r="K282" i="17"/>
  <c r="K314" i="17"/>
  <c r="L346" i="17"/>
  <c r="L378" i="17"/>
  <c r="K348" i="17"/>
  <c r="K412" i="17"/>
  <c r="K476" i="17"/>
  <c r="K437" i="17"/>
  <c r="K501" i="17"/>
  <c r="L585" i="17"/>
  <c r="L554" i="17"/>
  <c r="K599" i="17"/>
  <c r="L351" i="17"/>
  <c r="L415" i="17"/>
  <c r="L479" i="17"/>
  <c r="L440" i="17"/>
  <c r="L504" i="17"/>
  <c r="L591" i="17"/>
  <c r="K557" i="17"/>
  <c r="L602" i="17"/>
  <c r="L622" i="17"/>
  <c r="L94" i="17"/>
  <c r="L78" i="17"/>
  <c r="L62" i="17"/>
  <c r="L46" i="17"/>
  <c r="L30" i="17"/>
  <c r="L14" i="17"/>
  <c r="K102" i="17"/>
  <c r="K94" i="17"/>
  <c r="K86" i="17"/>
  <c r="K78" i="17"/>
  <c r="K70" i="17"/>
  <c r="K62" i="17"/>
  <c r="K54" i="17"/>
  <c r="K46" i="17"/>
  <c r="K38" i="17"/>
  <c r="K30" i="17"/>
  <c r="K22" i="17"/>
  <c r="K107" i="17"/>
  <c r="K91" i="17"/>
  <c r="K75" i="17"/>
  <c r="K59" i="17"/>
  <c r="K43" i="17"/>
  <c r="K27" i="17"/>
  <c r="K18" i="17"/>
  <c r="K111" i="17"/>
  <c r="L124" i="17"/>
  <c r="L140" i="17"/>
  <c r="L156" i="17"/>
  <c r="L172" i="17"/>
  <c r="L188" i="17"/>
  <c r="L204" i="17"/>
  <c r="L220" i="17"/>
  <c r="L236" i="17"/>
  <c r="L252" i="17"/>
  <c r="L268" i="17"/>
  <c r="L284" i="17"/>
  <c r="L300" i="17"/>
  <c r="L111" i="17"/>
  <c r="L127" i="17"/>
  <c r="L143" i="17"/>
  <c r="L159" i="17"/>
  <c r="L175" i="17"/>
  <c r="L191" i="17"/>
  <c r="L207" i="17"/>
  <c r="L223" i="17"/>
  <c r="L239" i="17"/>
  <c r="L255" i="17"/>
  <c r="L271" i="17"/>
  <c r="L287" i="17"/>
  <c r="L303" i="17"/>
  <c r="K319" i="17"/>
  <c r="K335" i="17"/>
  <c r="K351" i="17"/>
  <c r="K367" i="17"/>
  <c r="K383" i="17"/>
  <c r="K399" i="17"/>
  <c r="K322" i="17"/>
  <c r="K131" i="17"/>
  <c r="K147" i="17"/>
  <c r="K163" i="17"/>
  <c r="K179" i="17"/>
  <c r="K195" i="17"/>
  <c r="K211" i="17"/>
  <c r="K227" i="17"/>
  <c r="K243" i="17"/>
  <c r="K259" i="17"/>
  <c r="K275" i="17"/>
  <c r="K291" i="17"/>
  <c r="K307" i="17"/>
  <c r="K118" i="17"/>
  <c r="K134" i="17"/>
  <c r="K150" i="17"/>
  <c r="K166" i="17"/>
  <c r="K182" i="17"/>
  <c r="K198" i="17"/>
  <c r="K214" i="17"/>
  <c r="K230" i="17"/>
  <c r="K246" i="17"/>
  <c r="K262" i="17"/>
  <c r="K278" i="17"/>
  <c r="K294" i="17"/>
  <c r="K310" i="17"/>
  <c r="L326" i="17"/>
  <c r="L342" i="17"/>
  <c r="L358" i="17"/>
  <c r="L374" i="17"/>
  <c r="L394" i="17"/>
  <c r="K340" i="17"/>
  <c r="K372" i="17"/>
  <c r="K404" i="17"/>
  <c r="K436" i="17"/>
  <c r="K468" i="17"/>
  <c r="K500" i="17"/>
  <c r="K429" i="17"/>
  <c r="K461" i="17"/>
  <c r="K493" i="17"/>
  <c r="L524" i="17"/>
  <c r="L569" i="17"/>
  <c r="K540" i="17"/>
  <c r="L546" i="17"/>
  <c r="L578" i="17"/>
  <c r="K610" i="17"/>
  <c r="K413" i="17"/>
  <c r="L343" i="17"/>
  <c r="L375" i="17"/>
  <c r="L407" i="17"/>
  <c r="L439" i="17"/>
  <c r="L471" i="17"/>
  <c r="L503" i="17"/>
  <c r="L432" i="17"/>
  <c r="L464" i="17"/>
  <c r="L496" i="17"/>
  <c r="K527" i="17"/>
  <c r="L575" i="17"/>
  <c r="L543" i="17"/>
  <c r="K549" i="17"/>
  <c r="K581" i="17"/>
  <c r="L613" i="17"/>
  <c r="L612" i="17"/>
  <c r="L604" i="17"/>
  <c r="L596" i="17"/>
  <c r="L607" i="17"/>
  <c r="L599" i="17"/>
  <c r="K591" i="17"/>
  <c r="K583" i="17"/>
  <c r="K575" i="17"/>
  <c r="K567" i="17"/>
  <c r="K559" i="17"/>
  <c r="K551" i="17"/>
  <c r="K594" i="17"/>
  <c r="K578" i="17"/>
  <c r="K562" i="17"/>
  <c r="K546" i="17"/>
  <c r="L537" i="17"/>
  <c r="L529" i="17"/>
  <c r="L521" i="17"/>
  <c r="L525" i="17"/>
  <c r="L579" i="17"/>
  <c r="L563" i="17"/>
  <c r="L547" i="17"/>
  <c r="K537" i="17"/>
  <c r="K529" i="17"/>
  <c r="K521" i="17"/>
  <c r="L514" i="17"/>
  <c r="L506" i="17"/>
  <c r="L498" i="17"/>
  <c r="L490" i="17"/>
  <c r="L482" i="17"/>
  <c r="L474" i="17"/>
  <c r="L466" i="17"/>
  <c r="L458" i="17"/>
  <c r="L450" i="17"/>
  <c r="L442" i="17"/>
  <c r="L434" i="17"/>
  <c r="L426" i="17"/>
  <c r="L418" i="17"/>
  <c r="L513" i="17"/>
  <c r="L505" i="17"/>
  <c r="L497" i="17"/>
  <c r="L489" i="17"/>
  <c r="L481" i="17"/>
  <c r="L473" i="17"/>
  <c r="L465" i="17"/>
  <c r="L457" i="17"/>
  <c r="L449" i="17"/>
  <c r="L441" i="17"/>
  <c r="L433" i="17"/>
  <c r="L425" i="17"/>
  <c r="L417" i="17"/>
  <c r="L409" i="17"/>
  <c r="L401" i="17"/>
  <c r="L393" i="17"/>
  <c r="L385" i="17"/>
  <c r="L377" i="17"/>
  <c r="L369" i="17"/>
  <c r="L361" i="17"/>
  <c r="L353" i="17"/>
  <c r="L345" i="17"/>
  <c r="L337" i="17"/>
  <c r="L329" i="17"/>
  <c r="L321" i="17"/>
  <c r="K415" i="17"/>
  <c r="K407" i="17"/>
  <c r="K609" i="17"/>
  <c r="K601" i="17"/>
  <c r="K612" i="17"/>
  <c r="K604" i="17"/>
  <c r="K596" i="17"/>
  <c r="L588" i="17"/>
  <c r="L580" i="17"/>
  <c r="L572" i="17"/>
  <c r="L564" i="17"/>
  <c r="L556" i="17"/>
  <c r="L548" i="17"/>
  <c r="K588" i="17"/>
  <c r="K572" i="17"/>
  <c r="K556" i="17"/>
  <c r="K542" i="17"/>
  <c r="K534" i="17"/>
  <c r="K526" i="17"/>
  <c r="L589" i="17"/>
  <c r="L573" i="17"/>
  <c r="L557" i="17"/>
  <c r="L542" i="17"/>
  <c r="L534" i="17"/>
  <c r="L526" i="17"/>
  <c r="L518" i="17"/>
  <c r="K511" i="17"/>
  <c r="K503" i="17"/>
  <c r="K495" i="17"/>
  <c r="K487" i="17"/>
  <c r="K479" i="17"/>
  <c r="K471" i="17"/>
  <c r="K463" i="17"/>
  <c r="K455" i="17"/>
  <c r="K447" i="17"/>
  <c r="K439" i="17"/>
  <c r="K431" i="17"/>
  <c r="K423" i="17"/>
  <c r="K518" i="17"/>
  <c r="K510" i="17"/>
  <c r="K502" i="17"/>
  <c r="K494" i="17"/>
  <c r="K486" i="17"/>
  <c r="K478" i="17"/>
  <c r="K470" i="17"/>
  <c r="K462" i="17"/>
  <c r="K454" i="17"/>
  <c r="K446" i="17"/>
  <c r="K438" i="17"/>
  <c r="K430" i="17"/>
  <c r="K422" i="17"/>
  <c r="K414" i="17"/>
  <c r="K406" i="17"/>
  <c r="K398" i="17"/>
  <c r="K390" i="17"/>
  <c r="K382" i="17"/>
  <c r="K374" i="17"/>
  <c r="K366" i="17"/>
  <c r="K358" i="17"/>
  <c r="K350" i="17"/>
  <c r="K342" i="17"/>
  <c r="K332" i="17"/>
  <c r="K316" i="17"/>
  <c r="L404" i="17"/>
  <c r="L396" i="17"/>
  <c r="L388" i="17"/>
  <c r="L626" i="17"/>
  <c r="L108" i="17"/>
  <c r="L100" i="17"/>
  <c r="L92" i="17"/>
  <c r="L84" i="17"/>
  <c r="L76" i="17"/>
  <c r="L68" i="17"/>
  <c r="L60" i="17"/>
  <c r="L52" i="17"/>
  <c r="L44" i="17"/>
  <c r="L36" i="17"/>
  <c r="L28" i="17"/>
  <c r="L20" i="17"/>
  <c r="L109" i="17"/>
  <c r="L105" i="17"/>
  <c r="L101" i="17"/>
  <c r="L97" i="17"/>
  <c r="L93" i="17"/>
  <c r="L89" i="17"/>
  <c r="L85" i="17"/>
  <c r="L81" i="17"/>
  <c r="L77" i="17"/>
  <c r="L73" i="17"/>
  <c r="L69" i="17"/>
  <c r="L65" i="17"/>
  <c r="L61" i="17"/>
  <c r="L57" i="17"/>
  <c r="L53" i="17"/>
  <c r="L49" i="17"/>
  <c r="L45" i="17"/>
  <c r="L41" i="17"/>
  <c r="L37" i="17"/>
  <c r="L33" i="17"/>
  <c r="L29" i="17"/>
  <c r="L25" i="17"/>
  <c r="L21" i="17"/>
  <c r="L15" i="17"/>
  <c r="K105" i="17"/>
  <c r="K97" i="17"/>
  <c r="K89" i="17"/>
  <c r="K81" i="17"/>
  <c r="K73" i="17"/>
  <c r="K65" i="17"/>
  <c r="K57" i="17"/>
  <c r="K49" i="17"/>
  <c r="K41" i="17"/>
  <c r="K33" i="17"/>
  <c r="K25" i="17"/>
  <c r="K17" i="17"/>
  <c r="K16" i="17"/>
  <c r="L114" i="17"/>
  <c r="K113" i="17"/>
  <c r="L118" i="17"/>
  <c r="L126" i="17"/>
  <c r="L134" i="17"/>
  <c r="L142" i="17"/>
  <c r="L150" i="17"/>
  <c r="L158" i="17"/>
  <c r="L166" i="17"/>
  <c r="L174" i="17"/>
  <c r="L182" i="17"/>
  <c r="L190" i="17"/>
  <c r="L198" i="17"/>
  <c r="L206" i="17"/>
  <c r="L214" i="17"/>
  <c r="L222" i="17"/>
  <c r="L230" i="17"/>
  <c r="L238" i="17"/>
  <c r="L246" i="17"/>
  <c r="L254" i="17"/>
  <c r="L262" i="17"/>
  <c r="L270" i="17"/>
  <c r="L278" i="17"/>
  <c r="L286" i="17"/>
  <c r="L294" i="17"/>
  <c r="L302" i="17"/>
  <c r="L310" i="17"/>
  <c r="L113" i="17"/>
  <c r="L121" i="17"/>
  <c r="L129" i="17"/>
  <c r="L137" i="17"/>
  <c r="L145" i="17"/>
  <c r="L153" i="17"/>
  <c r="L161" i="17"/>
  <c r="L169" i="17"/>
  <c r="L177" i="17"/>
  <c r="L185" i="17"/>
  <c r="L193" i="17"/>
  <c r="L201" i="17"/>
  <c r="L209" i="17"/>
  <c r="L217" i="17"/>
  <c r="L225" i="17"/>
  <c r="L233" i="17"/>
  <c r="L241" i="17"/>
  <c r="L249" i="17"/>
  <c r="L257" i="17"/>
  <c r="L265" i="17"/>
  <c r="L273" i="17"/>
  <c r="L281" i="17"/>
  <c r="L289" i="17"/>
  <c r="L297" i="17"/>
  <c r="L305" i="17"/>
  <c r="L313" i="17"/>
  <c r="K321" i="17"/>
  <c r="K329" i="17"/>
  <c r="K337" i="17"/>
  <c r="K345" i="17"/>
  <c r="K353" i="17"/>
  <c r="K361" i="17"/>
  <c r="K369" i="17"/>
  <c r="K377" i="17"/>
  <c r="K385" i="17"/>
  <c r="K393" i="17"/>
  <c r="K401" i="17"/>
  <c r="L412" i="17"/>
  <c r="K326" i="17"/>
  <c r="K125" i="17"/>
  <c r="K133" i="17"/>
  <c r="K141" i="17"/>
  <c r="K149" i="17"/>
  <c r="K157" i="17"/>
  <c r="K165" i="17"/>
  <c r="K173" i="17"/>
  <c r="K181" i="17"/>
  <c r="K189" i="17"/>
  <c r="K197" i="17"/>
  <c r="K205" i="17"/>
  <c r="K213" i="17"/>
  <c r="K221" i="17"/>
  <c r="K229" i="17"/>
  <c r="K237" i="17"/>
  <c r="K245" i="17"/>
  <c r="K253" i="17"/>
  <c r="K261" i="17"/>
  <c r="K269" i="17"/>
  <c r="K277" i="17"/>
  <c r="K285" i="17"/>
  <c r="K293" i="17"/>
  <c r="K301" i="17"/>
  <c r="K309" i="17"/>
  <c r="K112" i="17"/>
  <c r="K120" i="17"/>
  <c r="K128" i="17"/>
  <c r="K136" i="17"/>
  <c r="K144" i="17"/>
  <c r="K152" i="17"/>
  <c r="K160" i="17"/>
  <c r="K168" i="17"/>
  <c r="K176" i="17"/>
  <c r="K184" i="17"/>
  <c r="K192" i="17"/>
  <c r="K200" i="17"/>
  <c r="K208" i="17"/>
  <c r="K216" i="17"/>
  <c r="K224" i="17"/>
  <c r="K232" i="17"/>
  <c r="K240" i="17"/>
  <c r="K248" i="17"/>
  <c r="K256" i="17"/>
  <c r="K264" i="17"/>
  <c r="K272" i="17"/>
  <c r="K280" i="17"/>
  <c r="K288" i="17"/>
  <c r="K296" i="17"/>
  <c r="K304" i="17"/>
  <c r="K312" i="17"/>
  <c r="L320" i="17"/>
  <c r="L328" i="17"/>
  <c r="L336" i="17"/>
  <c r="L344" i="17"/>
  <c r="L352" i="17"/>
  <c r="L360" i="17"/>
  <c r="L368" i="17"/>
  <c r="L376" i="17"/>
  <c r="L384" i="17"/>
  <c r="L398" i="17"/>
  <c r="K320" i="17"/>
  <c r="K344" i="17"/>
  <c r="K360" i="17"/>
  <c r="K376" i="17"/>
  <c r="K392" i="17"/>
  <c r="K408" i="17"/>
  <c r="K424" i="17"/>
  <c r="K440" i="17"/>
  <c r="K456" i="17"/>
  <c r="K472" i="17"/>
  <c r="K488" i="17"/>
  <c r="K504" i="17"/>
  <c r="K417" i="17"/>
  <c r="K433" i="17"/>
  <c r="K449" i="17"/>
  <c r="K465" i="17"/>
  <c r="K481" i="17"/>
  <c r="K497" i="17"/>
  <c r="K513" i="17"/>
  <c r="L528" i="17"/>
  <c r="L545" i="17"/>
  <c r="L577" i="17"/>
  <c r="K528" i="17"/>
  <c r="K544" i="17"/>
  <c r="K576" i="17"/>
  <c r="L550" i="17"/>
  <c r="L566" i="17"/>
  <c r="L582" i="17"/>
  <c r="K598" i="17"/>
  <c r="K595" i="17"/>
  <c r="K611" i="17"/>
  <c r="L315" i="17"/>
  <c r="L331" i="17"/>
  <c r="L347" i="17"/>
  <c r="L363" i="17"/>
  <c r="L379" i="17"/>
  <c r="L395" i="17"/>
  <c r="L411" i="17"/>
  <c r="L427" i="17"/>
  <c r="L443" i="17"/>
  <c r="L459" i="17"/>
  <c r="L475" i="17"/>
  <c r="L491" i="17"/>
  <c r="L507" i="17"/>
  <c r="L420" i="17"/>
  <c r="L436" i="17"/>
  <c r="L452" i="17"/>
  <c r="L468" i="17"/>
  <c r="L484" i="17"/>
  <c r="L500" i="17"/>
  <c r="L516" i="17"/>
  <c r="K531" i="17"/>
  <c r="L551" i="17"/>
  <c r="L583" i="17"/>
  <c r="L531" i="17"/>
  <c r="K550" i="17"/>
  <c r="K582" i="17"/>
  <c r="K553" i="17"/>
  <c r="K569" i="17"/>
  <c r="K585" i="17"/>
  <c r="L601" i="17"/>
  <c r="L598" i="17"/>
  <c r="A625" i="17"/>
  <c r="L587" i="17"/>
  <c r="L571" i="17"/>
  <c r="L555" i="17"/>
  <c r="K541" i="17"/>
  <c r="K533" i="17"/>
  <c r="K525" i="17"/>
  <c r="L519" i="17"/>
  <c r="L510" i="17"/>
  <c r="L502" i="17"/>
  <c r="L494" i="17"/>
  <c r="L486" i="17"/>
  <c r="L478" i="17"/>
  <c r="L470" i="17"/>
  <c r="L462" i="17"/>
  <c r="L454" i="17"/>
  <c r="L446" i="17"/>
  <c r="L438" i="17"/>
  <c r="L430" i="17"/>
  <c r="L422" i="17"/>
  <c r="L517" i="17"/>
  <c r="L509" i="17"/>
  <c r="L501" i="17"/>
  <c r="L493" i="17"/>
  <c r="L485" i="17"/>
  <c r="L477" i="17"/>
  <c r="L469" i="17"/>
  <c r="L461" i="17"/>
  <c r="L453" i="17"/>
  <c r="L445" i="17"/>
  <c r="L437" i="17"/>
  <c r="L429" i="17"/>
  <c r="L421" i="17"/>
  <c r="L413" i="17"/>
  <c r="L405" i="17"/>
  <c r="L397" i="17"/>
  <c r="L389" i="17"/>
  <c r="L381" i="17"/>
  <c r="L373" i="17"/>
  <c r="L365" i="17"/>
  <c r="L357" i="17"/>
  <c r="L349" i="17"/>
  <c r="L341" i="17"/>
  <c r="L333" i="17"/>
  <c r="L325" i="17"/>
  <c r="L317" i="17"/>
  <c r="K411" i="17"/>
  <c r="K613" i="17"/>
  <c r="K605" i="17"/>
  <c r="K597" i="17"/>
  <c r="K608" i="17"/>
  <c r="K600" i="17"/>
  <c r="L592" i="17"/>
  <c r="L584" i="17"/>
  <c r="L576" i="17"/>
  <c r="L568" i="17"/>
  <c r="L560" i="17"/>
  <c r="L552" i="17"/>
  <c r="L544" i="17"/>
  <c r="K580" i="17"/>
  <c r="K564" i="17"/>
  <c r="K548" i="17"/>
  <c r="K538" i="17"/>
  <c r="K530" i="17"/>
  <c r="K522" i="17"/>
  <c r="L581" i="17"/>
  <c r="L565" i="17"/>
  <c r="L549" i="17"/>
  <c r="L538" i="17"/>
  <c r="L530" i="17"/>
  <c r="L522" i="17"/>
  <c r="K515" i="17"/>
  <c r="K507" i="17"/>
  <c r="K499" i="17"/>
  <c r="K491" i="17"/>
  <c r="K483" i="17"/>
  <c r="K475" i="17"/>
  <c r="K467" i="17"/>
  <c r="K459" i="17"/>
  <c r="K451" i="17"/>
  <c r="K443" i="17"/>
  <c r="K435" i="17"/>
  <c r="K427" i="17"/>
  <c r="K419" i="17"/>
  <c r="K514" i="17"/>
  <c r="K506" i="17"/>
  <c r="K498" i="17"/>
  <c r="K490" i="17"/>
  <c r="K482" i="17"/>
  <c r="K474" i="17"/>
  <c r="K466" i="17"/>
  <c r="K458" i="17"/>
  <c r="K450" i="17"/>
  <c r="K442" i="17"/>
  <c r="K434" i="17"/>
  <c r="K426" i="17"/>
  <c r="K418" i="17"/>
  <c r="K410" i="17"/>
  <c r="K402" i="17"/>
  <c r="K394" i="17"/>
  <c r="K386" i="17"/>
  <c r="K378" i="17"/>
  <c r="K370" i="17"/>
  <c r="K362" i="17"/>
  <c r="K354" i="17"/>
  <c r="K346" i="17"/>
  <c r="K338" i="17"/>
  <c r="K324" i="17"/>
  <c r="L410" i="17"/>
  <c r="L400" i="17"/>
  <c r="L392" i="17"/>
  <c r="L623" i="17"/>
  <c r="K622" i="17"/>
  <c r="L104" i="17"/>
  <c r="L96" i="17"/>
  <c r="L88" i="17"/>
  <c r="L80" i="17"/>
  <c r="L72" i="17"/>
  <c r="L64" i="17"/>
  <c r="L56" i="17"/>
  <c r="L48" i="17"/>
  <c r="L40" i="17"/>
  <c r="L32" i="17"/>
  <c r="L24" i="17"/>
  <c r="L16" i="17"/>
  <c r="L107" i="17"/>
  <c r="L103" i="17"/>
  <c r="L99" i="17"/>
  <c r="L95" i="17"/>
  <c r="L91" i="17"/>
  <c r="L87" i="17"/>
  <c r="L83" i="17"/>
  <c r="L79" i="17"/>
  <c r="L75" i="17"/>
  <c r="L71" i="17"/>
  <c r="L67" i="17"/>
  <c r="L63" i="17"/>
  <c r="L59" i="17"/>
  <c r="L55" i="17"/>
  <c r="L51" i="17"/>
  <c r="L47" i="17"/>
  <c r="L43" i="17"/>
  <c r="L39" i="17"/>
  <c r="L35" i="17"/>
  <c r="L31" i="17"/>
  <c r="L27" i="17"/>
  <c r="L23" i="17"/>
  <c r="L19" i="17"/>
  <c r="K109" i="17"/>
  <c r="K101" i="17"/>
  <c r="K93" i="17"/>
  <c r="K85" i="17"/>
  <c r="K77" i="17"/>
  <c r="K69" i="17"/>
  <c r="K61" i="17"/>
  <c r="K53" i="17"/>
  <c r="K45" i="17"/>
  <c r="K37" i="17"/>
  <c r="K29" i="17"/>
  <c r="K21" i="17"/>
  <c r="K13" i="17"/>
  <c r="L110" i="17"/>
  <c r="K121" i="17"/>
  <c r="K119" i="17"/>
  <c r="L122" i="17"/>
  <c r="L130" i="17"/>
  <c r="L138" i="17"/>
  <c r="L146" i="17"/>
  <c r="L154" i="17"/>
  <c r="L162" i="17"/>
  <c r="L170" i="17"/>
  <c r="L178" i="17"/>
  <c r="L186" i="17"/>
  <c r="L194" i="17"/>
  <c r="L202" i="17"/>
  <c r="L210" i="17"/>
  <c r="L218" i="17"/>
  <c r="L226" i="17"/>
  <c r="L234" i="17"/>
  <c r="L242" i="17"/>
  <c r="L250" i="17"/>
  <c r="L258" i="17"/>
  <c r="L266" i="17"/>
  <c r="L274" i="17"/>
  <c r="L282" i="17"/>
  <c r="L290" i="17"/>
  <c r="L298" i="17"/>
  <c r="L306" i="17"/>
  <c r="L314" i="17"/>
  <c r="L117" i="17"/>
  <c r="L125" i="17"/>
  <c r="L133" i="17"/>
  <c r="L141" i="17"/>
  <c r="L149" i="17"/>
  <c r="L157" i="17"/>
  <c r="L165" i="17"/>
  <c r="L173" i="17"/>
  <c r="L181" i="17"/>
  <c r="L189" i="17"/>
  <c r="L197" i="17"/>
  <c r="L205" i="17"/>
  <c r="L213" i="17"/>
  <c r="L221" i="17"/>
  <c r="L229" i="17"/>
  <c r="L237" i="17"/>
  <c r="L245" i="17"/>
  <c r="L253" i="17"/>
  <c r="L261" i="17"/>
  <c r="L269" i="17"/>
  <c r="L277" i="17"/>
  <c r="L285" i="17"/>
  <c r="L293" i="17"/>
  <c r="L301" i="17"/>
  <c r="L309" i="17"/>
  <c r="K317" i="17"/>
  <c r="K325" i="17"/>
  <c r="K333" i="17"/>
  <c r="K341" i="17"/>
  <c r="K349" i="17"/>
  <c r="K357" i="17"/>
  <c r="K365" i="17"/>
  <c r="K373" i="17"/>
  <c r="K381" i="17"/>
  <c r="K389" i="17"/>
  <c r="K397" i="17"/>
  <c r="K405" i="17"/>
  <c r="K318" i="17"/>
  <c r="K334" i="17"/>
  <c r="K129" i="17"/>
  <c r="K137" i="17"/>
  <c r="K145" i="17"/>
  <c r="K153" i="17"/>
  <c r="K161" i="17"/>
  <c r="K169" i="17"/>
  <c r="K177" i="17"/>
  <c r="K185" i="17"/>
  <c r="K193" i="17"/>
  <c r="K201" i="17"/>
  <c r="K209" i="17"/>
  <c r="K217" i="17"/>
  <c r="K225" i="17"/>
  <c r="K233" i="17"/>
  <c r="K241" i="17"/>
  <c r="K249" i="17"/>
  <c r="K257" i="17"/>
  <c r="K265" i="17"/>
  <c r="K273" i="17"/>
  <c r="K281" i="17"/>
  <c r="K289" i="17"/>
  <c r="K297" i="17"/>
  <c r="K305" i="17"/>
  <c r="K313" i="17"/>
  <c r="K116" i="17"/>
  <c r="K124" i="17"/>
  <c r="K132" i="17"/>
  <c r="K140" i="17"/>
  <c r="K148" i="17"/>
  <c r="K156" i="17"/>
  <c r="K164" i="17"/>
  <c r="K172" i="17"/>
  <c r="K180" i="17"/>
  <c r="K188" i="17"/>
  <c r="K196" i="17"/>
  <c r="K204" i="17"/>
  <c r="K212" i="17"/>
  <c r="K220" i="17"/>
  <c r="K228" i="17"/>
  <c r="K236" i="17"/>
  <c r="K244" i="17"/>
  <c r="K252" i="17"/>
  <c r="K260" i="17"/>
  <c r="K268" i="17"/>
  <c r="K276" i="17"/>
  <c r="K284" i="17"/>
  <c r="K292" i="17"/>
  <c r="K300" i="17"/>
  <c r="K308" i="17"/>
  <c r="L316" i="17"/>
  <c r="L324" i="17"/>
  <c r="L332" i="17"/>
  <c r="L340" i="17"/>
  <c r="L348" i="17"/>
  <c r="L356" i="17"/>
  <c r="L364" i="17"/>
  <c r="L372" i="17"/>
  <c r="L380" i="17"/>
  <c r="L390" i="17"/>
  <c r="L406" i="17"/>
  <c r="K336" i="17"/>
  <c r="K352" i="17"/>
  <c r="K368" i="17"/>
  <c r="K384" i="17"/>
  <c r="K400" i="17"/>
  <c r="K416" i="17"/>
  <c r="K432" i="17"/>
  <c r="K448" i="17"/>
  <c r="K464" i="17"/>
  <c r="K480" i="17"/>
  <c r="K496" i="17"/>
  <c r="K512" i="17"/>
  <c r="K425" i="17"/>
  <c r="K441" i="17"/>
  <c r="K457" i="17"/>
  <c r="K473" i="17"/>
  <c r="K489" i="17"/>
  <c r="K505" i="17"/>
  <c r="L520" i="17"/>
  <c r="L536" i="17"/>
  <c r="L561" i="17"/>
  <c r="L593" i="17"/>
  <c r="K536" i="17"/>
  <c r="K560" i="17"/>
  <c r="K592" i="17"/>
  <c r="L558" i="17"/>
  <c r="L574" i="17"/>
  <c r="L590" i="17"/>
  <c r="K606" i="17"/>
  <c r="K603" i="17"/>
  <c r="K409" i="17"/>
  <c r="L323" i="17"/>
  <c r="L339" i="17"/>
  <c r="L355" i="17"/>
  <c r="L371" i="17"/>
  <c r="L387" i="17"/>
  <c r="L403" i="17"/>
  <c r="L419" i="17"/>
  <c r="L435" i="17"/>
  <c r="L451" i="17"/>
  <c r="L467" i="17"/>
  <c r="L483" i="17"/>
  <c r="L499" i="17"/>
  <c r="L515" i="17"/>
  <c r="L428" i="17"/>
  <c r="L444" i="17"/>
  <c r="L460" i="17"/>
  <c r="L476" i="17"/>
  <c r="L492" i="17"/>
  <c r="L508" i="17"/>
  <c r="K523" i="17"/>
  <c r="K539" i="17"/>
  <c r="L567" i="17"/>
  <c r="L523" i="17"/>
  <c r="L539" i="17"/>
  <c r="K566" i="17"/>
  <c r="K545" i="17"/>
  <c r="K561" i="17"/>
  <c r="K577" i="17"/>
  <c r="K593" i="17"/>
  <c r="L609" i="17"/>
  <c r="L606" i="17"/>
  <c r="H627" i="25" l="1"/>
  <c r="G627" i="25"/>
  <c r="P627" i="25"/>
  <c r="O627" i="25"/>
  <c r="Y624" i="25"/>
  <c r="N613" i="25"/>
  <c r="N611" i="25"/>
  <c r="N609" i="25"/>
  <c r="M613" i="25"/>
  <c r="M611" i="25"/>
  <c r="M609" i="25"/>
  <c r="M612" i="25"/>
  <c r="M610" i="25"/>
  <c r="M608" i="25"/>
  <c r="M605" i="25"/>
  <c r="M603" i="25"/>
  <c r="M601" i="25"/>
  <c r="M599" i="25"/>
  <c r="M597" i="25"/>
  <c r="N610" i="25"/>
  <c r="N606" i="25"/>
  <c r="N604" i="25"/>
  <c r="N602" i="25"/>
  <c r="N600" i="25"/>
  <c r="N598" i="25"/>
  <c r="N608" i="25"/>
  <c r="M607" i="25"/>
  <c r="N605" i="25"/>
  <c r="N603" i="25"/>
  <c r="N601" i="25"/>
  <c r="N599" i="25"/>
  <c r="N597" i="25"/>
  <c r="N595" i="25"/>
  <c r="N593" i="25"/>
  <c r="N607" i="25"/>
  <c r="M604" i="25"/>
  <c r="M596" i="25"/>
  <c r="M595" i="25"/>
  <c r="N594" i="25"/>
  <c r="N590" i="25"/>
  <c r="N588" i="25"/>
  <c r="N586" i="25"/>
  <c r="M606" i="25"/>
  <c r="M598" i="25"/>
  <c r="M594" i="25"/>
  <c r="M593" i="25"/>
  <c r="N592" i="25"/>
  <c r="M590" i="25"/>
  <c r="M588" i="25"/>
  <c r="M586" i="25"/>
  <c r="M584" i="25"/>
  <c r="M602" i="25"/>
  <c r="N596" i="25"/>
  <c r="M591" i="25"/>
  <c r="M589" i="25"/>
  <c r="M587" i="25"/>
  <c r="M585" i="25"/>
  <c r="M583" i="25"/>
  <c r="M581" i="25"/>
  <c r="M579" i="25"/>
  <c r="M577" i="25"/>
  <c r="N612" i="25"/>
  <c r="N591" i="25"/>
  <c r="N582" i="25"/>
  <c r="N577" i="25"/>
  <c r="M575" i="25"/>
  <c r="M573" i="25"/>
  <c r="M571" i="25"/>
  <c r="M569" i="25"/>
  <c r="M567" i="25"/>
  <c r="M565" i="25"/>
  <c r="M563" i="25"/>
  <c r="M561" i="25"/>
  <c r="M559" i="25"/>
  <c r="M557" i="25"/>
  <c r="M600" i="25"/>
  <c r="N585" i="25"/>
  <c r="N583" i="25"/>
  <c r="M582" i="25"/>
  <c r="N580" i="25"/>
  <c r="N576" i="25"/>
  <c r="N574" i="25"/>
  <c r="N572" i="25"/>
  <c r="N570" i="25"/>
  <c r="N568" i="25"/>
  <c r="N566" i="25"/>
  <c r="M592" i="25"/>
  <c r="N589" i="25"/>
  <c r="N579" i="25"/>
  <c r="M578" i="25"/>
  <c r="N575" i="25"/>
  <c r="N573" i="25"/>
  <c r="N571" i="25"/>
  <c r="N569" i="25"/>
  <c r="N567" i="25"/>
  <c r="N584" i="25"/>
  <c r="M576" i="25"/>
  <c r="M568" i="25"/>
  <c r="N563" i="25"/>
  <c r="M562" i="25"/>
  <c r="N560" i="25"/>
  <c r="M556" i="25"/>
  <c r="M554" i="25"/>
  <c r="M552" i="25"/>
  <c r="M550" i="25"/>
  <c r="M548" i="25"/>
  <c r="M546" i="25"/>
  <c r="M544" i="25"/>
  <c r="M542" i="25"/>
  <c r="M540" i="25"/>
  <c r="M538" i="25"/>
  <c r="M536" i="25"/>
  <c r="M534" i="25"/>
  <c r="M532" i="25"/>
  <c r="M530" i="25"/>
  <c r="M528" i="25"/>
  <c r="M526" i="25"/>
  <c r="M570" i="25"/>
  <c r="N561" i="25"/>
  <c r="M560" i="25"/>
  <c r="N558" i="25"/>
  <c r="N555" i="25"/>
  <c r="N553" i="25"/>
  <c r="N551" i="25"/>
  <c r="N549" i="25"/>
  <c r="N547" i="25"/>
  <c r="N545" i="25"/>
  <c r="N543" i="25"/>
  <c r="N541" i="25"/>
  <c r="N539" i="25"/>
  <c r="N587" i="25"/>
  <c r="N578" i="25"/>
  <c r="M574" i="25"/>
  <c r="M566" i="25"/>
  <c r="N565" i="25"/>
  <c r="M564" i="25"/>
  <c r="N562" i="25"/>
  <c r="N557" i="25"/>
  <c r="N556" i="25"/>
  <c r="N554" i="25"/>
  <c r="N552" i="25"/>
  <c r="N550" i="25"/>
  <c r="N548" i="25"/>
  <c r="N546" i="25"/>
  <c r="N544" i="25"/>
  <c r="N542" i="25"/>
  <c r="N540" i="25"/>
  <c r="M549" i="25"/>
  <c r="M541" i="25"/>
  <c r="N534" i="25"/>
  <c r="M533" i="25"/>
  <c r="N531" i="25"/>
  <c r="N526" i="25"/>
  <c r="M525" i="25"/>
  <c r="N524" i="25"/>
  <c r="M572" i="25"/>
  <c r="N564" i="25"/>
  <c r="N559" i="25"/>
  <c r="M558" i="25"/>
  <c r="M551" i="25"/>
  <c r="M543" i="25"/>
  <c r="N537" i="25"/>
  <c r="N532" i="25"/>
  <c r="M531" i="25"/>
  <c r="N529" i="25"/>
  <c r="M524" i="25"/>
  <c r="M580" i="25"/>
  <c r="M555" i="25"/>
  <c r="M547" i="25"/>
  <c r="M539" i="25"/>
  <c r="N536" i="25"/>
  <c r="M535" i="25"/>
  <c r="N533" i="25"/>
  <c r="N528" i="25"/>
  <c r="M527" i="25"/>
  <c r="N525" i="25"/>
  <c r="M523" i="25"/>
  <c r="M521" i="25"/>
  <c r="M519" i="25"/>
  <c r="M517" i="25"/>
  <c r="M515" i="25"/>
  <c r="M513" i="25"/>
  <c r="N581" i="25"/>
  <c r="M545" i="25"/>
  <c r="N527" i="25"/>
  <c r="N521" i="25"/>
  <c r="M520" i="25"/>
  <c r="N518" i="25"/>
  <c r="N513" i="25"/>
  <c r="M512" i="25"/>
  <c r="M510" i="25"/>
  <c r="M508" i="25"/>
  <c r="M506" i="25"/>
  <c r="M504" i="25"/>
  <c r="M502" i="25"/>
  <c r="M500" i="25"/>
  <c r="M498" i="25"/>
  <c r="M496" i="25"/>
  <c r="M494" i="25"/>
  <c r="M492" i="25"/>
  <c r="M490" i="25"/>
  <c r="M488" i="25"/>
  <c r="M486" i="25"/>
  <c r="M484" i="25"/>
  <c r="M482" i="25"/>
  <c r="M480" i="25"/>
  <c r="M478" i="25"/>
  <c r="M476" i="25"/>
  <c r="M474" i="25"/>
  <c r="M472" i="25"/>
  <c r="M470" i="25"/>
  <c r="M468" i="25"/>
  <c r="M466" i="25"/>
  <c r="M464" i="25"/>
  <c r="M553" i="25"/>
  <c r="N519" i="25"/>
  <c r="M518" i="25"/>
  <c r="N516" i="25"/>
  <c r="N511" i="25"/>
  <c r="N509" i="25"/>
  <c r="N507" i="25"/>
  <c r="N505" i="25"/>
  <c r="N503" i="25"/>
  <c r="N501" i="25"/>
  <c r="N499" i="25"/>
  <c r="N497" i="25"/>
  <c r="N495" i="25"/>
  <c r="N493" i="25"/>
  <c r="N491" i="25"/>
  <c r="N489" i="25"/>
  <c r="N487" i="25"/>
  <c r="N485" i="25"/>
  <c r="N483" i="25"/>
  <c r="N535" i="25"/>
  <c r="N530" i="25"/>
  <c r="M529" i="25"/>
  <c r="N523" i="25"/>
  <c r="M522" i="25"/>
  <c r="N520" i="25"/>
  <c r="N515" i="25"/>
  <c r="M514" i="25"/>
  <c r="N512" i="25"/>
  <c r="N510" i="25"/>
  <c r="N508" i="25"/>
  <c r="N506" i="25"/>
  <c r="N504" i="25"/>
  <c r="N502" i="25"/>
  <c r="N500" i="25"/>
  <c r="N498" i="25"/>
  <c r="N496" i="25"/>
  <c r="N494" i="25"/>
  <c r="N492" i="25"/>
  <c r="N490" i="25"/>
  <c r="N488" i="25"/>
  <c r="N486" i="25"/>
  <c r="N538" i="25"/>
  <c r="M509" i="25"/>
  <c r="M501" i="25"/>
  <c r="M493" i="25"/>
  <c r="M485" i="25"/>
  <c r="N484" i="25"/>
  <c r="N478" i="25"/>
  <c r="M477" i="25"/>
  <c r="N475" i="25"/>
  <c r="N470" i="25"/>
  <c r="M469" i="25"/>
  <c r="N467" i="25"/>
  <c r="N463" i="25"/>
  <c r="N461" i="25"/>
  <c r="N459" i="25"/>
  <c r="N457" i="25"/>
  <c r="N455" i="25"/>
  <c r="N453" i="25"/>
  <c r="N451" i="25"/>
  <c r="N449" i="25"/>
  <c r="N447" i="25"/>
  <c r="N445" i="25"/>
  <c r="N443" i="25"/>
  <c r="N441" i="25"/>
  <c r="N439" i="25"/>
  <c r="N437" i="25"/>
  <c r="N435" i="25"/>
  <c r="N433" i="25"/>
  <c r="N431" i="25"/>
  <c r="N429" i="25"/>
  <c r="N427" i="25"/>
  <c r="N425" i="25"/>
  <c r="N423" i="25"/>
  <c r="N421" i="25"/>
  <c r="N419" i="25"/>
  <c r="N417" i="25"/>
  <c r="N415" i="25"/>
  <c r="N413" i="25"/>
  <c r="N411" i="25"/>
  <c r="N409" i="25"/>
  <c r="N407" i="25"/>
  <c r="N405" i="25"/>
  <c r="N403" i="25"/>
  <c r="N401" i="25"/>
  <c r="M537" i="25"/>
  <c r="M511" i="25"/>
  <c r="M503" i="25"/>
  <c r="M495" i="25"/>
  <c r="M487" i="25"/>
  <c r="N481" i="25"/>
  <c r="N476" i="25"/>
  <c r="M475" i="25"/>
  <c r="N473" i="25"/>
  <c r="N468" i="25"/>
  <c r="M467" i="25"/>
  <c r="N465" i="25"/>
  <c r="M463" i="25"/>
  <c r="M461" i="25"/>
  <c r="M459" i="25"/>
  <c r="M457" i="25"/>
  <c r="M455" i="25"/>
  <c r="M453" i="25"/>
  <c r="M451" i="25"/>
  <c r="M449" i="25"/>
  <c r="M447" i="25"/>
  <c r="M445" i="25"/>
  <c r="M443" i="25"/>
  <c r="M441" i="25"/>
  <c r="M439" i="25"/>
  <c r="M437" i="25"/>
  <c r="M435" i="25"/>
  <c r="M433" i="25"/>
  <c r="M431" i="25"/>
  <c r="M429" i="25"/>
  <c r="N514" i="25"/>
  <c r="M507" i="25"/>
  <c r="M499" i="25"/>
  <c r="M491" i="25"/>
  <c r="N480" i="25"/>
  <c r="M479" i="25"/>
  <c r="N477" i="25"/>
  <c r="N472" i="25"/>
  <c r="M471" i="25"/>
  <c r="N469" i="25"/>
  <c r="N464" i="25"/>
  <c r="M462" i="25"/>
  <c r="M460" i="25"/>
  <c r="M458" i="25"/>
  <c r="M456" i="25"/>
  <c r="M454" i="25"/>
  <c r="M452" i="25"/>
  <c r="M450" i="25"/>
  <c r="M448" i="25"/>
  <c r="M446" i="25"/>
  <c r="M444" i="25"/>
  <c r="M442" i="25"/>
  <c r="M440" i="25"/>
  <c r="M438" i="25"/>
  <c r="M436" i="25"/>
  <c r="M434" i="25"/>
  <c r="M432" i="25"/>
  <c r="M430" i="25"/>
  <c r="N517" i="25"/>
  <c r="M489" i="25"/>
  <c r="N479" i="25"/>
  <c r="N474" i="25"/>
  <c r="M473" i="25"/>
  <c r="N462" i="25"/>
  <c r="N454" i="25"/>
  <c r="N446" i="25"/>
  <c r="N438" i="25"/>
  <c r="N430" i="25"/>
  <c r="N428" i="25"/>
  <c r="M426" i="25"/>
  <c r="M425" i="25"/>
  <c r="N424" i="25"/>
  <c r="M418" i="25"/>
  <c r="M417" i="25"/>
  <c r="N416" i="25"/>
  <c r="M410" i="25"/>
  <c r="M409" i="25"/>
  <c r="N408" i="25"/>
  <c r="M402" i="25"/>
  <c r="M401" i="25"/>
  <c r="N522" i="25"/>
  <c r="M516" i="25"/>
  <c r="M497" i="25"/>
  <c r="M483" i="25"/>
  <c r="N471" i="25"/>
  <c r="N466" i="25"/>
  <c r="M465" i="25"/>
  <c r="N456" i="25"/>
  <c r="N448" i="25"/>
  <c r="N440" i="25"/>
  <c r="N432" i="25"/>
  <c r="M428" i="25"/>
  <c r="M424" i="25"/>
  <c r="M423" i="25"/>
  <c r="N422" i="25"/>
  <c r="M416" i="25"/>
  <c r="M415" i="25"/>
  <c r="N414" i="25"/>
  <c r="M408" i="25"/>
  <c r="M407" i="25"/>
  <c r="N406" i="25"/>
  <c r="N482" i="25"/>
  <c r="M481" i="25"/>
  <c r="N460" i="25"/>
  <c r="N452" i="25"/>
  <c r="N444" i="25"/>
  <c r="N436" i="25"/>
  <c r="M427" i="25"/>
  <c r="N426" i="25"/>
  <c r="M420" i="25"/>
  <c r="M419" i="25"/>
  <c r="N418" i="25"/>
  <c r="M412" i="25"/>
  <c r="M411" i="25"/>
  <c r="N410" i="25"/>
  <c r="M404" i="25"/>
  <c r="M403" i="25"/>
  <c r="N402" i="25"/>
  <c r="N398" i="25"/>
  <c r="N396" i="25"/>
  <c r="N394" i="25"/>
  <c r="N392" i="25"/>
  <c r="N390" i="25"/>
  <c r="N388" i="25"/>
  <c r="N386" i="25"/>
  <c r="N384" i="25"/>
  <c r="N382" i="25"/>
  <c r="N380" i="25"/>
  <c r="N378" i="25"/>
  <c r="N376" i="25"/>
  <c r="N458" i="25"/>
  <c r="M414" i="25"/>
  <c r="M413" i="25"/>
  <c r="N412" i="25"/>
  <c r="M400" i="25"/>
  <c r="M399" i="25"/>
  <c r="M398" i="25"/>
  <c r="N397" i="25"/>
  <c r="M391" i="25"/>
  <c r="M390" i="25"/>
  <c r="N389" i="25"/>
  <c r="M383" i="25"/>
  <c r="M382" i="25"/>
  <c r="N381" i="25"/>
  <c r="M375" i="25"/>
  <c r="N374" i="25"/>
  <c r="N372" i="25"/>
  <c r="N370" i="25"/>
  <c r="N368" i="25"/>
  <c r="N366" i="25"/>
  <c r="N364" i="25"/>
  <c r="N362" i="25"/>
  <c r="N360" i="25"/>
  <c r="N358" i="25"/>
  <c r="N356" i="25"/>
  <c r="N354" i="25"/>
  <c r="N352" i="25"/>
  <c r="N350" i="25"/>
  <c r="N348" i="25"/>
  <c r="N346" i="25"/>
  <c r="N344" i="25"/>
  <c r="N342" i="25"/>
  <c r="N340" i="25"/>
  <c r="N338" i="25"/>
  <c r="N336" i="25"/>
  <c r="N334" i="25"/>
  <c r="N332" i="25"/>
  <c r="N330" i="25"/>
  <c r="N328" i="25"/>
  <c r="N326" i="25"/>
  <c r="N324" i="25"/>
  <c r="N322" i="25"/>
  <c r="N320" i="25"/>
  <c r="N318" i="25"/>
  <c r="N316" i="25"/>
  <c r="N314" i="25"/>
  <c r="N312" i="25"/>
  <c r="N310" i="25"/>
  <c r="N308" i="25"/>
  <c r="N306" i="25"/>
  <c r="N304" i="25"/>
  <c r="N302" i="25"/>
  <c r="N300" i="25"/>
  <c r="N298" i="25"/>
  <c r="N296" i="25"/>
  <c r="N294" i="25"/>
  <c r="N292" i="25"/>
  <c r="N290" i="25"/>
  <c r="N288" i="25"/>
  <c r="N286" i="25"/>
  <c r="N284" i="25"/>
  <c r="N282" i="25"/>
  <c r="N280" i="25"/>
  <c r="N434" i="25"/>
  <c r="M406" i="25"/>
  <c r="M405" i="25"/>
  <c r="N404" i="25"/>
  <c r="M397" i="25"/>
  <c r="M396" i="25"/>
  <c r="N395" i="25"/>
  <c r="M389" i="25"/>
  <c r="M388" i="25"/>
  <c r="N387" i="25"/>
  <c r="M381" i="25"/>
  <c r="M380" i="25"/>
  <c r="N379" i="25"/>
  <c r="M374" i="25"/>
  <c r="M372" i="25"/>
  <c r="M370" i="25"/>
  <c r="M368" i="25"/>
  <c r="M366" i="25"/>
  <c r="N450" i="25"/>
  <c r="M422" i="25"/>
  <c r="M421" i="25"/>
  <c r="N420" i="25"/>
  <c r="N400" i="25"/>
  <c r="N399" i="25"/>
  <c r="M393" i="25"/>
  <c r="M392" i="25"/>
  <c r="N391" i="25"/>
  <c r="M385" i="25"/>
  <c r="M384" i="25"/>
  <c r="N383" i="25"/>
  <c r="M377" i="25"/>
  <c r="M376" i="25"/>
  <c r="N375" i="25"/>
  <c r="M373" i="25"/>
  <c r="M371" i="25"/>
  <c r="M369" i="25"/>
  <c r="M367" i="25"/>
  <c r="M365" i="25"/>
  <c r="M363" i="25"/>
  <c r="M361" i="25"/>
  <c r="M359" i="25"/>
  <c r="M357" i="25"/>
  <c r="M355" i="25"/>
  <c r="M353" i="25"/>
  <c r="M351" i="25"/>
  <c r="M349" i="25"/>
  <c r="M347" i="25"/>
  <c r="M345" i="25"/>
  <c r="M387" i="25"/>
  <c r="M386" i="25"/>
  <c r="N385" i="25"/>
  <c r="N371" i="25"/>
  <c r="M341" i="25"/>
  <c r="M340" i="25"/>
  <c r="N339" i="25"/>
  <c r="M333" i="25"/>
  <c r="M332" i="25"/>
  <c r="N331" i="25"/>
  <c r="M325" i="25"/>
  <c r="M324" i="25"/>
  <c r="N323" i="25"/>
  <c r="M317" i="25"/>
  <c r="M316" i="25"/>
  <c r="N315" i="25"/>
  <c r="M309" i="25"/>
  <c r="M308" i="25"/>
  <c r="N307" i="25"/>
  <c r="M301" i="25"/>
  <c r="M300" i="25"/>
  <c r="N299" i="25"/>
  <c r="M293" i="25"/>
  <c r="M292" i="25"/>
  <c r="N291" i="25"/>
  <c r="M285" i="25"/>
  <c r="M284" i="25"/>
  <c r="N283" i="25"/>
  <c r="N277" i="25"/>
  <c r="N275" i="25"/>
  <c r="N273" i="25"/>
  <c r="N271" i="25"/>
  <c r="N269" i="25"/>
  <c r="N267" i="25"/>
  <c r="N265" i="25"/>
  <c r="M379" i="25"/>
  <c r="M378" i="25"/>
  <c r="N377" i="25"/>
  <c r="N373" i="25"/>
  <c r="N365" i="25"/>
  <c r="M362" i="25"/>
  <c r="N361" i="25"/>
  <c r="M358" i="25"/>
  <c r="N357" i="25"/>
  <c r="M354" i="25"/>
  <c r="N353" i="25"/>
  <c r="M350" i="25"/>
  <c r="N349" i="25"/>
  <c r="M346" i="25"/>
  <c r="N345" i="25"/>
  <c r="M339" i="25"/>
  <c r="M338" i="25"/>
  <c r="N337" i="25"/>
  <c r="M331" i="25"/>
  <c r="M330" i="25"/>
  <c r="N329" i="25"/>
  <c r="M323" i="25"/>
  <c r="M322" i="25"/>
  <c r="N321" i="25"/>
  <c r="M315" i="25"/>
  <c r="M314" i="25"/>
  <c r="N313" i="25"/>
  <c r="M307" i="25"/>
  <c r="M306" i="25"/>
  <c r="N305" i="25"/>
  <c r="M299" i="25"/>
  <c r="M298" i="25"/>
  <c r="N297" i="25"/>
  <c r="M291" i="25"/>
  <c r="M290" i="25"/>
  <c r="N289" i="25"/>
  <c r="M283" i="25"/>
  <c r="M282" i="25"/>
  <c r="N281" i="25"/>
  <c r="M277" i="25"/>
  <c r="M275" i="25"/>
  <c r="M273" i="25"/>
  <c r="M271" i="25"/>
  <c r="M269" i="25"/>
  <c r="M267" i="25"/>
  <c r="M265" i="25"/>
  <c r="M505" i="25"/>
  <c r="N442" i="25"/>
  <c r="M395" i="25"/>
  <c r="M394" i="25"/>
  <c r="N393" i="25"/>
  <c r="N369" i="25"/>
  <c r="M364" i="25"/>
  <c r="N363" i="25"/>
  <c r="M360" i="25"/>
  <c r="N359" i="25"/>
  <c r="M356" i="25"/>
  <c r="N355" i="25"/>
  <c r="M352" i="25"/>
  <c r="N351" i="25"/>
  <c r="M348" i="25"/>
  <c r="N347" i="25"/>
  <c r="M344" i="25"/>
  <c r="M343" i="25"/>
  <c r="M342" i="25"/>
  <c r="N341" i="25"/>
  <c r="M335" i="25"/>
  <c r="M334" i="25"/>
  <c r="N333" i="25"/>
  <c r="M327" i="25"/>
  <c r="M326" i="25"/>
  <c r="N325" i="25"/>
  <c r="M319" i="25"/>
  <c r="M318" i="25"/>
  <c r="N317" i="25"/>
  <c r="M311" i="25"/>
  <c r="M310" i="25"/>
  <c r="N309" i="25"/>
  <c r="M303" i="25"/>
  <c r="M302" i="25"/>
  <c r="N301" i="25"/>
  <c r="M295" i="25"/>
  <c r="M294" i="25"/>
  <c r="N293" i="25"/>
  <c r="M287" i="25"/>
  <c r="M286" i="25"/>
  <c r="N285" i="25"/>
  <c r="M279" i="25"/>
  <c r="M278" i="25"/>
  <c r="M276" i="25"/>
  <c r="M274" i="25"/>
  <c r="M272" i="25"/>
  <c r="M270" i="25"/>
  <c r="M268" i="25"/>
  <c r="M266" i="25"/>
  <c r="M264" i="25"/>
  <c r="M262" i="25"/>
  <c r="M260" i="25"/>
  <c r="M258" i="25"/>
  <c r="M256" i="25"/>
  <c r="M254" i="25"/>
  <c r="M252" i="25"/>
  <c r="M250" i="25"/>
  <c r="M248" i="25"/>
  <c r="M246" i="25"/>
  <c r="M244" i="25"/>
  <c r="M242" i="25"/>
  <c r="M240" i="25"/>
  <c r="M238" i="25"/>
  <c r="M236" i="25"/>
  <c r="M234" i="25"/>
  <c r="M232" i="25"/>
  <c r="M230" i="25"/>
  <c r="M228" i="25"/>
  <c r="M226" i="25"/>
  <c r="N367" i="25"/>
  <c r="N343" i="25"/>
  <c r="M313" i="25"/>
  <c r="M312" i="25"/>
  <c r="N311" i="25"/>
  <c r="M281" i="25"/>
  <c r="M280" i="25"/>
  <c r="N279" i="25"/>
  <c r="N274" i="25"/>
  <c r="N266" i="25"/>
  <c r="N260" i="25"/>
  <c r="M259" i="25"/>
  <c r="N257" i="25"/>
  <c r="N252" i="25"/>
  <c r="M251" i="25"/>
  <c r="N249" i="25"/>
  <c r="N244" i="25"/>
  <c r="M243" i="25"/>
  <c r="N241" i="25"/>
  <c r="N236" i="25"/>
  <c r="M235" i="25"/>
  <c r="N233" i="25"/>
  <c r="N228" i="25"/>
  <c r="M227" i="25"/>
  <c r="M224" i="25"/>
  <c r="M222" i="25"/>
  <c r="M220" i="25"/>
  <c r="M218" i="25"/>
  <c r="M216" i="25"/>
  <c r="M214" i="25"/>
  <c r="M212" i="25"/>
  <c r="M210" i="25"/>
  <c r="M208" i="25"/>
  <c r="M206" i="25"/>
  <c r="M204" i="25"/>
  <c r="M202" i="25"/>
  <c r="M200" i="25"/>
  <c r="M198" i="25"/>
  <c r="M196" i="25"/>
  <c r="M194" i="25"/>
  <c r="M192" i="25"/>
  <c r="M190" i="25"/>
  <c r="M188" i="25"/>
  <c r="M186" i="25"/>
  <c r="M184" i="25"/>
  <c r="M182" i="25"/>
  <c r="M180" i="25"/>
  <c r="M178" i="25"/>
  <c r="M176" i="25"/>
  <c r="M174" i="25"/>
  <c r="M172" i="25"/>
  <c r="M170" i="25"/>
  <c r="M168" i="25"/>
  <c r="M166" i="25"/>
  <c r="M164" i="25"/>
  <c r="M162" i="25"/>
  <c r="M160" i="25"/>
  <c r="M158" i="25"/>
  <c r="M156" i="25"/>
  <c r="M154" i="25"/>
  <c r="M152" i="25"/>
  <c r="M150" i="25"/>
  <c r="M148" i="25"/>
  <c r="M146" i="25"/>
  <c r="M144" i="25"/>
  <c r="M142" i="25"/>
  <c r="M140" i="25"/>
  <c r="M138" i="25"/>
  <c r="M136" i="25"/>
  <c r="M134" i="25"/>
  <c r="M132" i="25"/>
  <c r="M130" i="25"/>
  <c r="M128" i="25"/>
  <c r="M126" i="25"/>
  <c r="M124" i="25"/>
  <c r="M122" i="25"/>
  <c r="M120" i="25"/>
  <c r="M337" i="25"/>
  <c r="M336" i="25"/>
  <c r="N335" i="25"/>
  <c r="M305" i="25"/>
  <c r="M304" i="25"/>
  <c r="N303" i="25"/>
  <c r="N276" i="25"/>
  <c r="N268" i="25"/>
  <c r="N263" i="25"/>
  <c r="N258" i="25"/>
  <c r="M257" i="25"/>
  <c r="N255" i="25"/>
  <c r="N250" i="25"/>
  <c r="M249" i="25"/>
  <c r="N247" i="25"/>
  <c r="N242" i="25"/>
  <c r="M241" i="25"/>
  <c r="N239" i="25"/>
  <c r="N234" i="25"/>
  <c r="M233" i="25"/>
  <c r="N231" i="25"/>
  <c r="N226" i="25"/>
  <c r="N225" i="25"/>
  <c r="N223" i="25"/>
  <c r="N221" i="25"/>
  <c r="M321" i="25"/>
  <c r="M320" i="25"/>
  <c r="N319" i="25"/>
  <c r="M289" i="25"/>
  <c r="M288" i="25"/>
  <c r="N287" i="25"/>
  <c r="N272" i="25"/>
  <c r="N264" i="25"/>
  <c r="N262" i="25"/>
  <c r="M261" i="25"/>
  <c r="N259" i="25"/>
  <c r="N254" i="25"/>
  <c r="M253" i="25"/>
  <c r="N251" i="25"/>
  <c r="N246" i="25"/>
  <c r="M245" i="25"/>
  <c r="N243" i="25"/>
  <c r="N238" i="25"/>
  <c r="M237" i="25"/>
  <c r="N235" i="25"/>
  <c r="N230" i="25"/>
  <c r="M229" i="25"/>
  <c r="N227" i="25"/>
  <c r="N224" i="25"/>
  <c r="N222" i="25"/>
  <c r="N220" i="25"/>
  <c r="N218" i="25"/>
  <c r="N216" i="25"/>
  <c r="N214" i="25"/>
  <c r="N212" i="25"/>
  <c r="N210" i="25"/>
  <c r="N208" i="25"/>
  <c r="N206" i="25"/>
  <c r="N204" i="25"/>
  <c r="N202" i="25"/>
  <c r="N200" i="25"/>
  <c r="N198" i="25"/>
  <c r="N196" i="25"/>
  <c r="N194" i="25"/>
  <c r="N192" i="25"/>
  <c r="N190" i="25"/>
  <c r="N188" i="25"/>
  <c r="N186" i="25"/>
  <c r="N184" i="25"/>
  <c r="N182" i="25"/>
  <c r="N180" i="25"/>
  <c r="N178" i="25"/>
  <c r="N176" i="25"/>
  <c r="N174" i="25"/>
  <c r="N172" i="25"/>
  <c r="N170" i="25"/>
  <c r="N168" i="25"/>
  <c r="N166" i="25"/>
  <c r="N164" i="25"/>
  <c r="N162" i="25"/>
  <c r="N160" i="25"/>
  <c r="N158" i="25"/>
  <c r="N156" i="25"/>
  <c r="N154" i="25"/>
  <c r="N152" i="25"/>
  <c r="N150" i="25"/>
  <c r="N148" i="25"/>
  <c r="N146" i="25"/>
  <c r="N144" i="25"/>
  <c r="N142" i="25"/>
  <c r="N140" i="25"/>
  <c r="N138" i="25"/>
  <c r="N136" i="25"/>
  <c r="N134" i="25"/>
  <c r="N132" i="25"/>
  <c r="N130" i="25"/>
  <c r="N128" i="25"/>
  <c r="N126" i="25"/>
  <c r="N124" i="25"/>
  <c r="N122" i="25"/>
  <c r="N120" i="25"/>
  <c r="N118" i="25"/>
  <c r="N116" i="25"/>
  <c r="N114" i="25"/>
  <c r="N112" i="25"/>
  <c r="N110" i="25"/>
  <c r="N108" i="25"/>
  <c r="N106" i="25"/>
  <c r="N104" i="25"/>
  <c r="N102" i="25"/>
  <c r="N100" i="25"/>
  <c r="N98" i="25"/>
  <c r="N96" i="25"/>
  <c r="N94" i="25"/>
  <c r="N92" i="25"/>
  <c r="N90" i="25"/>
  <c r="N88" i="25"/>
  <c r="N86" i="25"/>
  <c r="N84" i="25"/>
  <c r="N82" i="25"/>
  <c r="N80" i="25"/>
  <c r="N78" i="25"/>
  <c r="N76" i="25"/>
  <c r="N74" i="25"/>
  <c r="N72" i="25"/>
  <c r="N70" i="25"/>
  <c r="N68" i="25"/>
  <c r="N66" i="25"/>
  <c r="N64" i="25"/>
  <c r="N62" i="25"/>
  <c r="N60" i="25"/>
  <c r="N58" i="25"/>
  <c r="N56" i="25"/>
  <c r="N54" i="25"/>
  <c r="N52" i="25"/>
  <c r="N50" i="25"/>
  <c r="N48" i="25"/>
  <c r="N46" i="25"/>
  <c r="N44" i="25"/>
  <c r="N42" i="25"/>
  <c r="N40" i="25"/>
  <c r="N38" i="25"/>
  <c r="N36" i="25"/>
  <c r="N34" i="25"/>
  <c r="N32" i="25"/>
  <c r="N30" i="25"/>
  <c r="N327" i="25"/>
  <c r="M296" i="25"/>
  <c r="N278" i="25"/>
  <c r="M263" i="25"/>
  <c r="N237" i="25"/>
  <c r="N232" i="25"/>
  <c r="M231" i="25"/>
  <c r="M221" i="25"/>
  <c r="M219" i="25"/>
  <c r="M215" i="25"/>
  <c r="M211" i="25"/>
  <c r="M207" i="25"/>
  <c r="M203" i="25"/>
  <c r="M199" i="25"/>
  <c r="M195" i="25"/>
  <c r="M191" i="25"/>
  <c r="M187" i="25"/>
  <c r="M183" i="25"/>
  <c r="M179" i="25"/>
  <c r="M175" i="25"/>
  <c r="M171" i="25"/>
  <c r="M167" i="25"/>
  <c r="M163" i="25"/>
  <c r="M159" i="25"/>
  <c r="M155" i="25"/>
  <c r="M151" i="25"/>
  <c r="M147" i="25"/>
  <c r="M143" i="25"/>
  <c r="M139" i="25"/>
  <c r="M135" i="25"/>
  <c r="M131" i="25"/>
  <c r="M127" i="25"/>
  <c r="M123" i="25"/>
  <c r="M115" i="25"/>
  <c r="M114" i="25"/>
  <c r="N113" i="25"/>
  <c r="M107" i="25"/>
  <c r="M106" i="25"/>
  <c r="N105" i="25"/>
  <c r="M99" i="25"/>
  <c r="M98" i="25"/>
  <c r="N97" i="25"/>
  <c r="M91" i="25"/>
  <c r="M90" i="25"/>
  <c r="N89" i="25"/>
  <c r="M83" i="25"/>
  <c r="M82" i="25"/>
  <c r="N81" i="25"/>
  <c r="M75" i="25"/>
  <c r="M74" i="25"/>
  <c r="N73" i="25"/>
  <c r="M67" i="25"/>
  <c r="M66" i="25"/>
  <c r="N65" i="25"/>
  <c r="M59" i="25"/>
  <c r="M58" i="25"/>
  <c r="M50" i="25"/>
  <c r="M35" i="25"/>
  <c r="N295" i="25"/>
  <c r="N261" i="25"/>
  <c r="N256" i="25"/>
  <c r="M255" i="25"/>
  <c r="N229" i="25"/>
  <c r="M223" i="25"/>
  <c r="N217" i="25"/>
  <c r="N213" i="25"/>
  <c r="N209" i="25"/>
  <c r="N205" i="25"/>
  <c r="N201" i="25"/>
  <c r="N197" i="25"/>
  <c r="N193" i="25"/>
  <c r="N189" i="25"/>
  <c r="N185" i="25"/>
  <c r="N181" i="25"/>
  <c r="N177" i="25"/>
  <c r="N173" i="25"/>
  <c r="N169" i="25"/>
  <c r="N165" i="25"/>
  <c r="N161" i="25"/>
  <c r="N157" i="25"/>
  <c r="N153" i="25"/>
  <c r="N149" i="25"/>
  <c r="N145" i="25"/>
  <c r="N141" i="25"/>
  <c r="N137" i="25"/>
  <c r="N133" i="25"/>
  <c r="N129" i="25"/>
  <c r="N125" i="25"/>
  <c r="N121" i="25"/>
  <c r="N119" i="25"/>
  <c r="M113" i="25"/>
  <c r="M112" i="25"/>
  <c r="N111" i="25"/>
  <c r="M105" i="25"/>
  <c r="M104" i="25"/>
  <c r="N103" i="25"/>
  <c r="M97" i="25"/>
  <c r="M96" i="25"/>
  <c r="N95" i="25"/>
  <c r="M89" i="25"/>
  <c r="M88" i="25"/>
  <c r="N87" i="25"/>
  <c r="M81" i="25"/>
  <c r="M80" i="25"/>
  <c r="N79" i="25"/>
  <c r="M73" i="25"/>
  <c r="M72" i="25"/>
  <c r="N71" i="25"/>
  <c r="M65" i="25"/>
  <c r="M64" i="25"/>
  <c r="N63" i="25"/>
  <c r="M57" i="25"/>
  <c r="M56" i="25"/>
  <c r="N55" i="25"/>
  <c r="M49" i="25"/>
  <c r="M48" i="25"/>
  <c r="N47" i="25"/>
  <c r="M41" i="25"/>
  <c r="M40" i="25"/>
  <c r="M328" i="25"/>
  <c r="M297" i="25"/>
  <c r="N270" i="25"/>
  <c r="N245" i="25"/>
  <c r="N240" i="25"/>
  <c r="M239" i="25"/>
  <c r="N219" i="25"/>
  <c r="N215" i="25"/>
  <c r="N211" i="25"/>
  <c r="N207" i="25"/>
  <c r="N203" i="25"/>
  <c r="N199" i="25"/>
  <c r="N195" i="25"/>
  <c r="N191" i="25"/>
  <c r="N187" i="25"/>
  <c r="N183" i="25"/>
  <c r="N179" i="25"/>
  <c r="N175" i="25"/>
  <c r="N171" i="25"/>
  <c r="N167" i="25"/>
  <c r="N163" i="25"/>
  <c r="N159" i="25"/>
  <c r="N155" i="25"/>
  <c r="N151" i="25"/>
  <c r="N147" i="25"/>
  <c r="N143" i="25"/>
  <c r="N139" i="25"/>
  <c r="N135" i="25"/>
  <c r="N131" i="25"/>
  <c r="N127" i="25"/>
  <c r="N123" i="25"/>
  <c r="M117" i="25"/>
  <c r="M116" i="25"/>
  <c r="N115" i="25"/>
  <c r="M109" i="25"/>
  <c r="M108" i="25"/>
  <c r="N107" i="25"/>
  <c r="M101" i="25"/>
  <c r="M100" i="25"/>
  <c r="N99" i="25"/>
  <c r="M93" i="25"/>
  <c r="M92" i="25"/>
  <c r="N91" i="25"/>
  <c r="M85" i="25"/>
  <c r="M84" i="25"/>
  <c r="N83" i="25"/>
  <c r="M77" i="25"/>
  <c r="M76" i="25"/>
  <c r="N75" i="25"/>
  <c r="M69" i="25"/>
  <c r="M68" i="25"/>
  <c r="N67" i="25"/>
  <c r="M61" i="25"/>
  <c r="M60" i="25"/>
  <c r="N59" i="25"/>
  <c r="M53" i="25"/>
  <c r="M52" i="25"/>
  <c r="N51" i="25"/>
  <c r="M45" i="25"/>
  <c r="M44" i="25"/>
  <c r="N43" i="25"/>
  <c r="M37" i="25"/>
  <c r="M36" i="25"/>
  <c r="N35" i="25"/>
  <c r="M29" i="25"/>
  <c r="N28" i="25"/>
  <c r="N26" i="25"/>
  <c r="N24" i="25"/>
  <c r="N22" i="25"/>
  <c r="N20" i="25"/>
  <c r="N18" i="25"/>
  <c r="N16" i="25"/>
  <c r="N14" i="25"/>
  <c r="N57" i="25"/>
  <c r="M51" i="25"/>
  <c r="N49" i="25"/>
  <c r="M43" i="25"/>
  <c r="M42" i="25"/>
  <c r="N41" i="25"/>
  <c r="M34" i="25"/>
  <c r="N33" i="25"/>
  <c r="M28" i="25"/>
  <c r="M26" i="25"/>
  <c r="M329" i="25"/>
  <c r="N248" i="25"/>
  <c r="M209" i="25"/>
  <c r="M193" i="25"/>
  <c r="M177" i="25"/>
  <c r="M161" i="25"/>
  <c r="M145" i="25"/>
  <c r="M129" i="25"/>
  <c r="M95" i="25"/>
  <c r="M94" i="25"/>
  <c r="N93" i="25"/>
  <c r="M63" i="25"/>
  <c r="M62" i="25"/>
  <c r="N61" i="25"/>
  <c r="M39" i="25"/>
  <c r="N25" i="25"/>
  <c r="M24" i="25"/>
  <c r="N23" i="25"/>
  <c r="M17" i="25"/>
  <c r="M16" i="25"/>
  <c r="N13" i="25"/>
  <c r="M201" i="25"/>
  <c r="M169" i="25"/>
  <c r="M137" i="25"/>
  <c r="M121" i="25"/>
  <c r="M79" i="25"/>
  <c r="N77" i="25"/>
  <c r="M46" i="25"/>
  <c r="N45" i="25"/>
  <c r="M31" i="25"/>
  <c r="N253" i="25"/>
  <c r="M247" i="25"/>
  <c r="M225" i="25"/>
  <c r="M213" i="25"/>
  <c r="M197" i="25"/>
  <c r="M181" i="25"/>
  <c r="M165" i="25"/>
  <c r="M149" i="25"/>
  <c r="M133" i="25"/>
  <c r="M119" i="25"/>
  <c r="M118" i="25"/>
  <c r="N117" i="25"/>
  <c r="M87" i="25"/>
  <c r="M86" i="25"/>
  <c r="N85" i="25"/>
  <c r="M55" i="25"/>
  <c r="M54" i="25"/>
  <c r="N53" i="25"/>
  <c r="M38" i="25"/>
  <c r="N37" i="25"/>
  <c r="N31" i="25"/>
  <c r="M25" i="25"/>
  <c r="M23" i="25"/>
  <c r="M22" i="25"/>
  <c r="N21" i="25"/>
  <c r="M15" i="25"/>
  <c r="M110" i="25"/>
  <c r="M78" i="25"/>
  <c r="M32" i="25"/>
  <c r="M205" i="25"/>
  <c r="M189" i="25"/>
  <c r="M173" i="25"/>
  <c r="M157" i="25"/>
  <c r="M141" i="25"/>
  <c r="M125" i="25"/>
  <c r="M103" i="25"/>
  <c r="M102" i="25"/>
  <c r="N101" i="25"/>
  <c r="M71" i="25"/>
  <c r="M70" i="25"/>
  <c r="N69" i="25"/>
  <c r="N39" i="25"/>
  <c r="M33" i="25"/>
  <c r="M30" i="25"/>
  <c r="N29" i="25"/>
  <c r="M27" i="25"/>
  <c r="M19" i="25"/>
  <c r="M18" i="25"/>
  <c r="N17" i="25"/>
  <c r="N15" i="25"/>
  <c r="M14" i="25"/>
  <c r="M217" i="25"/>
  <c r="M185" i="25"/>
  <c r="M153" i="25"/>
  <c r="M111" i="25"/>
  <c r="N109" i="25"/>
  <c r="M47" i="25"/>
  <c r="N27" i="25"/>
  <c r="M21" i="25"/>
  <c r="M20" i="25"/>
  <c r="N19" i="25"/>
  <c r="M13" i="25"/>
  <c r="N626" i="25"/>
  <c r="N628" i="25"/>
  <c r="R628" i="25" s="1"/>
  <c r="S628" i="25" s="1"/>
  <c r="M628" i="25"/>
  <c r="Q628" i="25" s="1"/>
  <c r="M626" i="25"/>
  <c r="N623" i="25"/>
  <c r="M623" i="25"/>
  <c r="Q623" i="25" s="1"/>
  <c r="N622" i="25"/>
  <c r="M622" i="25"/>
  <c r="AB625" i="25"/>
  <c r="M625" i="25"/>
  <c r="X625" i="25" s="1"/>
  <c r="AA624" i="25"/>
  <c r="E634" i="25" s="1"/>
  <c r="K627" i="25"/>
  <c r="C627" i="25"/>
  <c r="N627" i="25"/>
  <c r="J627" i="25"/>
  <c r="F627" i="25"/>
  <c r="L627" i="25"/>
  <c r="D627" i="25"/>
  <c r="I627" i="25"/>
  <c r="M627" i="25"/>
  <c r="E627" i="25"/>
  <c r="N625" i="25"/>
  <c r="R625" i="25" s="1"/>
  <c r="S625" i="25" s="1"/>
  <c r="M624" i="25"/>
  <c r="X624" i="25" s="1"/>
  <c r="R624" i="25"/>
  <c r="S624" i="25" s="1"/>
  <c r="AB624" i="25"/>
  <c r="AA625" i="25"/>
  <c r="E635" i="25" s="1"/>
  <c r="N592" i="17"/>
  <c r="R592" i="17" s="1"/>
  <c r="S592" i="17" s="1"/>
  <c r="N295" i="17"/>
  <c r="R295" i="17" s="1"/>
  <c r="S295" i="17" s="1"/>
  <c r="M345" i="17"/>
  <c r="X345" i="17" s="1"/>
  <c r="M572" i="17"/>
  <c r="Q572" i="17" s="1"/>
  <c r="U572" i="17" s="1"/>
  <c r="N40" i="17"/>
  <c r="R40" i="17" s="1"/>
  <c r="S40" i="17" s="1"/>
  <c r="N460" i="17"/>
  <c r="R460" i="17" s="1"/>
  <c r="S460" i="17" s="1"/>
  <c r="M36" i="17"/>
  <c r="Q36" i="17" s="1"/>
  <c r="U36" i="17" s="1"/>
  <c r="M263" i="17"/>
  <c r="X263" i="17" s="1"/>
  <c r="M417" i="17"/>
  <c r="Q417" i="17" s="1"/>
  <c r="U417" i="17" s="1"/>
  <c r="N130" i="17"/>
  <c r="R130" i="17" s="1"/>
  <c r="S130" i="17" s="1"/>
  <c r="M297" i="17"/>
  <c r="X297" i="17" s="1"/>
  <c r="M494" i="17"/>
  <c r="M277" i="17"/>
  <c r="Q277" i="17" s="1"/>
  <c r="U277" i="17" s="1"/>
  <c r="N443" i="17"/>
  <c r="Y443" i="17" s="1"/>
  <c r="N561" i="17"/>
  <c r="R561" i="17" s="1"/>
  <c r="S561" i="17" s="1"/>
  <c r="N127" i="17"/>
  <c r="R127" i="17" s="1"/>
  <c r="S127" i="17" s="1"/>
  <c r="M151" i="17"/>
  <c r="Q151" i="17" s="1"/>
  <c r="U151" i="17" s="1"/>
  <c r="M283" i="17"/>
  <c r="Q283" i="17" s="1"/>
  <c r="U283" i="17" s="1"/>
  <c r="N516" i="17"/>
  <c r="R516" i="17" s="1"/>
  <c r="S516" i="17" s="1"/>
  <c r="M487" i="17"/>
  <c r="Q487" i="17" s="1"/>
  <c r="N25" i="17"/>
  <c r="R25" i="17" s="1"/>
  <c r="S25" i="17" s="1"/>
  <c r="M326" i="17"/>
  <c r="X326" i="17" s="1"/>
  <c r="N524" i="17"/>
  <c r="Y524" i="17" s="1"/>
  <c r="N269" i="17"/>
  <c r="M435" i="17"/>
  <c r="Q435" i="17" s="1"/>
  <c r="U435" i="17" s="1"/>
  <c r="N156" i="17"/>
  <c r="R156" i="17" s="1"/>
  <c r="S156" i="17" s="1"/>
  <c r="N22" i="17"/>
  <c r="R22" i="17" s="1"/>
  <c r="S22" i="17" s="1"/>
  <c r="M320" i="17"/>
  <c r="M237" i="17"/>
  <c r="Q237" i="17" s="1"/>
  <c r="U237" i="17" s="1"/>
  <c r="N37" i="17"/>
  <c r="R37" i="17" s="1"/>
  <c r="S37" i="17" s="1"/>
  <c r="M252" i="17"/>
  <c r="Q252" i="17" s="1"/>
  <c r="U252" i="17" s="1"/>
  <c r="N394" i="17"/>
  <c r="Y394" i="17" s="1"/>
  <c r="N306" i="17"/>
  <c r="R306" i="17" s="1"/>
  <c r="S306" i="17" s="1"/>
  <c r="N361" i="17"/>
  <c r="R361" i="17" s="1"/>
  <c r="S361" i="17" s="1"/>
  <c r="N35" i="17"/>
  <c r="Y35" i="17" s="1"/>
  <c r="M381" i="17"/>
  <c r="M560" i="17"/>
  <c r="Q560" i="17" s="1"/>
  <c r="U560" i="17" s="1"/>
  <c r="N354" i="17"/>
  <c r="R354" i="17" s="1"/>
  <c r="S354" i="17" s="1"/>
  <c r="N206" i="17"/>
  <c r="Y206" i="17" s="1"/>
  <c r="M612" i="17"/>
  <c r="N518" i="17"/>
  <c r="R518" i="17" s="1"/>
  <c r="S518" i="17" s="1"/>
  <c r="M454" i="17"/>
  <c r="Q454" i="17" s="1"/>
  <c r="U454" i="17" s="1"/>
  <c r="N380" i="17"/>
  <c r="M212" i="17"/>
  <c r="M402" i="17"/>
  <c r="Q402" i="17" s="1"/>
  <c r="U402" i="17" s="1"/>
  <c r="N613" i="17"/>
  <c r="R613" i="17" s="1"/>
  <c r="S613" i="17" s="1"/>
  <c r="N446" i="17"/>
  <c r="R446" i="17" s="1"/>
  <c r="S446" i="17" s="1"/>
  <c r="M314" i="17"/>
  <c r="N549" i="17"/>
  <c r="R549" i="17" s="1"/>
  <c r="S549" i="17" s="1"/>
  <c r="N363" i="17"/>
  <c r="N229" i="17"/>
  <c r="N258" i="17"/>
  <c r="R258" i="17" s="1"/>
  <c r="S258" i="17" s="1"/>
  <c r="M161" i="17"/>
  <c r="Q161" i="17" s="1"/>
  <c r="U161" i="17" s="1"/>
  <c r="M578" i="17"/>
  <c r="Q578" i="17" s="1"/>
  <c r="U578" i="17" s="1"/>
  <c r="N489" i="17"/>
  <c r="N321" i="17"/>
  <c r="Y321" i="17" s="1"/>
  <c r="N255" i="17"/>
  <c r="Y255" i="17" s="1"/>
  <c r="N284" i="17"/>
  <c r="Y284" i="17" s="1"/>
  <c r="N116" i="17"/>
  <c r="N55" i="17"/>
  <c r="R55" i="17" s="1"/>
  <c r="S55" i="17" s="1"/>
  <c r="N104" i="17"/>
  <c r="R104" i="17" s="1"/>
  <c r="S104" i="17" s="1"/>
  <c r="M30" i="17"/>
  <c r="N78" i="17"/>
  <c r="R78" i="17" s="1"/>
  <c r="S78" i="17" s="1"/>
  <c r="N343" i="17"/>
  <c r="R343" i="17" s="1"/>
  <c r="S343" i="17" s="1"/>
  <c r="M465" i="17"/>
  <c r="Q465" i="17" s="1"/>
  <c r="U465" i="17" s="1"/>
  <c r="M166" i="17"/>
  <c r="Q166" i="17" s="1"/>
  <c r="U166" i="17" s="1"/>
  <c r="M400" i="17"/>
  <c r="Q400" i="17" s="1"/>
  <c r="U400" i="17" s="1"/>
  <c r="N566" i="17"/>
  <c r="M208" i="17"/>
  <c r="Q208" i="17" s="1"/>
  <c r="U208" i="17" s="1"/>
  <c r="M600" i="17"/>
  <c r="X600" i="17" s="1"/>
  <c r="N586" i="17"/>
  <c r="M178" i="17"/>
  <c r="N233" i="17"/>
  <c r="R233" i="17" s="1"/>
  <c r="S233" i="17" s="1"/>
  <c r="N349" i="17"/>
  <c r="R349" i="17" s="1"/>
  <c r="S349" i="17" s="1"/>
  <c r="N108" i="17"/>
  <c r="M479" i="17"/>
  <c r="M540" i="17"/>
  <c r="M76" i="17"/>
  <c r="X76" i="17" s="1"/>
  <c r="N572" i="17"/>
  <c r="Y572" i="17" s="1"/>
  <c r="M406" i="17"/>
  <c r="Q406" i="17" s="1"/>
  <c r="U406" i="17" s="1"/>
  <c r="M312" i="17"/>
  <c r="Q312" i="17" s="1"/>
  <c r="U312" i="17" s="1"/>
  <c r="M468" i="17"/>
  <c r="Q468" i="17" s="1"/>
  <c r="U468" i="17" s="1"/>
  <c r="M517" i="17"/>
  <c r="N181" i="17"/>
  <c r="Y181" i="17" s="1"/>
  <c r="M515" i="17"/>
  <c r="M383" i="17"/>
  <c r="Q383" i="17" s="1"/>
  <c r="U383" i="17" s="1"/>
  <c r="N244" i="17"/>
  <c r="N79" i="17"/>
  <c r="M58" i="17"/>
  <c r="X58" i="17" s="1"/>
  <c r="N399" i="17"/>
  <c r="R399" i="17" s="1"/>
  <c r="S399" i="17" s="1"/>
  <c r="M488" i="17"/>
  <c r="X488" i="17" s="1"/>
  <c r="N368" i="17"/>
  <c r="R368" i="17" s="1"/>
  <c r="S368" i="17" s="1"/>
  <c r="N565" i="17"/>
  <c r="R565" i="17" s="1"/>
  <c r="S565" i="17" s="1"/>
  <c r="N203" i="17"/>
  <c r="R203" i="17" s="1"/>
  <c r="S203" i="17" s="1"/>
  <c r="N480" i="17"/>
  <c r="Y480" i="17" s="1"/>
  <c r="N340" i="17"/>
  <c r="R340" i="17" s="1"/>
  <c r="S340" i="17" s="1"/>
  <c r="M172" i="17"/>
  <c r="Q172" i="17" s="1"/>
  <c r="U172" i="17" s="1"/>
  <c r="M607" i="17"/>
  <c r="Q607" i="17" s="1"/>
  <c r="U607" i="17" s="1"/>
  <c r="M218" i="17"/>
  <c r="M385" i="17"/>
  <c r="Q385" i="17" s="1"/>
  <c r="U385" i="17" s="1"/>
  <c r="N218" i="17"/>
  <c r="M259" i="17"/>
  <c r="N449" i="17"/>
  <c r="N207" i="17"/>
  <c r="M125" i="17"/>
  <c r="M63" i="17"/>
  <c r="X63" i="17" s="1"/>
  <c r="M45" i="17"/>
  <c r="Q45" i="17" s="1"/>
  <c r="U45" i="17" s="1"/>
  <c r="M543" i="17"/>
  <c r="X543" i="17" s="1"/>
  <c r="M246" i="17"/>
  <c r="M561" i="17"/>
  <c r="Q561" i="17" s="1"/>
  <c r="U561" i="17" s="1"/>
  <c r="M482" i="17"/>
  <c r="N486" i="17"/>
  <c r="N294" i="17"/>
  <c r="Y294" i="17" s="1"/>
  <c r="N227" i="17"/>
  <c r="Y227" i="17" s="1"/>
  <c r="M24" i="17"/>
  <c r="X24" i="17" s="1"/>
  <c r="M123" i="17"/>
  <c r="N571" i="17"/>
  <c r="N432" i="17"/>
  <c r="M366" i="17"/>
  <c r="M300" i="17"/>
  <c r="N544" i="17"/>
  <c r="M152" i="17"/>
  <c r="Q152" i="17" s="1"/>
  <c r="U152" i="17" s="1"/>
  <c r="N546" i="17"/>
  <c r="M372" i="17"/>
  <c r="X372" i="17" s="1"/>
  <c r="M138" i="17"/>
  <c r="Q138" i="17" s="1"/>
  <c r="U138" i="17" s="1"/>
  <c r="M437" i="17"/>
  <c r="Q437" i="17" s="1"/>
  <c r="U437" i="17" s="1"/>
  <c r="N309" i="17"/>
  <c r="N141" i="17"/>
  <c r="R141" i="17" s="1"/>
  <c r="S141" i="17" s="1"/>
  <c r="N178" i="17"/>
  <c r="R178" i="17" s="1"/>
  <c r="S178" i="17" s="1"/>
  <c r="N595" i="17"/>
  <c r="R595" i="17" s="1"/>
  <c r="S595" i="17" s="1"/>
  <c r="M475" i="17"/>
  <c r="N409" i="17"/>
  <c r="R409" i="17" s="1"/>
  <c r="S409" i="17" s="1"/>
  <c r="M335" i="17"/>
  <c r="X335" i="17" s="1"/>
  <c r="N167" i="17"/>
  <c r="R167" i="17" s="1"/>
  <c r="S167" i="17" s="1"/>
  <c r="N204" i="17"/>
  <c r="N15" i="17"/>
  <c r="N99" i="17"/>
  <c r="R99" i="17" s="1"/>
  <c r="S99" i="17" s="1"/>
  <c r="N622" i="17"/>
  <c r="M90" i="17"/>
  <c r="M333" i="17"/>
  <c r="Q333" i="17" s="1"/>
  <c r="U333" i="17" s="1"/>
  <c r="N455" i="17"/>
  <c r="R455" i="17" s="1"/>
  <c r="S455" i="17" s="1"/>
  <c r="M559" i="17"/>
  <c r="N334" i="17"/>
  <c r="N474" i="17"/>
  <c r="M209" i="17"/>
  <c r="Q209" i="17" s="1"/>
  <c r="U209" i="17" s="1"/>
  <c r="M442" i="17"/>
  <c r="Q442" i="17" s="1"/>
  <c r="U442" i="17" s="1"/>
  <c r="M232" i="17"/>
  <c r="M428" i="17"/>
  <c r="X428" i="17" s="1"/>
  <c r="N483" i="17"/>
  <c r="R483" i="17" s="1"/>
  <c r="S483" i="17" s="1"/>
  <c r="M179" i="17"/>
  <c r="Q179" i="17" s="1"/>
  <c r="U179" i="17" s="1"/>
  <c r="N208" i="17"/>
  <c r="N82" i="17"/>
  <c r="Y82" i="17" s="1"/>
  <c r="N49" i="17"/>
  <c r="R49" i="17" s="1"/>
  <c r="S49" i="17" s="1"/>
  <c r="N628" i="17"/>
  <c r="R628" i="17" s="1"/>
  <c r="S628" i="17" s="1"/>
  <c r="M199" i="17"/>
  <c r="Q199" i="17" s="1"/>
  <c r="U199" i="17" s="1"/>
  <c r="N123" i="17"/>
  <c r="Y123" i="17" s="1"/>
  <c r="M41" i="17"/>
  <c r="Q41" i="17" s="1"/>
  <c r="U41" i="17" s="1"/>
  <c r="N100" i="17"/>
  <c r="N264" i="17"/>
  <c r="N469" i="17"/>
  <c r="M555" i="17"/>
  <c r="Q555" i="17" s="1"/>
  <c r="U555" i="17" s="1"/>
  <c r="N110" i="17"/>
  <c r="Y110" i="17" s="1"/>
  <c r="M92" i="17"/>
  <c r="Q92" i="17" s="1"/>
  <c r="U92" i="17" s="1"/>
  <c r="M99" i="17"/>
  <c r="Q99" i="17" s="1"/>
  <c r="U99" i="17" s="1"/>
  <c r="N73" i="17"/>
  <c r="N168" i="17"/>
  <c r="Y168" i="17" s="1"/>
  <c r="N219" i="17"/>
  <c r="N373" i="17"/>
  <c r="R373" i="17" s="1"/>
  <c r="S373" i="17" s="1"/>
  <c r="M525" i="17"/>
  <c r="X525" i="17" s="1"/>
  <c r="N142" i="17"/>
  <c r="Y142" i="17" s="1"/>
  <c r="N90" i="17"/>
  <c r="M84" i="17"/>
  <c r="M20" i="17"/>
  <c r="M83" i="17"/>
  <c r="Q83" i="17" s="1"/>
  <c r="U83" i="17" s="1"/>
  <c r="N52" i="17"/>
  <c r="N65" i="17"/>
  <c r="M155" i="17"/>
  <c r="N184" i="17"/>
  <c r="R184" i="17" s="1"/>
  <c r="S184" i="17" s="1"/>
  <c r="N312" i="17"/>
  <c r="N235" i="17"/>
  <c r="M363" i="17"/>
  <c r="Q363" i="17" s="1"/>
  <c r="U363" i="17" s="1"/>
  <c r="N389" i="17"/>
  <c r="R389" i="17" s="1"/>
  <c r="S389" i="17" s="1"/>
  <c r="N517" i="17"/>
  <c r="M541" i="17"/>
  <c r="M219" i="17"/>
  <c r="X219" i="17" s="1"/>
  <c r="N158" i="17"/>
  <c r="N222" i="17"/>
  <c r="Y222" i="17" s="1"/>
  <c r="N286" i="17"/>
  <c r="R286" i="17" s="1"/>
  <c r="S286" i="17" s="1"/>
  <c r="M97" i="17"/>
  <c r="M17" i="17"/>
  <c r="N50" i="17"/>
  <c r="M96" i="17"/>
  <c r="M64" i="17"/>
  <c r="M32" i="17"/>
  <c r="Q32" i="17" s="1"/>
  <c r="U32" i="17" s="1"/>
  <c r="M159" i="17"/>
  <c r="M107" i="17"/>
  <c r="Q107" i="17" s="1"/>
  <c r="U107" i="17" s="1"/>
  <c r="M43" i="17"/>
  <c r="Q43" i="17" s="1"/>
  <c r="U43" i="17" s="1"/>
  <c r="N76" i="17"/>
  <c r="N109" i="17"/>
  <c r="N77" i="17"/>
  <c r="R77" i="17" s="1"/>
  <c r="S77" i="17" s="1"/>
  <c r="N45" i="17"/>
  <c r="R45" i="17" s="1"/>
  <c r="S45" i="17" s="1"/>
  <c r="N13" i="17"/>
  <c r="Y13" i="17" s="1"/>
  <c r="M173" i="17"/>
  <c r="N160" i="17"/>
  <c r="N224" i="17"/>
  <c r="R224" i="17" s="1"/>
  <c r="S224" i="17" s="1"/>
  <c r="N288" i="17"/>
  <c r="Y288" i="17" s="1"/>
  <c r="N147" i="17"/>
  <c r="N211" i="17"/>
  <c r="R211" i="17" s="1"/>
  <c r="S211" i="17" s="1"/>
  <c r="N275" i="17"/>
  <c r="R275" i="17" s="1"/>
  <c r="S275" i="17" s="1"/>
  <c r="M339" i="17"/>
  <c r="X339" i="17" s="1"/>
  <c r="M403" i="17"/>
  <c r="N365" i="17"/>
  <c r="N429" i="17"/>
  <c r="R429" i="17" s="1"/>
  <c r="S429" i="17" s="1"/>
  <c r="N493" i="17"/>
  <c r="R493" i="17" s="1"/>
  <c r="S493" i="17" s="1"/>
  <c r="M455" i="17"/>
  <c r="M520" i="17"/>
  <c r="Q520" i="17" s="1"/>
  <c r="U520" i="17" s="1"/>
  <c r="M532" i="17"/>
  <c r="N603" i="17"/>
  <c r="R603" i="17" s="1"/>
  <c r="S603" i="17" s="1"/>
  <c r="M121" i="17"/>
  <c r="N134" i="17"/>
  <c r="R134" i="17" s="1"/>
  <c r="S134" i="17" s="1"/>
  <c r="N198" i="17"/>
  <c r="N262" i="17"/>
  <c r="Y262" i="17" s="1"/>
  <c r="N121" i="17"/>
  <c r="N161" i="17"/>
  <c r="Y161" i="17" s="1"/>
  <c r="N193" i="17"/>
  <c r="N225" i="17"/>
  <c r="R225" i="17" s="1"/>
  <c r="S225" i="17" s="1"/>
  <c r="N257" i="17"/>
  <c r="R257" i="17" s="1"/>
  <c r="S257" i="17" s="1"/>
  <c r="N289" i="17"/>
  <c r="M321" i="17"/>
  <c r="Q321" i="17" s="1"/>
  <c r="U321" i="17" s="1"/>
  <c r="M377" i="17"/>
  <c r="X377" i="17" s="1"/>
  <c r="N339" i="17"/>
  <c r="Y339" i="17" s="1"/>
  <c r="N403" i="17"/>
  <c r="N467" i="17"/>
  <c r="R467" i="17" s="1"/>
  <c r="S467" i="17" s="1"/>
  <c r="M429" i="17"/>
  <c r="Q429" i="17" s="1"/>
  <c r="U429" i="17" s="1"/>
  <c r="M493" i="17"/>
  <c r="M566" i="17"/>
  <c r="Q566" i="17" s="1"/>
  <c r="U566" i="17" s="1"/>
  <c r="M551" i="17"/>
  <c r="M247" i="17"/>
  <c r="X247" i="17" s="1"/>
  <c r="M114" i="17"/>
  <c r="N74" i="17"/>
  <c r="N200" i="17"/>
  <c r="R200" i="17" s="1"/>
  <c r="S200" i="17" s="1"/>
  <c r="M85" i="17"/>
  <c r="N187" i="17"/>
  <c r="N405" i="17"/>
  <c r="M251" i="17"/>
  <c r="M60" i="17"/>
  <c r="N68" i="17"/>
  <c r="M189" i="17"/>
  <c r="Q189" i="17" s="1"/>
  <c r="U189" i="17" s="1"/>
  <c r="N283" i="17"/>
  <c r="R283" i="17" s="1"/>
  <c r="S283" i="17" s="1"/>
  <c r="N501" i="17"/>
  <c r="R501" i="17" s="1"/>
  <c r="S501" i="17" s="1"/>
  <c r="M137" i="17"/>
  <c r="N58" i="17"/>
  <c r="Y58" i="17" s="1"/>
  <c r="M52" i="17"/>
  <c r="X52" i="17" s="1"/>
  <c r="M626" i="17"/>
  <c r="N20" i="17"/>
  <c r="Y20" i="17" s="1"/>
  <c r="N33" i="17"/>
  <c r="N152" i="17"/>
  <c r="R152" i="17" s="1"/>
  <c r="S152" i="17" s="1"/>
  <c r="N139" i="17"/>
  <c r="N299" i="17"/>
  <c r="N357" i="17"/>
  <c r="M447" i="17"/>
  <c r="N569" i="17"/>
  <c r="N126" i="17"/>
  <c r="N238" i="17"/>
  <c r="N113" i="17"/>
  <c r="M33" i="17"/>
  <c r="N34" i="17"/>
  <c r="M80" i="17"/>
  <c r="M40" i="17"/>
  <c r="Q40" i="17" s="1"/>
  <c r="U40" i="17" s="1"/>
  <c r="M117" i="17"/>
  <c r="M75" i="17"/>
  <c r="Q75" i="17" s="1"/>
  <c r="U75" i="17" s="1"/>
  <c r="N92" i="17"/>
  <c r="R92" i="17" s="1"/>
  <c r="S92" i="17" s="1"/>
  <c r="N101" i="17"/>
  <c r="Y101" i="17" s="1"/>
  <c r="N61" i="17"/>
  <c r="N21" i="17"/>
  <c r="R21" i="17" s="1"/>
  <c r="S21" i="17" s="1"/>
  <c r="N112" i="17"/>
  <c r="N192" i="17"/>
  <c r="Y192" i="17" s="1"/>
  <c r="N272" i="17"/>
  <c r="R272" i="17" s="1"/>
  <c r="S272" i="17" s="1"/>
  <c r="N163" i="17"/>
  <c r="N243" i="17"/>
  <c r="M323" i="17"/>
  <c r="Q323" i="17" s="1"/>
  <c r="U323" i="17" s="1"/>
  <c r="N317" i="17"/>
  <c r="R317" i="17" s="1"/>
  <c r="S317" i="17" s="1"/>
  <c r="N397" i="17"/>
  <c r="N477" i="17"/>
  <c r="Y477" i="17" s="1"/>
  <c r="M471" i="17"/>
  <c r="Q471" i="17" s="1"/>
  <c r="U471" i="17" s="1"/>
  <c r="M554" i="17"/>
  <c r="M571" i="17"/>
  <c r="M153" i="17"/>
  <c r="Q153" i="17" s="1"/>
  <c r="U153" i="17" s="1"/>
  <c r="N166" i="17"/>
  <c r="R166" i="17" s="1"/>
  <c r="S166" i="17" s="1"/>
  <c r="N246" i="17"/>
  <c r="N137" i="17"/>
  <c r="N177" i="17"/>
  <c r="R177" i="17" s="1"/>
  <c r="S177" i="17" s="1"/>
  <c r="N217" i="17"/>
  <c r="R217" i="17" s="1"/>
  <c r="S217" i="17" s="1"/>
  <c r="N265" i="17"/>
  <c r="R265" i="17" s="1"/>
  <c r="S265" i="17" s="1"/>
  <c r="N305" i="17"/>
  <c r="M361" i="17"/>
  <c r="Q361" i="17" s="1"/>
  <c r="U361" i="17" s="1"/>
  <c r="N355" i="17"/>
  <c r="R355" i="17" s="1"/>
  <c r="S355" i="17" s="1"/>
  <c r="N435" i="17"/>
  <c r="N515" i="17"/>
  <c r="M509" i="17"/>
  <c r="M538" i="17"/>
  <c r="X538" i="17" s="1"/>
  <c r="M215" i="17"/>
  <c r="Q215" i="17" s="1"/>
  <c r="U215" i="17" s="1"/>
  <c r="M130" i="17"/>
  <c r="M194" i="17"/>
  <c r="Q194" i="17" s="1"/>
  <c r="U194" i="17" s="1"/>
  <c r="M258" i="17"/>
  <c r="N322" i="17"/>
  <c r="R322" i="17" s="1"/>
  <c r="S322" i="17" s="1"/>
  <c r="N386" i="17"/>
  <c r="Y386" i="17" s="1"/>
  <c r="M348" i="17"/>
  <c r="M412" i="17"/>
  <c r="M476" i="17"/>
  <c r="N438" i="17"/>
  <c r="R438" i="17" s="1"/>
  <c r="S438" i="17" s="1"/>
  <c r="N502" i="17"/>
  <c r="Y502" i="17" s="1"/>
  <c r="M584" i="17"/>
  <c r="Q584" i="17" s="1"/>
  <c r="N554" i="17"/>
  <c r="Y554" i="17" s="1"/>
  <c r="M599" i="17"/>
  <c r="Q599" i="17" s="1"/>
  <c r="U599" i="17" s="1"/>
  <c r="M589" i="17"/>
  <c r="Q589" i="17" s="1"/>
  <c r="U589" i="17" s="1"/>
  <c r="M221" i="17"/>
  <c r="Q221" i="17" s="1"/>
  <c r="U221" i="17" s="1"/>
  <c r="M285" i="17"/>
  <c r="M144" i="17"/>
  <c r="M264" i="17"/>
  <c r="N392" i="17"/>
  <c r="M418" i="17"/>
  <c r="Q418" i="17" s="1"/>
  <c r="U418" i="17" s="1"/>
  <c r="N444" i="17"/>
  <c r="N521" i="17"/>
  <c r="Y521" i="17" s="1"/>
  <c r="M597" i="17"/>
  <c r="X597" i="17" s="1"/>
  <c r="N552" i="17"/>
  <c r="Y552" i="17" s="1"/>
  <c r="M580" i="17"/>
  <c r="Q580" i="17" s="1"/>
  <c r="U580" i="17" s="1"/>
  <c r="N500" i="17"/>
  <c r="R500" i="17" s="1"/>
  <c r="S500" i="17" s="1"/>
  <c r="N436" i="17"/>
  <c r="R436" i="17" s="1"/>
  <c r="S436" i="17" s="1"/>
  <c r="M474" i="17"/>
  <c r="M410" i="17"/>
  <c r="M346" i="17"/>
  <c r="N384" i="17"/>
  <c r="Y384" i="17" s="1"/>
  <c r="N320" i="17"/>
  <c r="R320" i="17" s="1"/>
  <c r="S320" i="17" s="1"/>
  <c r="M256" i="17"/>
  <c r="M192" i="17"/>
  <c r="M140" i="17"/>
  <c r="Q140" i="17" s="1"/>
  <c r="U140" i="17" s="1"/>
  <c r="M313" i="17"/>
  <c r="X313" i="17" s="1"/>
  <c r="M281" i="17"/>
  <c r="M249" i="17"/>
  <c r="X249" i="17" s="1"/>
  <c r="M217" i="17"/>
  <c r="Q217" i="17" s="1"/>
  <c r="U217" i="17" s="1"/>
  <c r="N598" i="17"/>
  <c r="R598" i="17" s="1"/>
  <c r="S598" i="17" s="1"/>
  <c r="M585" i="17"/>
  <c r="Q585" i="17" s="1"/>
  <c r="U585" i="17" s="1"/>
  <c r="M553" i="17"/>
  <c r="M595" i="17"/>
  <c r="Q595" i="17" s="1"/>
  <c r="U595" i="17" s="1"/>
  <c r="N582" i="17"/>
  <c r="N550" i="17"/>
  <c r="N543" i="17"/>
  <c r="R543" i="17" s="1"/>
  <c r="S543" i="17" s="1"/>
  <c r="M576" i="17"/>
  <c r="X576" i="17" s="1"/>
  <c r="N528" i="17"/>
  <c r="N498" i="17"/>
  <c r="N466" i="17"/>
  <c r="N434" i="17"/>
  <c r="R434" i="17" s="1"/>
  <c r="S434" i="17" s="1"/>
  <c r="M504" i="17"/>
  <c r="M472" i="17"/>
  <c r="M440" i="17"/>
  <c r="M408" i="17"/>
  <c r="Q408" i="17" s="1"/>
  <c r="U408" i="17" s="1"/>
  <c r="M376" i="17"/>
  <c r="M344" i="17"/>
  <c r="Q344" i="17" s="1"/>
  <c r="U344" i="17" s="1"/>
  <c r="N414" i="17"/>
  <c r="R414" i="17" s="1"/>
  <c r="S414" i="17" s="1"/>
  <c r="N382" i="17"/>
  <c r="R382" i="17" s="1"/>
  <c r="S382" i="17" s="1"/>
  <c r="N350" i="17"/>
  <c r="Y350" i="17" s="1"/>
  <c r="N318" i="17"/>
  <c r="M286" i="17"/>
  <c r="Q286" i="17" s="1"/>
  <c r="U286" i="17" s="1"/>
  <c r="M254" i="17"/>
  <c r="M222" i="17"/>
  <c r="X222" i="17" s="1"/>
  <c r="M190" i="17"/>
  <c r="M158" i="17"/>
  <c r="Q158" i="17" s="1"/>
  <c r="U158" i="17" s="1"/>
  <c r="M126" i="17"/>
  <c r="M299" i="17"/>
  <c r="Q299" i="17" s="1"/>
  <c r="U299" i="17" s="1"/>
  <c r="M267" i="17"/>
  <c r="M207" i="17"/>
  <c r="Q207" i="17" s="1"/>
  <c r="U207" i="17" s="1"/>
  <c r="M575" i="17"/>
  <c r="N557" i="17"/>
  <c r="M590" i="17"/>
  <c r="M535" i="17"/>
  <c r="Q535" i="17" s="1"/>
  <c r="U535" i="17" s="1"/>
  <c r="M505" i="17"/>
  <c r="Q505" i="17" s="1"/>
  <c r="U505" i="17" s="1"/>
  <c r="M473" i="17"/>
  <c r="Q473" i="17" s="1"/>
  <c r="U473" i="17" s="1"/>
  <c r="M441" i="17"/>
  <c r="N511" i="17"/>
  <c r="N479" i="17"/>
  <c r="R479" i="17" s="1"/>
  <c r="S479" i="17" s="1"/>
  <c r="N447" i="17"/>
  <c r="N415" i="17"/>
  <c r="N383" i="17"/>
  <c r="R383" i="17" s="1"/>
  <c r="S383" i="17" s="1"/>
  <c r="N351" i="17"/>
  <c r="N319" i="17"/>
  <c r="M389" i="17"/>
  <c r="Q389" i="17" s="1"/>
  <c r="U389" i="17" s="1"/>
  <c r="M357" i="17"/>
  <c r="Q357" i="17" s="1"/>
  <c r="U357" i="17" s="1"/>
  <c r="N623" i="17"/>
  <c r="R623" i="17" s="1"/>
  <c r="S623" i="17" s="1"/>
  <c r="M61" i="17"/>
  <c r="M29" i="17"/>
  <c r="N94" i="17"/>
  <c r="N62" i="17"/>
  <c r="R62" i="17" s="1"/>
  <c r="S62" i="17" s="1"/>
  <c r="N30" i="17"/>
  <c r="R30" i="17" s="1"/>
  <c r="S30" i="17" s="1"/>
  <c r="M102" i="17"/>
  <c r="M86" i="17"/>
  <c r="M70" i="17"/>
  <c r="Q70" i="17" s="1"/>
  <c r="U70" i="17" s="1"/>
  <c r="M54" i="17"/>
  <c r="M38" i="17"/>
  <c r="Q38" i="17" s="1"/>
  <c r="U38" i="17" s="1"/>
  <c r="M22" i="17"/>
  <c r="Q22" i="17" s="1"/>
  <c r="M135" i="17"/>
  <c r="Q135" i="17" s="1"/>
  <c r="U135" i="17" s="1"/>
  <c r="M133" i="17"/>
  <c r="Q133" i="17" s="1"/>
  <c r="U133" i="17" s="1"/>
  <c r="M623" i="17"/>
  <c r="M87" i="17"/>
  <c r="Q87" i="17" s="1"/>
  <c r="U87" i="17" s="1"/>
  <c r="M55" i="17"/>
  <c r="X55" i="17" s="1"/>
  <c r="M23" i="17"/>
  <c r="X23" i="17" s="1"/>
  <c r="N88" i="17"/>
  <c r="R88" i="17" s="1"/>
  <c r="S88" i="17" s="1"/>
  <c r="N56" i="17"/>
  <c r="R56" i="17" s="1"/>
  <c r="S56" i="17" s="1"/>
  <c r="N24" i="17"/>
  <c r="Y24" i="17" s="1"/>
  <c r="M111" i="17"/>
  <c r="Q111" i="17" s="1"/>
  <c r="U111" i="17" s="1"/>
  <c r="M108" i="17"/>
  <c r="N136" i="17"/>
  <c r="Y136" i="17" s="1"/>
  <c r="M495" i="17"/>
  <c r="Q495" i="17" s="1"/>
  <c r="U495" i="17" s="1"/>
  <c r="N106" i="17"/>
  <c r="M35" i="17"/>
  <c r="N232" i="17"/>
  <c r="R232" i="17" s="1"/>
  <c r="S232" i="17" s="1"/>
  <c r="M411" i="17"/>
  <c r="Q411" i="17" s="1"/>
  <c r="U411" i="17" s="1"/>
  <c r="N600" i="17"/>
  <c r="N26" i="17"/>
  <c r="M143" i="17"/>
  <c r="N84" i="17"/>
  <c r="R84" i="17" s="1"/>
  <c r="S84" i="17" s="1"/>
  <c r="N17" i="17"/>
  <c r="R17" i="17" s="1"/>
  <c r="S17" i="17" s="1"/>
  <c r="N248" i="17"/>
  <c r="N267" i="17"/>
  <c r="R267" i="17" s="1"/>
  <c r="S267" i="17" s="1"/>
  <c r="N421" i="17"/>
  <c r="R421" i="17" s="1"/>
  <c r="S421" i="17" s="1"/>
  <c r="M511" i="17"/>
  <c r="M169" i="17"/>
  <c r="Q169" i="17" s="1"/>
  <c r="U169" i="17" s="1"/>
  <c r="N254" i="17"/>
  <c r="M65" i="17"/>
  <c r="X65" i="17" s="1"/>
  <c r="N66" i="17"/>
  <c r="R66" i="17" s="1"/>
  <c r="S66" i="17" s="1"/>
  <c r="M72" i="17"/>
  <c r="M16" i="17"/>
  <c r="Q16" i="17" s="1"/>
  <c r="U16" i="17" s="1"/>
  <c r="M91" i="17"/>
  <c r="Q91" i="17" s="1"/>
  <c r="U91" i="17" s="1"/>
  <c r="N60" i="17"/>
  <c r="Y60" i="17" s="1"/>
  <c r="N85" i="17"/>
  <c r="N29" i="17"/>
  <c r="R29" i="17" s="1"/>
  <c r="S29" i="17" s="1"/>
  <c r="N128" i="17"/>
  <c r="N240" i="17"/>
  <c r="Y240" i="17" s="1"/>
  <c r="N131" i="17"/>
  <c r="N259" i="17"/>
  <c r="R259" i="17" s="1"/>
  <c r="S259" i="17" s="1"/>
  <c r="M371" i="17"/>
  <c r="Q371" i="17" s="1"/>
  <c r="U371" i="17" s="1"/>
  <c r="N381" i="17"/>
  <c r="R381" i="17" s="1"/>
  <c r="S381" i="17" s="1"/>
  <c r="N509" i="17"/>
  <c r="R509" i="17" s="1"/>
  <c r="S509" i="17" s="1"/>
  <c r="M503" i="17"/>
  <c r="N585" i="17"/>
  <c r="R585" i="17" s="1"/>
  <c r="S585" i="17" s="1"/>
  <c r="M185" i="17"/>
  <c r="N214" i="17"/>
  <c r="R214" i="17" s="1"/>
  <c r="S214" i="17" s="1"/>
  <c r="N310" i="17"/>
  <c r="R310" i="17" s="1"/>
  <c r="S310" i="17" s="1"/>
  <c r="N185" i="17"/>
  <c r="N241" i="17"/>
  <c r="R241" i="17" s="1"/>
  <c r="S241" i="17" s="1"/>
  <c r="N297" i="17"/>
  <c r="R297" i="17" s="1"/>
  <c r="S297" i="17" s="1"/>
  <c r="M393" i="17"/>
  <c r="N387" i="17"/>
  <c r="N499" i="17"/>
  <c r="R499" i="17" s="1"/>
  <c r="S499" i="17" s="1"/>
  <c r="M523" i="17"/>
  <c r="M583" i="17"/>
  <c r="Q583" i="17" s="1"/>
  <c r="U583" i="17" s="1"/>
  <c r="M303" i="17"/>
  <c r="M210" i="17"/>
  <c r="X210" i="17" s="1"/>
  <c r="M290" i="17"/>
  <c r="N370" i="17"/>
  <c r="R370" i="17" s="1"/>
  <c r="S370" i="17" s="1"/>
  <c r="M364" i="17"/>
  <c r="Q364" i="17" s="1"/>
  <c r="U364" i="17" s="1"/>
  <c r="M444" i="17"/>
  <c r="N422" i="17"/>
  <c r="R422" i="17" s="1"/>
  <c r="S422" i="17" s="1"/>
  <c r="M518" i="17"/>
  <c r="Q518" i="17" s="1"/>
  <c r="U518" i="17" s="1"/>
  <c r="N551" i="17"/>
  <c r="R551" i="17" s="1"/>
  <c r="S551" i="17" s="1"/>
  <c r="M602" i="17"/>
  <c r="X602" i="17" s="1"/>
  <c r="N605" i="17"/>
  <c r="M253" i="17"/>
  <c r="Q253" i="17" s="1"/>
  <c r="U253" i="17" s="1"/>
  <c r="M128" i="17"/>
  <c r="Q128" i="17" s="1"/>
  <c r="U128" i="17" s="1"/>
  <c r="M296" i="17"/>
  <c r="M354" i="17"/>
  <c r="M514" i="17"/>
  <c r="Q514" i="17" s="1"/>
  <c r="U514" i="17" s="1"/>
  <c r="N563" i="17"/>
  <c r="Y563" i="17" s="1"/>
  <c r="N584" i="17"/>
  <c r="N529" i="17"/>
  <c r="N484" i="17"/>
  <c r="M506" i="17"/>
  <c r="M426" i="17"/>
  <c r="Q426" i="17" s="1"/>
  <c r="U426" i="17" s="1"/>
  <c r="M330" i="17"/>
  <c r="N352" i="17"/>
  <c r="M272" i="17"/>
  <c r="Q272" i="17" s="1"/>
  <c r="U272" i="17" s="1"/>
  <c r="M176" i="17"/>
  <c r="M124" i="17"/>
  <c r="Q124" i="17" s="1"/>
  <c r="U124" i="17" s="1"/>
  <c r="M289" i="17"/>
  <c r="M241" i="17"/>
  <c r="M201" i="17"/>
  <c r="Q201" i="17" s="1"/>
  <c r="U201" i="17" s="1"/>
  <c r="M593" i="17"/>
  <c r="M545" i="17"/>
  <c r="M598" i="17"/>
  <c r="N558" i="17"/>
  <c r="Y558" i="17" s="1"/>
  <c r="N535" i="17"/>
  <c r="M544" i="17"/>
  <c r="X544" i="17" s="1"/>
  <c r="N506" i="17"/>
  <c r="N458" i="17"/>
  <c r="R458" i="17" s="1"/>
  <c r="S458" i="17" s="1"/>
  <c r="N418" i="17"/>
  <c r="R418" i="17" s="1"/>
  <c r="S418" i="17" s="1"/>
  <c r="M480" i="17"/>
  <c r="M432" i="17"/>
  <c r="M392" i="17"/>
  <c r="Q392" i="17" s="1"/>
  <c r="U392" i="17" s="1"/>
  <c r="M352" i="17"/>
  <c r="N406" i="17"/>
  <c r="R406" i="17" s="1"/>
  <c r="S406" i="17" s="1"/>
  <c r="N366" i="17"/>
  <c r="Y366" i="17" s="1"/>
  <c r="N326" i="17"/>
  <c r="M278" i="17"/>
  <c r="M238" i="17"/>
  <c r="Q238" i="17" s="1"/>
  <c r="M198" i="17"/>
  <c r="M150" i="17"/>
  <c r="Q150" i="17" s="1"/>
  <c r="U150" i="17" s="1"/>
  <c r="M110" i="17"/>
  <c r="Q110" i="17" s="1"/>
  <c r="M275" i="17"/>
  <c r="N604" i="17"/>
  <c r="N593" i="17"/>
  <c r="M526" i="17"/>
  <c r="Q526" i="17" s="1"/>
  <c r="U526" i="17" s="1"/>
  <c r="M527" i="17"/>
  <c r="M489" i="17"/>
  <c r="M449" i="17"/>
  <c r="X449" i="17" s="1"/>
  <c r="N503" i="17"/>
  <c r="N463" i="17"/>
  <c r="N423" i="17"/>
  <c r="R423" i="17" s="1"/>
  <c r="S423" i="17" s="1"/>
  <c r="N375" i="17"/>
  <c r="Y375" i="17" s="1"/>
  <c r="N335" i="17"/>
  <c r="M397" i="17"/>
  <c r="Q397" i="17" s="1"/>
  <c r="U397" i="17" s="1"/>
  <c r="M349" i="17"/>
  <c r="M89" i="17"/>
  <c r="M37" i="17"/>
  <c r="N86" i="17"/>
  <c r="N46" i="17"/>
  <c r="R46" i="17" s="1"/>
  <c r="S46" i="17" s="1"/>
  <c r="M106" i="17"/>
  <c r="M82" i="17"/>
  <c r="M62" i="17"/>
  <c r="Q62" i="17" s="1"/>
  <c r="U62" i="17" s="1"/>
  <c r="M42" i="17"/>
  <c r="Q42" i="17" s="1"/>
  <c r="U42" i="17" s="1"/>
  <c r="M18" i="17"/>
  <c r="Q18" i="17" s="1"/>
  <c r="M167" i="17"/>
  <c r="M77" i="17"/>
  <c r="Q77" i="17" s="1"/>
  <c r="U77" i="17" s="1"/>
  <c r="M79" i="17"/>
  <c r="Q79" i="17" s="1"/>
  <c r="U79" i="17" s="1"/>
  <c r="M39" i="17"/>
  <c r="Q39" i="17" s="1"/>
  <c r="U39" i="17" s="1"/>
  <c r="N96" i="17"/>
  <c r="R96" i="17" s="1"/>
  <c r="S96" i="17" s="1"/>
  <c r="N48" i="17"/>
  <c r="R48" i="17" s="1"/>
  <c r="S48" i="17" s="1"/>
  <c r="N107" i="17"/>
  <c r="R107" i="17" s="1"/>
  <c r="S107" i="17" s="1"/>
  <c r="N91" i="17"/>
  <c r="Y91" i="17" s="1"/>
  <c r="N75" i="17"/>
  <c r="N59" i="17"/>
  <c r="R59" i="17" s="1"/>
  <c r="S59" i="17" s="1"/>
  <c r="N43" i="17"/>
  <c r="R43" i="17" s="1"/>
  <c r="S43" i="17" s="1"/>
  <c r="N27" i="17"/>
  <c r="R27" i="17" s="1"/>
  <c r="S27" i="17" s="1"/>
  <c r="M115" i="17"/>
  <c r="M183" i="17"/>
  <c r="Q183" i="17" s="1"/>
  <c r="U183" i="17" s="1"/>
  <c r="M181" i="17"/>
  <c r="X181" i="17" s="1"/>
  <c r="N132" i="17"/>
  <c r="N164" i="17"/>
  <c r="R164" i="17" s="1"/>
  <c r="S164" i="17" s="1"/>
  <c r="N196" i="17"/>
  <c r="N228" i="17"/>
  <c r="R228" i="17" s="1"/>
  <c r="S228" i="17" s="1"/>
  <c r="N260" i="17"/>
  <c r="Y260" i="17" s="1"/>
  <c r="N292" i="17"/>
  <c r="N119" i="17"/>
  <c r="N151" i="17"/>
  <c r="R151" i="17" s="1"/>
  <c r="S151" i="17" s="1"/>
  <c r="N183" i="17"/>
  <c r="Y183" i="17" s="1"/>
  <c r="N215" i="17"/>
  <c r="N247" i="17"/>
  <c r="R247" i="17" s="1"/>
  <c r="S247" i="17" s="1"/>
  <c r="N279" i="17"/>
  <c r="R279" i="17" s="1"/>
  <c r="S279" i="17" s="1"/>
  <c r="N311" i="17"/>
  <c r="Y311" i="17" s="1"/>
  <c r="M343" i="17"/>
  <c r="Q343" i="17" s="1"/>
  <c r="U343" i="17" s="1"/>
  <c r="M375" i="17"/>
  <c r="M407" i="17"/>
  <c r="Q407" i="17" s="1"/>
  <c r="U407" i="17" s="1"/>
  <c r="N337" i="17"/>
  <c r="R337" i="17" s="1"/>
  <c r="S337" i="17" s="1"/>
  <c r="N369" i="17"/>
  <c r="R369" i="17" s="1"/>
  <c r="S369" i="17" s="1"/>
  <c r="N401" i="17"/>
  <c r="N433" i="17"/>
  <c r="R433" i="17" s="1"/>
  <c r="S433" i="17" s="1"/>
  <c r="N465" i="17"/>
  <c r="N497" i="17"/>
  <c r="M427" i="17"/>
  <c r="Q427" i="17" s="1"/>
  <c r="U427" i="17" s="1"/>
  <c r="M459" i="17"/>
  <c r="M491" i="17"/>
  <c r="Q491" i="17" s="1"/>
  <c r="U491" i="17" s="1"/>
  <c r="M521" i="17"/>
  <c r="M562" i="17"/>
  <c r="Q562" i="17" s="1"/>
  <c r="U562" i="17" s="1"/>
  <c r="M536" i="17"/>
  <c r="Q536" i="17" s="1"/>
  <c r="U536" i="17" s="1"/>
  <c r="M547" i="17"/>
  <c r="N611" i="17"/>
  <c r="R611" i="17" s="1"/>
  <c r="S611" i="17" s="1"/>
  <c r="M243" i="17"/>
  <c r="X243" i="17" s="1"/>
  <c r="M129" i="17"/>
  <c r="X129" i="17" s="1"/>
  <c r="M193" i="17"/>
  <c r="X193" i="17" s="1"/>
  <c r="N138" i="17"/>
  <c r="R138" i="17" s="1"/>
  <c r="S138" i="17" s="1"/>
  <c r="N170" i="17"/>
  <c r="R170" i="17" s="1"/>
  <c r="S170" i="17" s="1"/>
  <c r="N202" i="17"/>
  <c r="N234" i="17"/>
  <c r="R234" i="17" s="1"/>
  <c r="S234" i="17" s="1"/>
  <c r="N266" i="17"/>
  <c r="N298" i="17"/>
  <c r="R298" i="17" s="1"/>
  <c r="S298" i="17" s="1"/>
  <c r="N125" i="17"/>
  <c r="N157" i="17"/>
  <c r="R157" i="17" s="1"/>
  <c r="S157" i="17" s="1"/>
  <c r="N189" i="17"/>
  <c r="N221" i="17"/>
  <c r="N253" i="17"/>
  <c r="Y253" i="17" s="1"/>
  <c r="N285" i="17"/>
  <c r="R285" i="17" s="1"/>
  <c r="S285" i="17" s="1"/>
  <c r="M317" i="17"/>
  <c r="Q317" i="17" s="1"/>
  <c r="U317" i="17" s="1"/>
  <c r="M369" i="17"/>
  <c r="Q369" i="17" s="1"/>
  <c r="U369" i="17" s="1"/>
  <c r="N331" i="17"/>
  <c r="R331" i="17" s="1"/>
  <c r="S331" i="17" s="1"/>
  <c r="N395" i="17"/>
  <c r="N459" i="17"/>
  <c r="R459" i="17" s="1"/>
  <c r="S459" i="17" s="1"/>
  <c r="M421" i="17"/>
  <c r="Q421" i="17" s="1"/>
  <c r="U421" i="17" s="1"/>
  <c r="M485" i="17"/>
  <c r="X485" i="17" s="1"/>
  <c r="M550" i="17"/>
  <c r="X550" i="17" s="1"/>
  <c r="N581" i="17"/>
  <c r="M231" i="17"/>
  <c r="Q231" i="17" s="1"/>
  <c r="U231" i="17" s="1"/>
  <c r="M311" i="17"/>
  <c r="Q311" i="17" s="1"/>
  <c r="U311" i="17" s="1"/>
  <c r="M170" i="17"/>
  <c r="M234" i="17"/>
  <c r="M298" i="17"/>
  <c r="Q298" i="17" s="1"/>
  <c r="U298" i="17" s="1"/>
  <c r="N362" i="17"/>
  <c r="R362" i="17" s="1"/>
  <c r="S362" i="17" s="1"/>
  <c r="M324" i="17"/>
  <c r="M388" i="17"/>
  <c r="Q388" i="17" s="1"/>
  <c r="U388" i="17" s="1"/>
  <c r="M452" i="17"/>
  <c r="Q452" i="17" s="1"/>
  <c r="U452" i="17" s="1"/>
  <c r="M516" i="17"/>
  <c r="N478" i="17"/>
  <c r="N540" i="17"/>
  <c r="N567" i="17"/>
  <c r="Y567" i="17" s="1"/>
  <c r="N594" i="17"/>
  <c r="R594" i="17" s="1"/>
  <c r="S594" i="17" s="1"/>
  <c r="M565" i="17"/>
  <c r="N610" i="17"/>
  <c r="M261" i="17"/>
  <c r="Q261" i="17" s="1"/>
  <c r="U261" i="17" s="1"/>
  <c r="M120" i="17"/>
  <c r="Q120" i="17" s="1"/>
  <c r="U120" i="17" s="1"/>
  <c r="M216" i="17"/>
  <c r="X216" i="17" s="1"/>
  <c r="N344" i="17"/>
  <c r="M370" i="17"/>
  <c r="M498" i="17"/>
  <c r="N522" i="17"/>
  <c r="R522" i="17" s="1"/>
  <c r="S522" i="17" s="1"/>
  <c r="N576" i="17"/>
  <c r="R576" i="17" s="1"/>
  <c r="S576" i="17" s="1"/>
  <c r="M164" i="17"/>
  <c r="Q164" i="17" s="1"/>
  <c r="U164" i="17" s="1"/>
  <c r="M196" i="17"/>
  <c r="Q196" i="17" s="1"/>
  <c r="U196" i="17" s="1"/>
  <c r="M228" i="17"/>
  <c r="M260" i="17"/>
  <c r="Q260" i="17" s="1"/>
  <c r="U260" i="17" s="1"/>
  <c r="M292" i="17"/>
  <c r="Q292" i="17" s="1"/>
  <c r="U292" i="17" s="1"/>
  <c r="N324" i="17"/>
  <c r="N356" i="17"/>
  <c r="N388" i="17"/>
  <c r="M318" i="17"/>
  <c r="Q318" i="17" s="1"/>
  <c r="U318" i="17" s="1"/>
  <c r="M350" i="17"/>
  <c r="Q350" i="17" s="1"/>
  <c r="U350" i="17" s="1"/>
  <c r="M382" i="17"/>
  <c r="M414" i="17"/>
  <c r="Q414" i="17" s="1"/>
  <c r="U414" i="17" s="1"/>
  <c r="M446" i="17"/>
  <c r="Q446" i="17" s="1"/>
  <c r="U446" i="17" s="1"/>
  <c r="M478" i="17"/>
  <c r="Q478" i="17" s="1"/>
  <c r="U478" i="17" s="1"/>
  <c r="M510" i="17"/>
  <c r="N440" i="17"/>
  <c r="N472" i="17"/>
  <c r="N504" i="17"/>
  <c r="R504" i="17" s="1"/>
  <c r="S504" i="17" s="1"/>
  <c r="N534" i="17"/>
  <c r="M588" i="17"/>
  <c r="N555" i="17"/>
  <c r="R555" i="17" s="1"/>
  <c r="S555" i="17" s="1"/>
  <c r="N556" i="17"/>
  <c r="R556" i="17" s="1"/>
  <c r="S556" i="17" s="1"/>
  <c r="N588" i="17"/>
  <c r="M601" i="17"/>
  <c r="Q601" i="17" s="1"/>
  <c r="U601" i="17" s="1"/>
  <c r="N36" i="17"/>
  <c r="M44" i="17"/>
  <c r="X44" i="17" s="1"/>
  <c r="N341" i="17"/>
  <c r="R341" i="17" s="1"/>
  <c r="S341" i="17" s="1"/>
  <c r="M431" i="17"/>
  <c r="N42" i="17"/>
  <c r="N105" i="17"/>
  <c r="N296" i="17"/>
  <c r="R296" i="17" s="1"/>
  <c r="S296" i="17" s="1"/>
  <c r="N437" i="17"/>
  <c r="R437" i="17" s="1"/>
  <c r="S437" i="17" s="1"/>
  <c r="M622" i="17"/>
  <c r="M100" i="17"/>
  <c r="N626" i="17"/>
  <c r="N97" i="17"/>
  <c r="M157" i="17"/>
  <c r="X157" i="17" s="1"/>
  <c r="N280" i="17"/>
  <c r="R280" i="17" s="1"/>
  <c r="S280" i="17" s="1"/>
  <c r="M331" i="17"/>
  <c r="N453" i="17"/>
  <c r="M524" i="17"/>
  <c r="N174" i="17"/>
  <c r="Y174" i="17" s="1"/>
  <c r="N270" i="17"/>
  <c r="Y270" i="17" s="1"/>
  <c r="M49" i="17"/>
  <c r="N18" i="17"/>
  <c r="R18" i="17" s="1"/>
  <c r="S18" i="17" s="1"/>
  <c r="M56" i="17"/>
  <c r="Q56" i="17" s="1"/>
  <c r="U56" i="17" s="1"/>
  <c r="M127" i="17"/>
  <c r="X127" i="17" s="1"/>
  <c r="M59" i="17"/>
  <c r="Q59" i="17" s="1"/>
  <c r="U59" i="17" s="1"/>
  <c r="N44" i="17"/>
  <c r="N69" i="17"/>
  <c r="Y69" i="17" s="1"/>
  <c r="M139" i="17"/>
  <c r="X139" i="17" s="1"/>
  <c r="N144" i="17"/>
  <c r="R144" i="17" s="1"/>
  <c r="S144" i="17" s="1"/>
  <c r="N256" i="17"/>
  <c r="N179" i="17"/>
  <c r="N291" i="17"/>
  <c r="M387" i="17"/>
  <c r="Q387" i="17" s="1"/>
  <c r="U387" i="17" s="1"/>
  <c r="N413" i="17"/>
  <c r="M423" i="17"/>
  <c r="Q423" i="17" s="1"/>
  <c r="U423" i="17" s="1"/>
  <c r="M533" i="17"/>
  <c r="Q533" i="17" s="1"/>
  <c r="U533" i="17" s="1"/>
  <c r="M203" i="17"/>
  <c r="Q203" i="17" s="1"/>
  <c r="U203" i="17" s="1"/>
  <c r="N118" i="17"/>
  <c r="R118" i="17" s="1"/>
  <c r="S118" i="17" s="1"/>
  <c r="N230" i="17"/>
  <c r="R230" i="17" s="1"/>
  <c r="S230" i="17" s="1"/>
  <c r="N145" i="17"/>
  <c r="N201" i="17"/>
  <c r="R201" i="17" s="1"/>
  <c r="S201" i="17" s="1"/>
  <c r="N249" i="17"/>
  <c r="N313" i="17"/>
  <c r="M409" i="17"/>
  <c r="N419" i="17"/>
  <c r="R419" i="17" s="1"/>
  <c r="S419" i="17" s="1"/>
  <c r="M445" i="17"/>
  <c r="X445" i="17" s="1"/>
  <c r="M539" i="17"/>
  <c r="Q539" i="17" s="1"/>
  <c r="U539" i="17" s="1"/>
  <c r="N596" i="17"/>
  <c r="R596" i="17" s="1"/>
  <c r="S596" i="17" s="1"/>
  <c r="M146" i="17"/>
  <c r="M226" i="17"/>
  <c r="M306" i="17"/>
  <c r="Q306" i="17" s="1"/>
  <c r="U306" i="17" s="1"/>
  <c r="N402" i="17"/>
  <c r="Y402" i="17" s="1"/>
  <c r="M380" i="17"/>
  <c r="Q380" i="17" s="1"/>
  <c r="U380" i="17" s="1"/>
  <c r="M460" i="17"/>
  <c r="Q460" i="17" s="1"/>
  <c r="U460" i="17" s="1"/>
  <c r="N454" i="17"/>
  <c r="R454" i="17" s="1"/>
  <c r="S454" i="17" s="1"/>
  <c r="N532" i="17"/>
  <c r="R532" i="17" s="1"/>
  <c r="S532" i="17" s="1"/>
  <c r="N583" i="17"/>
  <c r="N589" i="17"/>
  <c r="R589" i="17" s="1"/>
  <c r="S589" i="17" s="1"/>
  <c r="N602" i="17"/>
  <c r="Y602" i="17" s="1"/>
  <c r="M269" i="17"/>
  <c r="X269" i="17" s="1"/>
  <c r="M168" i="17"/>
  <c r="N328" i="17"/>
  <c r="Y328" i="17" s="1"/>
  <c r="M386" i="17"/>
  <c r="Q386" i="17" s="1"/>
  <c r="U386" i="17" s="1"/>
  <c r="N476" i="17"/>
  <c r="N560" i="17"/>
  <c r="N568" i="17"/>
  <c r="R568" i="17" s="1"/>
  <c r="S568" i="17" s="1"/>
  <c r="M548" i="17"/>
  <c r="Q548" i="17" s="1"/>
  <c r="U548" i="17" s="1"/>
  <c r="N468" i="17"/>
  <c r="M490" i="17"/>
  <c r="Q490" i="17" s="1"/>
  <c r="U490" i="17" s="1"/>
  <c r="M394" i="17"/>
  <c r="Q394" i="17" s="1"/>
  <c r="U394" i="17" s="1"/>
  <c r="N416" i="17"/>
  <c r="N336" i="17"/>
  <c r="M240" i="17"/>
  <c r="Q240" i="17" s="1"/>
  <c r="U240" i="17" s="1"/>
  <c r="M160" i="17"/>
  <c r="X160" i="17" s="1"/>
  <c r="M116" i="17"/>
  <c r="Q116" i="17" s="1"/>
  <c r="U116" i="17" s="1"/>
  <c r="M273" i="17"/>
  <c r="M233" i="17"/>
  <c r="Q233" i="17" s="1"/>
  <c r="U233" i="17" s="1"/>
  <c r="N606" i="17"/>
  <c r="R606" i="17" s="1"/>
  <c r="S606" i="17" s="1"/>
  <c r="M577" i="17"/>
  <c r="Q577" i="17" s="1"/>
  <c r="U577" i="17" s="1"/>
  <c r="M611" i="17"/>
  <c r="X611" i="17" s="1"/>
  <c r="N590" i="17"/>
  <c r="R590" i="17" s="1"/>
  <c r="S590" i="17" s="1"/>
  <c r="N591" i="17"/>
  <c r="N527" i="17"/>
  <c r="Y527" i="17" s="1"/>
  <c r="N536" i="17"/>
  <c r="Y536" i="17" s="1"/>
  <c r="N490" i="17"/>
  <c r="N450" i="17"/>
  <c r="R450" i="17" s="1"/>
  <c r="S450" i="17" s="1"/>
  <c r="M512" i="17"/>
  <c r="M464" i="17"/>
  <c r="M424" i="17"/>
  <c r="Q424" i="17" s="1"/>
  <c r="U424" i="17" s="1"/>
  <c r="M384" i="17"/>
  <c r="Q384" i="17" s="1"/>
  <c r="U384" i="17" s="1"/>
  <c r="M336" i="17"/>
  <c r="X336" i="17" s="1"/>
  <c r="N398" i="17"/>
  <c r="Y398" i="17" s="1"/>
  <c r="N358" i="17"/>
  <c r="M310" i="17"/>
  <c r="X310" i="17" s="1"/>
  <c r="M270" i="17"/>
  <c r="X270" i="17" s="1"/>
  <c r="M230" i="17"/>
  <c r="Q230" i="17" s="1"/>
  <c r="U230" i="17" s="1"/>
  <c r="M182" i="17"/>
  <c r="Q182" i="17" s="1"/>
  <c r="U182" i="17" s="1"/>
  <c r="M142" i="17"/>
  <c r="M307" i="17"/>
  <c r="Q307" i="17" s="1"/>
  <c r="U307" i="17" s="1"/>
  <c r="M255" i="17"/>
  <c r="Q255" i="17" s="1"/>
  <c r="U255" i="17" s="1"/>
  <c r="N607" i="17"/>
  <c r="R607" i="17" s="1"/>
  <c r="S607" i="17" s="1"/>
  <c r="N573" i="17"/>
  <c r="M574" i="17"/>
  <c r="Q574" i="17" s="1"/>
  <c r="U574" i="17" s="1"/>
  <c r="M519" i="17"/>
  <c r="M604" i="17"/>
  <c r="Q604" i="17" s="1"/>
  <c r="U604" i="17" s="1"/>
  <c r="N564" i="17"/>
  <c r="R564" i="17" s="1"/>
  <c r="S564" i="17" s="1"/>
  <c r="N541" i="17"/>
  <c r="M556" i="17"/>
  <c r="N512" i="17"/>
  <c r="N464" i="17"/>
  <c r="Y464" i="17" s="1"/>
  <c r="N424" i="17"/>
  <c r="R424" i="17" s="1"/>
  <c r="S424" i="17" s="1"/>
  <c r="M486" i="17"/>
  <c r="M438" i="17"/>
  <c r="Q438" i="17" s="1"/>
  <c r="U438" i="17" s="1"/>
  <c r="M398" i="17"/>
  <c r="M358" i="17"/>
  <c r="N412" i="17"/>
  <c r="R412" i="17" s="1"/>
  <c r="S412" i="17" s="1"/>
  <c r="N372" i="17"/>
  <c r="N332" i="17"/>
  <c r="R332" i="17" s="1"/>
  <c r="S332" i="17" s="1"/>
  <c r="M284" i="17"/>
  <c r="M244" i="17"/>
  <c r="Q244" i="17" s="1"/>
  <c r="U244" i="17" s="1"/>
  <c r="M204" i="17"/>
  <c r="M156" i="17"/>
  <c r="Q156" i="17" s="1"/>
  <c r="U156" i="17" s="1"/>
  <c r="N537" i="17"/>
  <c r="Y537" i="17" s="1"/>
  <c r="N428" i="17"/>
  <c r="M338" i="17"/>
  <c r="M280" i="17"/>
  <c r="Q280" i="17" s="1"/>
  <c r="U280" i="17" s="1"/>
  <c r="M136" i="17"/>
  <c r="M245" i="17"/>
  <c r="N597" i="17"/>
  <c r="M610" i="17"/>
  <c r="N539" i="17"/>
  <c r="N510" i="17"/>
  <c r="N430" i="17"/>
  <c r="M436" i="17"/>
  <c r="M356" i="17"/>
  <c r="Q356" i="17" s="1"/>
  <c r="U356" i="17" s="1"/>
  <c r="N378" i="17"/>
  <c r="Y378" i="17" s="1"/>
  <c r="M282" i="17"/>
  <c r="Q282" i="17" s="1"/>
  <c r="U282" i="17" s="1"/>
  <c r="M202" i="17"/>
  <c r="X202" i="17" s="1"/>
  <c r="M122" i="17"/>
  <c r="Q122" i="17" s="1"/>
  <c r="U122" i="17" s="1"/>
  <c r="N612" i="17"/>
  <c r="Y612" i="17" s="1"/>
  <c r="M530" i="17"/>
  <c r="M501" i="17"/>
  <c r="Q501" i="17" s="1"/>
  <c r="U501" i="17" s="1"/>
  <c r="N507" i="17"/>
  <c r="R507" i="17" s="1"/>
  <c r="S507" i="17" s="1"/>
  <c r="N427" i="17"/>
  <c r="R427" i="17" s="1"/>
  <c r="S427" i="17" s="1"/>
  <c r="N347" i="17"/>
  <c r="M353" i="17"/>
  <c r="N301" i="17"/>
  <c r="Y301" i="17" s="1"/>
  <c r="N261" i="17"/>
  <c r="R261" i="17" s="1"/>
  <c r="S261" i="17" s="1"/>
  <c r="N213" i="17"/>
  <c r="Y213" i="17" s="1"/>
  <c r="N173" i="17"/>
  <c r="N133" i="17"/>
  <c r="N290" i="17"/>
  <c r="Y290" i="17" s="1"/>
  <c r="N250" i="17"/>
  <c r="N210" i="17"/>
  <c r="N162" i="17"/>
  <c r="Y162" i="17" s="1"/>
  <c r="N122" i="17"/>
  <c r="Y122" i="17" s="1"/>
  <c r="M145" i="17"/>
  <c r="Q145" i="17" s="1"/>
  <c r="U145" i="17" s="1"/>
  <c r="M227" i="17"/>
  <c r="M579" i="17"/>
  <c r="Q579" i="17" s="1"/>
  <c r="U579" i="17" s="1"/>
  <c r="N545" i="17"/>
  <c r="R545" i="17" s="1"/>
  <c r="S545" i="17" s="1"/>
  <c r="M546" i="17"/>
  <c r="M507" i="17"/>
  <c r="Q507" i="17" s="1"/>
  <c r="U507" i="17" s="1"/>
  <c r="M467" i="17"/>
  <c r="X467" i="17" s="1"/>
  <c r="M419" i="17"/>
  <c r="X419" i="17" s="1"/>
  <c r="N481" i="17"/>
  <c r="R481" i="17" s="1"/>
  <c r="S481" i="17" s="1"/>
  <c r="N441" i="17"/>
  <c r="N393" i="17"/>
  <c r="R393" i="17" s="1"/>
  <c r="S393" i="17" s="1"/>
  <c r="N353" i="17"/>
  <c r="Y353" i="17" s="1"/>
  <c r="M415" i="17"/>
  <c r="M367" i="17"/>
  <c r="Q367" i="17" s="1"/>
  <c r="U367" i="17" s="1"/>
  <c r="M327" i="17"/>
  <c r="Q327" i="17" s="1"/>
  <c r="U327" i="17" s="1"/>
  <c r="N287" i="17"/>
  <c r="Y287" i="17" s="1"/>
  <c r="N239" i="17"/>
  <c r="N199" i="17"/>
  <c r="R199" i="17" s="1"/>
  <c r="S199" i="17" s="1"/>
  <c r="N159" i="17"/>
  <c r="N111" i="17"/>
  <c r="Y111" i="17" s="1"/>
  <c r="N276" i="17"/>
  <c r="R276" i="17" s="1"/>
  <c r="S276" i="17" s="1"/>
  <c r="N236" i="17"/>
  <c r="N188" i="17"/>
  <c r="R188" i="17" s="1"/>
  <c r="S188" i="17" s="1"/>
  <c r="N148" i="17"/>
  <c r="M197" i="17"/>
  <c r="M163" i="17"/>
  <c r="Q163" i="17" s="1"/>
  <c r="U163" i="17" s="1"/>
  <c r="N19" i="17"/>
  <c r="R19" i="17" s="1"/>
  <c r="S19" i="17" s="1"/>
  <c r="N39" i="17"/>
  <c r="R39" i="17" s="1"/>
  <c r="S39" i="17" s="1"/>
  <c r="N63" i="17"/>
  <c r="N83" i="17"/>
  <c r="R83" i="17" s="1"/>
  <c r="S83" i="17" s="1"/>
  <c r="N103" i="17"/>
  <c r="R103" i="17" s="1"/>
  <c r="S103" i="17" s="1"/>
  <c r="N64" i="17"/>
  <c r="M15" i="17"/>
  <c r="M71" i="17"/>
  <c r="Q71" i="17" s="1"/>
  <c r="U71" i="17" s="1"/>
  <c r="M93" i="17"/>
  <c r="X93" i="17" s="1"/>
  <c r="M119" i="17"/>
  <c r="X119" i="17" s="1"/>
  <c r="M34" i="17"/>
  <c r="M66" i="17"/>
  <c r="M94" i="17"/>
  <c r="X94" i="17" s="1"/>
  <c r="N38" i="17"/>
  <c r="Y38" i="17" s="1"/>
  <c r="N102" i="17"/>
  <c r="M53" i="17"/>
  <c r="Q53" i="17" s="1"/>
  <c r="U53" i="17" s="1"/>
  <c r="M341" i="17"/>
  <c r="M405" i="17"/>
  <c r="X405" i="17" s="1"/>
  <c r="N359" i="17"/>
  <c r="N407" i="17"/>
  <c r="R407" i="17" s="1"/>
  <c r="S407" i="17" s="1"/>
  <c r="N471" i="17"/>
  <c r="R471" i="17" s="1"/>
  <c r="S471" i="17" s="1"/>
  <c r="M425" i="17"/>
  <c r="X425" i="17" s="1"/>
  <c r="M481" i="17"/>
  <c r="M558" i="17"/>
  <c r="M591" i="17"/>
  <c r="Q591" i="17" s="1"/>
  <c r="U591" i="17" s="1"/>
  <c r="M291" i="17"/>
  <c r="Q291" i="17" s="1"/>
  <c r="U291" i="17" s="1"/>
  <c r="M174" i="17"/>
  <c r="M262" i="17"/>
  <c r="X262" i="17" s="1"/>
  <c r="N342" i="17"/>
  <c r="R342" i="17" s="1"/>
  <c r="S342" i="17" s="1"/>
  <c r="M328" i="17"/>
  <c r="M416" i="17"/>
  <c r="Q416" i="17" s="1"/>
  <c r="U416" i="17" s="1"/>
  <c r="M496" i="17"/>
  <c r="N482" i="17"/>
  <c r="R482" i="17" s="1"/>
  <c r="S482" i="17" s="1"/>
  <c r="M592" i="17"/>
  <c r="Q592" i="17" s="1"/>
  <c r="U592" i="17" s="1"/>
  <c r="N574" i="17"/>
  <c r="M569" i="17"/>
  <c r="M225" i="17"/>
  <c r="Q225" i="17" s="1"/>
  <c r="U225" i="17" s="1"/>
  <c r="M305" i="17"/>
  <c r="M224" i="17"/>
  <c r="N400" i="17"/>
  <c r="Y400" i="17" s="1"/>
  <c r="M458" i="17"/>
  <c r="X458" i="17" s="1"/>
  <c r="N530" i="17"/>
  <c r="M613" i="17"/>
  <c r="Q613" i="17" s="1"/>
  <c r="M450" i="17"/>
  <c r="M200" i="17"/>
  <c r="X200" i="17" s="1"/>
  <c r="M205" i="17"/>
  <c r="N570" i="17"/>
  <c r="N470" i="17"/>
  <c r="Y470" i="17" s="1"/>
  <c r="M396" i="17"/>
  <c r="Q396" i="17" s="1"/>
  <c r="U396" i="17" s="1"/>
  <c r="N338" i="17"/>
  <c r="R338" i="17" s="1"/>
  <c r="S338" i="17" s="1"/>
  <c r="M162" i="17"/>
  <c r="X162" i="17" s="1"/>
  <c r="M522" i="17"/>
  <c r="N451" i="17"/>
  <c r="R451" i="17" s="1"/>
  <c r="S451" i="17" s="1"/>
  <c r="M329" i="17"/>
  <c r="Q329" i="17" s="1"/>
  <c r="U329" i="17" s="1"/>
  <c r="N209" i="17"/>
  <c r="N278" i="17"/>
  <c r="R278" i="17" s="1"/>
  <c r="S278" i="17" s="1"/>
  <c r="M235" i="17"/>
  <c r="Q235" i="17" s="1"/>
  <c r="U235" i="17" s="1"/>
  <c r="M439" i="17"/>
  <c r="Q439" i="17" s="1"/>
  <c r="U439" i="17" s="1"/>
  <c r="N333" i="17"/>
  <c r="Y333" i="17" s="1"/>
  <c r="N195" i="17"/>
  <c r="Y195" i="17" s="1"/>
  <c r="N176" i="17"/>
  <c r="N53" i="17"/>
  <c r="R53" i="17" s="1"/>
  <c r="S53" i="17" s="1"/>
  <c r="M27" i="17"/>
  <c r="M48" i="17"/>
  <c r="X48" i="17" s="1"/>
  <c r="N98" i="17"/>
  <c r="R98" i="17" s="1"/>
  <c r="S98" i="17" s="1"/>
  <c r="N190" i="17"/>
  <c r="N485" i="17"/>
  <c r="R485" i="17" s="1"/>
  <c r="S485" i="17" s="1"/>
  <c r="N171" i="17"/>
  <c r="R171" i="17" s="1"/>
  <c r="S171" i="17" s="1"/>
  <c r="N81" i="17"/>
  <c r="R81" i="17" s="1"/>
  <c r="S81" i="17" s="1"/>
  <c r="M68" i="17"/>
  <c r="Q68" i="17" s="1"/>
  <c r="U68" i="17" s="1"/>
  <c r="M463" i="17"/>
  <c r="N41" i="17"/>
  <c r="M570" i="17"/>
  <c r="Q570" i="17" s="1"/>
  <c r="U570" i="17" s="1"/>
  <c r="N89" i="17"/>
  <c r="R89" i="17" s="1"/>
  <c r="S89" i="17" s="1"/>
  <c r="M67" i="17"/>
  <c r="M596" i="17"/>
  <c r="N548" i="17"/>
  <c r="R548" i="17" s="1"/>
  <c r="S548" i="17" s="1"/>
  <c r="N533" i="17"/>
  <c r="N542" i="17"/>
  <c r="R542" i="17" s="1"/>
  <c r="S542" i="17" s="1"/>
  <c r="N496" i="17"/>
  <c r="Y496" i="17" s="1"/>
  <c r="N456" i="17"/>
  <c r="N519" i="17"/>
  <c r="R519" i="17" s="1"/>
  <c r="S519" i="17" s="1"/>
  <c r="M470" i="17"/>
  <c r="M430" i="17"/>
  <c r="X430" i="17" s="1"/>
  <c r="M390" i="17"/>
  <c r="M342" i="17"/>
  <c r="N404" i="17"/>
  <c r="R404" i="17" s="1"/>
  <c r="S404" i="17" s="1"/>
  <c r="N364" i="17"/>
  <c r="R364" i="17" s="1"/>
  <c r="S364" i="17" s="1"/>
  <c r="N316" i="17"/>
  <c r="R316" i="17" s="1"/>
  <c r="S316" i="17" s="1"/>
  <c r="M276" i="17"/>
  <c r="M236" i="17"/>
  <c r="M188" i="17"/>
  <c r="Q188" i="17" s="1"/>
  <c r="U188" i="17" s="1"/>
  <c r="M605" i="17"/>
  <c r="Q605" i="17" s="1"/>
  <c r="U605" i="17" s="1"/>
  <c r="M564" i="17"/>
  <c r="M466" i="17"/>
  <c r="Q466" i="17" s="1"/>
  <c r="U466" i="17" s="1"/>
  <c r="N408" i="17"/>
  <c r="R408" i="17" s="1"/>
  <c r="S408" i="17" s="1"/>
  <c r="M248" i="17"/>
  <c r="M309" i="17"/>
  <c r="Q309" i="17" s="1"/>
  <c r="U309" i="17" s="1"/>
  <c r="M229" i="17"/>
  <c r="Q229" i="17" s="1"/>
  <c r="U229" i="17" s="1"/>
  <c r="M581" i="17"/>
  <c r="N578" i="17"/>
  <c r="R578" i="17" s="1"/>
  <c r="S578" i="17" s="1"/>
  <c r="N523" i="17"/>
  <c r="R523" i="17" s="1"/>
  <c r="S523" i="17" s="1"/>
  <c r="N494" i="17"/>
  <c r="M500" i="17"/>
  <c r="M420" i="17"/>
  <c r="M340" i="17"/>
  <c r="Q340" i="17" s="1"/>
  <c r="U340" i="17" s="1"/>
  <c r="N346" i="17"/>
  <c r="M266" i="17"/>
  <c r="Q266" i="17" s="1"/>
  <c r="U266" i="17" s="1"/>
  <c r="M186" i="17"/>
  <c r="X186" i="17" s="1"/>
  <c r="M295" i="17"/>
  <c r="Q295" i="17" s="1"/>
  <c r="U295" i="17" s="1"/>
  <c r="N599" i="17"/>
  <c r="R599" i="17" s="1"/>
  <c r="S599" i="17" s="1"/>
  <c r="M582" i="17"/>
  <c r="M469" i="17"/>
  <c r="Q469" i="17" s="1"/>
  <c r="N491" i="17"/>
  <c r="R491" i="17" s="1"/>
  <c r="S491" i="17" s="1"/>
  <c r="N411" i="17"/>
  <c r="N315" i="17"/>
  <c r="M337" i="17"/>
  <c r="N293" i="17"/>
  <c r="Y293" i="17" s="1"/>
  <c r="N245" i="17"/>
  <c r="N205" i="17"/>
  <c r="N165" i="17"/>
  <c r="N117" i="17"/>
  <c r="R117" i="17" s="1"/>
  <c r="S117" i="17" s="1"/>
  <c r="N282" i="17"/>
  <c r="N242" i="17"/>
  <c r="Y242" i="17" s="1"/>
  <c r="N194" i="17"/>
  <c r="N154" i="17"/>
  <c r="N114" i="17"/>
  <c r="M113" i="17"/>
  <c r="Q113" i="17" s="1"/>
  <c r="U113" i="17" s="1"/>
  <c r="M211" i="17"/>
  <c r="X211" i="17" s="1"/>
  <c r="M563" i="17"/>
  <c r="X563" i="17" s="1"/>
  <c r="M528" i="17"/>
  <c r="M537" i="17"/>
  <c r="Q537" i="17" s="1"/>
  <c r="U537" i="17" s="1"/>
  <c r="M499" i="17"/>
  <c r="Q499" i="17" s="1"/>
  <c r="U499" i="17" s="1"/>
  <c r="M451" i="17"/>
  <c r="N513" i="17"/>
  <c r="R513" i="17" s="1"/>
  <c r="S513" i="17" s="1"/>
  <c r="N473" i="17"/>
  <c r="R473" i="17" s="1"/>
  <c r="S473" i="17" s="1"/>
  <c r="N425" i="17"/>
  <c r="Y425" i="17" s="1"/>
  <c r="N385" i="17"/>
  <c r="N345" i="17"/>
  <c r="M399" i="17"/>
  <c r="X399" i="17" s="1"/>
  <c r="M359" i="17"/>
  <c r="M319" i="17"/>
  <c r="Q319" i="17" s="1"/>
  <c r="U319" i="17" s="1"/>
  <c r="N271" i="17"/>
  <c r="N231" i="17"/>
  <c r="N191" i="17"/>
  <c r="R191" i="17" s="1"/>
  <c r="S191" i="17" s="1"/>
  <c r="N143" i="17"/>
  <c r="N308" i="17"/>
  <c r="R308" i="17" s="1"/>
  <c r="S308" i="17" s="1"/>
  <c r="N268" i="17"/>
  <c r="R268" i="17" s="1"/>
  <c r="S268" i="17" s="1"/>
  <c r="N220" i="17"/>
  <c r="R220" i="17" s="1"/>
  <c r="S220" i="17" s="1"/>
  <c r="N180" i="17"/>
  <c r="Y180" i="17" s="1"/>
  <c r="N140" i="17"/>
  <c r="M165" i="17"/>
  <c r="X165" i="17" s="1"/>
  <c r="M147" i="17"/>
  <c r="Q147" i="17" s="1"/>
  <c r="U147" i="17" s="1"/>
  <c r="N23" i="17"/>
  <c r="N47" i="17"/>
  <c r="N67" i="17"/>
  <c r="R67" i="17" s="1"/>
  <c r="S67" i="17" s="1"/>
  <c r="N87" i="17"/>
  <c r="R87" i="17" s="1"/>
  <c r="S87" i="17" s="1"/>
  <c r="N16" i="17"/>
  <c r="Y16" i="17" s="1"/>
  <c r="N72" i="17"/>
  <c r="R72" i="17" s="1"/>
  <c r="S72" i="17" s="1"/>
  <c r="M31" i="17"/>
  <c r="X31" i="17" s="1"/>
  <c r="M95" i="17"/>
  <c r="Q95" i="17" s="1"/>
  <c r="U95" i="17" s="1"/>
  <c r="M109" i="17"/>
  <c r="X109" i="17" s="1"/>
  <c r="M14" i="17"/>
  <c r="M46" i="17"/>
  <c r="M74" i="17"/>
  <c r="Q74" i="17" s="1"/>
  <c r="U74" i="17" s="1"/>
  <c r="M98" i="17"/>
  <c r="Q98" i="17" s="1"/>
  <c r="U98" i="17" s="1"/>
  <c r="N54" i="17"/>
  <c r="M13" i="17"/>
  <c r="Q13" i="17" s="1"/>
  <c r="U13" i="17" s="1"/>
  <c r="M73" i="17"/>
  <c r="Q73" i="17" s="1"/>
  <c r="U73" i="17" s="1"/>
  <c r="M365" i="17"/>
  <c r="X365" i="17" s="1"/>
  <c r="M413" i="17"/>
  <c r="N367" i="17"/>
  <c r="R367" i="17" s="1"/>
  <c r="S367" i="17" s="1"/>
  <c r="N431" i="17"/>
  <c r="R431" i="17" s="1"/>
  <c r="S431" i="17" s="1"/>
  <c r="N487" i="17"/>
  <c r="Y487" i="17" s="1"/>
  <c r="M433" i="17"/>
  <c r="M497" i="17"/>
  <c r="M534" i="17"/>
  <c r="X534" i="17" s="1"/>
  <c r="M223" i="17"/>
  <c r="M118" i="17"/>
  <c r="M206" i="17"/>
  <c r="Q206" i="17" s="1"/>
  <c r="U206" i="17" s="1"/>
  <c r="M294" i="17"/>
  <c r="N374" i="17"/>
  <c r="R374" i="17" s="1"/>
  <c r="S374" i="17" s="1"/>
  <c r="M360" i="17"/>
  <c r="M448" i="17"/>
  <c r="N426" i="17"/>
  <c r="Y426" i="17" s="1"/>
  <c r="N514" i="17"/>
  <c r="N559" i="17"/>
  <c r="M606" i="17"/>
  <c r="N601" i="17"/>
  <c r="R601" i="17" s="1"/>
  <c r="S601" i="17" s="1"/>
  <c r="M257" i="17"/>
  <c r="X257" i="17" s="1"/>
  <c r="M132" i="17"/>
  <c r="M288" i="17"/>
  <c r="Q288" i="17" s="1"/>
  <c r="U288" i="17" s="1"/>
  <c r="M362" i="17"/>
  <c r="Q362" i="17" s="1"/>
  <c r="U362" i="17" s="1"/>
  <c r="N420" i="17"/>
  <c r="N547" i="17"/>
  <c r="R547" i="17" s="1"/>
  <c r="S547" i="17" s="1"/>
  <c r="N538" i="17"/>
  <c r="Y538" i="17" s="1"/>
  <c r="M322" i="17"/>
  <c r="M112" i="17"/>
  <c r="Q112" i="17" s="1"/>
  <c r="U112" i="17" s="1"/>
  <c r="M573" i="17"/>
  <c r="N531" i="17"/>
  <c r="M508" i="17"/>
  <c r="M332" i="17"/>
  <c r="M274" i="17"/>
  <c r="M287" i="17"/>
  <c r="X287" i="17" s="1"/>
  <c r="M477" i="17"/>
  <c r="Q477" i="17" s="1"/>
  <c r="U477" i="17" s="1"/>
  <c r="N371" i="17"/>
  <c r="N281" i="17"/>
  <c r="N169" i="17"/>
  <c r="R169" i="17" s="1"/>
  <c r="S169" i="17" s="1"/>
  <c r="N182" i="17"/>
  <c r="R182" i="17" s="1"/>
  <c r="S182" i="17" s="1"/>
  <c r="N553" i="17"/>
  <c r="N461" i="17"/>
  <c r="M355" i="17"/>
  <c r="N115" i="17"/>
  <c r="Y115" i="17" s="1"/>
  <c r="M141" i="17"/>
  <c r="X141" i="17" s="1"/>
  <c r="N93" i="17"/>
  <c r="M69" i="17"/>
  <c r="Q69" i="17" s="1"/>
  <c r="U69" i="17" s="1"/>
  <c r="M88" i="17"/>
  <c r="X88" i="17" s="1"/>
  <c r="N129" i="17"/>
  <c r="Y129" i="17" s="1"/>
  <c r="M195" i="17"/>
  <c r="N325" i="17"/>
  <c r="Y325" i="17" s="1"/>
  <c r="N216" i="17"/>
  <c r="M19" i="17"/>
  <c r="X19" i="17" s="1"/>
  <c r="M25" i="17"/>
  <c r="X25" i="17" s="1"/>
  <c r="M347" i="17"/>
  <c r="X347" i="17" s="1"/>
  <c r="M175" i="17"/>
  <c r="Q175" i="17" s="1"/>
  <c r="U175" i="17" s="1"/>
  <c r="M379" i="17"/>
  <c r="Q379" i="17" s="1"/>
  <c r="U379" i="17" s="1"/>
  <c r="N251" i="17"/>
  <c r="M609" i="17"/>
  <c r="X609" i="17" s="1"/>
  <c r="N580" i="17"/>
  <c r="Y580" i="17" s="1"/>
  <c r="N587" i="17"/>
  <c r="Y587" i="17" s="1"/>
  <c r="N525" i="17"/>
  <c r="N526" i="17"/>
  <c r="N488" i="17"/>
  <c r="R488" i="17" s="1"/>
  <c r="S488" i="17" s="1"/>
  <c r="N448" i="17"/>
  <c r="M502" i="17"/>
  <c r="M462" i="17"/>
  <c r="M422" i="17"/>
  <c r="Q422" i="17" s="1"/>
  <c r="U422" i="17" s="1"/>
  <c r="M374" i="17"/>
  <c r="Q374" i="17" s="1"/>
  <c r="U374" i="17" s="1"/>
  <c r="M334" i="17"/>
  <c r="Q334" i="17" s="1"/>
  <c r="U334" i="17" s="1"/>
  <c r="N396" i="17"/>
  <c r="N348" i="17"/>
  <c r="M308" i="17"/>
  <c r="M268" i="17"/>
  <c r="M220" i="17"/>
  <c r="Q220" i="17" s="1"/>
  <c r="U220" i="17" s="1"/>
  <c r="M180" i="17"/>
  <c r="M608" i="17"/>
  <c r="N492" i="17"/>
  <c r="R492" i="17" s="1"/>
  <c r="S492" i="17" s="1"/>
  <c r="M434" i="17"/>
  <c r="Q434" i="17" s="1"/>
  <c r="U434" i="17" s="1"/>
  <c r="N376" i="17"/>
  <c r="R376" i="17" s="1"/>
  <c r="S376" i="17" s="1"/>
  <c r="M184" i="17"/>
  <c r="Q184" i="17" s="1"/>
  <c r="U184" i="17" s="1"/>
  <c r="M293" i="17"/>
  <c r="M213" i="17"/>
  <c r="M549" i="17"/>
  <c r="N562" i="17"/>
  <c r="Y562" i="17" s="1"/>
  <c r="M568" i="17"/>
  <c r="N462" i="17"/>
  <c r="M484" i="17"/>
  <c r="X484" i="17" s="1"/>
  <c r="M404" i="17"/>
  <c r="N410" i="17"/>
  <c r="N330" i="17"/>
  <c r="M250" i="17"/>
  <c r="Q250" i="17" s="1"/>
  <c r="U250" i="17" s="1"/>
  <c r="M154" i="17"/>
  <c r="Q154" i="17" s="1"/>
  <c r="U154" i="17" s="1"/>
  <c r="M279" i="17"/>
  <c r="Q279" i="17" s="1"/>
  <c r="U279" i="17" s="1"/>
  <c r="M567" i="17"/>
  <c r="M531" i="17"/>
  <c r="Q531" i="17" s="1"/>
  <c r="U531" i="17" s="1"/>
  <c r="M453" i="17"/>
  <c r="N475" i="17"/>
  <c r="N379" i="17"/>
  <c r="Y379" i="17" s="1"/>
  <c r="M401" i="17"/>
  <c r="Q401" i="17" s="1"/>
  <c r="U401" i="17" s="1"/>
  <c r="M325" i="17"/>
  <c r="Q325" i="17" s="1"/>
  <c r="U325" i="17" s="1"/>
  <c r="N277" i="17"/>
  <c r="Y277" i="17" s="1"/>
  <c r="N237" i="17"/>
  <c r="N197" i="17"/>
  <c r="N149" i="17"/>
  <c r="Y149" i="17" s="1"/>
  <c r="N314" i="17"/>
  <c r="N274" i="17"/>
  <c r="N226" i="17"/>
  <c r="N186" i="17"/>
  <c r="N146" i="17"/>
  <c r="M177" i="17"/>
  <c r="Q177" i="17" s="1"/>
  <c r="U177" i="17" s="1"/>
  <c r="M187" i="17"/>
  <c r="N608" i="17"/>
  <c r="Y608" i="17" s="1"/>
  <c r="N577" i="17"/>
  <c r="R577" i="17" s="1"/>
  <c r="S577" i="17" s="1"/>
  <c r="M594" i="17"/>
  <c r="Q594" i="17" s="1"/>
  <c r="U594" i="17" s="1"/>
  <c r="M529" i="17"/>
  <c r="M483" i="17"/>
  <c r="Q483" i="17" s="1"/>
  <c r="U483" i="17" s="1"/>
  <c r="M443" i="17"/>
  <c r="N505" i="17"/>
  <c r="N457" i="17"/>
  <c r="R457" i="17" s="1"/>
  <c r="S457" i="17" s="1"/>
  <c r="N417" i="17"/>
  <c r="R417" i="17" s="1"/>
  <c r="S417" i="17" s="1"/>
  <c r="N377" i="17"/>
  <c r="N329" i="17"/>
  <c r="R329" i="17" s="1"/>
  <c r="S329" i="17" s="1"/>
  <c r="M391" i="17"/>
  <c r="Q391" i="17" s="1"/>
  <c r="M351" i="17"/>
  <c r="Q351" i="17" s="1"/>
  <c r="U351" i="17" s="1"/>
  <c r="N303" i="17"/>
  <c r="N263" i="17"/>
  <c r="R263" i="17" s="1"/>
  <c r="S263" i="17" s="1"/>
  <c r="N223" i="17"/>
  <c r="N175" i="17"/>
  <c r="N135" i="17"/>
  <c r="N300" i="17"/>
  <c r="R300" i="17" s="1"/>
  <c r="S300" i="17" s="1"/>
  <c r="N252" i="17"/>
  <c r="R252" i="17" s="1"/>
  <c r="S252" i="17" s="1"/>
  <c r="N212" i="17"/>
  <c r="Y212" i="17" s="1"/>
  <c r="N172" i="17"/>
  <c r="R172" i="17" s="1"/>
  <c r="S172" i="17" s="1"/>
  <c r="N124" i="17"/>
  <c r="Y124" i="17" s="1"/>
  <c r="M149" i="17"/>
  <c r="M131" i="17"/>
  <c r="N31" i="17"/>
  <c r="N51" i="17"/>
  <c r="N71" i="17"/>
  <c r="N95" i="17"/>
  <c r="N32" i="17"/>
  <c r="N80" i="17"/>
  <c r="M47" i="17"/>
  <c r="Q47" i="17" s="1"/>
  <c r="U47" i="17" s="1"/>
  <c r="M103" i="17"/>
  <c r="M191" i="17"/>
  <c r="Q191" i="17" s="1"/>
  <c r="U191" i="17" s="1"/>
  <c r="M26" i="17"/>
  <c r="Q26" i="17" s="1"/>
  <c r="U26" i="17" s="1"/>
  <c r="M50" i="17"/>
  <c r="X50" i="17" s="1"/>
  <c r="M78" i="17"/>
  <c r="Q78" i="17" s="1"/>
  <c r="U78" i="17" s="1"/>
  <c r="N14" i="17"/>
  <c r="N70" i="17"/>
  <c r="M21" i="17"/>
  <c r="Q21" i="17" s="1"/>
  <c r="U21" i="17" s="1"/>
  <c r="M105" i="17"/>
  <c r="M373" i="17"/>
  <c r="Q373" i="17" s="1"/>
  <c r="U373" i="17" s="1"/>
  <c r="N327" i="17"/>
  <c r="Y327" i="17" s="1"/>
  <c r="N391" i="17"/>
  <c r="N439" i="17"/>
  <c r="R439" i="17" s="1"/>
  <c r="S439" i="17" s="1"/>
  <c r="N495" i="17"/>
  <c r="R495" i="17" s="1"/>
  <c r="S495" i="17" s="1"/>
  <c r="M457" i="17"/>
  <c r="Q457" i="17" s="1"/>
  <c r="U457" i="17" s="1"/>
  <c r="M513" i="17"/>
  <c r="Q513" i="17" s="1"/>
  <c r="U513" i="17" s="1"/>
  <c r="M542" i="17"/>
  <c r="X542" i="17" s="1"/>
  <c r="M239" i="17"/>
  <c r="Q239" i="17" s="1"/>
  <c r="U239" i="17" s="1"/>
  <c r="M134" i="17"/>
  <c r="Q134" i="17" s="1"/>
  <c r="U134" i="17" s="1"/>
  <c r="M214" i="17"/>
  <c r="Q214" i="17" s="1"/>
  <c r="U214" i="17" s="1"/>
  <c r="M302" i="17"/>
  <c r="Q302" i="17" s="1"/>
  <c r="U302" i="17" s="1"/>
  <c r="N390" i="17"/>
  <c r="Y390" i="17" s="1"/>
  <c r="M368" i="17"/>
  <c r="Q368" i="17" s="1"/>
  <c r="U368" i="17" s="1"/>
  <c r="M456" i="17"/>
  <c r="X456" i="17" s="1"/>
  <c r="N442" i="17"/>
  <c r="N520" i="17"/>
  <c r="N575" i="17"/>
  <c r="R575" i="17" s="1"/>
  <c r="S575" i="17" s="1"/>
  <c r="M603" i="17"/>
  <c r="Q603" i="17" s="1"/>
  <c r="U603" i="17" s="1"/>
  <c r="N609" i="17"/>
  <c r="R609" i="17" s="1"/>
  <c r="S609" i="17" s="1"/>
  <c r="M265" i="17"/>
  <c r="M148" i="17"/>
  <c r="M304" i="17"/>
  <c r="Q304" i="17" s="1"/>
  <c r="U304" i="17" s="1"/>
  <c r="M378" i="17"/>
  <c r="N452" i="17"/>
  <c r="N579" i="17"/>
  <c r="N508" i="17"/>
  <c r="Y508" i="17" s="1"/>
  <c r="N360" i="17"/>
  <c r="M301" i="17"/>
  <c r="M557" i="17"/>
  <c r="Q557" i="17" s="1"/>
  <c r="U557" i="17" s="1"/>
  <c r="M552" i="17"/>
  <c r="Q552" i="17" s="1"/>
  <c r="U552" i="17" s="1"/>
  <c r="M492" i="17"/>
  <c r="Q492" i="17" s="1"/>
  <c r="U492" i="17" s="1"/>
  <c r="M316" i="17"/>
  <c r="M242" i="17"/>
  <c r="M271" i="17"/>
  <c r="Q271" i="17" s="1"/>
  <c r="U271" i="17" s="1"/>
  <c r="M461" i="17"/>
  <c r="X461" i="17" s="1"/>
  <c r="N323" i="17"/>
  <c r="N273" i="17"/>
  <c r="Y273" i="17" s="1"/>
  <c r="N153" i="17"/>
  <c r="R153" i="17" s="1"/>
  <c r="S153" i="17" s="1"/>
  <c r="N150" i="17"/>
  <c r="R150" i="17" s="1"/>
  <c r="S150" i="17" s="1"/>
  <c r="M586" i="17"/>
  <c r="N445" i="17"/>
  <c r="N307" i="17"/>
  <c r="R307" i="17" s="1"/>
  <c r="S307" i="17" s="1"/>
  <c r="N304" i="17"/>
  <c r="M171" i="17"/>
  <c r="Q171" i="17" s="1"/>
  <c r="U171" i="17" s="1"/>
  <c r="N28" i="17"/>
  <c r="R28" i="17" s="1"/>
  <c r="S28" i="17" s="1"/>
  <c r="M101" i="17"/>
  <c r="Q101" i="17" s="1"/>
  <c r="U101" i="17" s="1"/>
  <c r="M104" i="17"/>
  <c r="N302" i="17"/>
  <c r="R302" i="17" s="1"/>
  <c r="S302" i="17" s="1"/>
  <c r="M587" i="17"/>
  <c r="X587" i="17" s="1"/>
  <c r="M395" i="17"/>
  <c r="N120" i="17"/>
  <c r="R120" i="17" s="1"/>
  <c r="S120" i="17" s="1"/>
  <c r="M51" i="17"/>
  <c r="M57" i="17"/>
  <c r="N155" i="17"/>
  <c r="R155" i="17" s="1"/>
  <c r="S155" i="17" s="1"/>
  <c r="M28" i="17"/>
  <c r="M315" i="17"/>
  <c r="N57" i="17"/>
  <c r="M628" i="17"/>
  <c r="Q628" i="17" s="1"/>
  <c r="F627" i="17"/>
  <c r="E627" i="17"/>
  <c r="N627" i="17"/>
  <c r="M627" i="17"/>
  <c r="J627" i="17"/>
  <c r="D627" i="17"/>
  <c r="L627" i="17"/>
  <c r="K627" i="17"/>
  <c r="I627" i="17"/>
  <c r="P627" i="17"/>
  <c r="O627" i="17"/>
  <c r="C627" i="17"/>
  <c r="G627" i="17"/>
  <c r="H624" i="17"/>
  <c r="G624" i="17"/>
  <c r="M625" i="17"/>
  <c r="H625" i="17"/>
  <c r="G625" i="17"/>
  <c r="Q81" i="17"/>
  <c r="U81" i="17" s="1"/>
  <c r="X81" i="17"/>
  <c r="M624" i="17"/>
  <c r="N624" i="17"/>
  <c r="J625" i="17"/>
  <c r="I625" i="17"/>
  <c r="C625" i="17"/>
  <c r="O625" i="17"/>
  <c r="D625" i="17"/>
  <c r="F625" i="17"/>
  <c r="P625" i="17"/>
  <c r="K625" i="17"/>
  <c r="E625" i="17"/>
  <c r="L625" i="17"/>
  <c r="I624" i="17"/>
  <c r="K624" i="17"/>
  <c r="C624" i="17"/>
  <c r="F624" i="17"/>
  <c r="P624" i="17"/>
  <c r="L624" i="17"/>
  <c r="J624" i="17"/>
  <c r="D624" i="17"/>
  <c r="E624" i="17"/>
  <c r="O624" i="17"/>
  <c r="N625" i="17"/>
  <c r="Q624" i="25" l="1"/>
  <c r="D634" i="25" s="1"/>
  <c r="Y625" i="25"/>
  <c r="Q625" i="25"/>
  <c r="D635" i="25" s="1"/>
  <c r="AA627" i="25"/>
  <c r="Q627" i="25"/>
  <c r="Y623" i="25"/>
  <c r="R623" i="25"/>
  <c r="S623" i="25" s="1"/>
  <c r="Q111" i="25"/>
  <c r="X111" i="25"/>
  <c r="Q33" i="25"/>
  <c r="X33" i="25"/>
  <c r="X110" i="25"/>
  <c r="Q110" i="25"/>
  <c r="Y85" i="25"/>
  <c r="R85" i="25"/>
  <c r="S85" i="25" s="1"/>
  <c r="R45" i="25"/>
  <c r="S45" i="25" s="1"/>
  <c r="Y45" i="25"/>
  <c r="X62" i="25"/>
  <c r="Q62" i="25"/>
  <c r="Q329" i="25"/>
  <c r="X329" i="25"/>
  <c r="R24" i="25"/>
  <c r="S24" i="25" s="1"/>
  <c r="Y24" i="25"/>
  <c r="X53" i="25"/>
  <c r="Q53" i="25"/>
  <c r="R99" i="25"/>
  <c r="S99" i="25" s="1"/>
  <c r="Y99" i="25"/>
  <c r="R135" i="25"/>
  <c r="S135" i="25" s="1"/>
  <c r="Y135" i="25"/>
  <c r="Y199" i="25"/>
  <c r="R199" i="25"/>
  <c r="S199" i="25" s="1"/>
  <c r="Q40" i="25"/>
  <c r="X40" i="25"/>
  <c r="Q72" i="25"/>
  <c r="X72" i="25"/>
  <c r="Q113" i="25"/>
  <c r="X113" i="25"/>
  <c r="Y161" i="25"/>
  <c r="R161" i="25"/>
  <c r="S161" i="25" s="1"/>
  <c r="R193" i="25"/>
  <c r="S193" i="25" s="1"/>
  <c r="Y193" i="25"/>
  <c r="R295" i="25"/>
  <c r="S295" i="25" s="1"/>
  <c r="Y295" i="25"/>
  <c r="Q91" i="25"/>
  <c r="X91" i="25"/>
  <c r="X163" i="25"/>
  <c r="Q163" i="25"/>
  <c r="Y32" i="25"/>
  <c r="R32" i="25"/>
  <c r="S32" i="25" s="1"/>
  <c r="Y56" i="25"/>
  <c r="R56" i="25"/>
  <c r="S56" i="25" s="1"/>
  <c r="R80" i="25"/>
  <c r="S80" i="25" s="1"/>
  <c r="Y80" i="25"/>
  <c r="Y112" i="25"/>
  <c r="R112" i="25"/>
  <c r="S112" i="25" s="1"/>
  <c r="Y136" i="25"/>
  <c r="R136" i="25"/>
  <c r="S136" i="25" s="1"/>
  <c r="Y168" i="25"/>
  <c r="R168" i="25"/>
  <c r="S168" i="25" s="1"/>
  <c r="R200" i="25"/>
  <c r="S200" i="25" s="1"/>
  <c r="Y200" i="25"/>
  <c r="Y224" i="25"/>
  <c r="R224" i="25"/>
  <c r="S224" i="25" s="1"/>
  <c r="Y264" i="25"/>
  <c r="R264" i="25"/>
  <c r="S264" i="25" s="1"/>
  <c r="X241" i="25"/>
  <c r="Q241" i="25"/>
  <c r="X126" i="25"/>
  <c r="Q126" i="25"/>
  <c r="Q150" i="25"/>
  <c r="X150" i="25"/>
  <c r="X182" i="25"/>
  <c r="Q182" i="25"/>
  <c r="X214" i="25"/>
  <c r="Q214" i="25"/>
  <c r="R233" i="25"/>
  <c r="S233" i="25" s="1"/>
  <c r="Y233" i="25"/>
  <c r="Q281" i="25"/>
  <c r="X281" i="25"/>
  <c r="X238" i="25"/>
  <c r="Q238" i="25"/>
  <c r="Q262" i="25"/>
  <c r="X262" i="25"/>
  <c r="R301" i="25"/>
  <c r="S301" i="25" s="1"/>
  <c r="Y301" i="25"/>
  <c r="R333" i="25"/>
  <c r="S333" i="25" s="1"/>
  <c r="Y333" i="25"/>
  <c r="Q364" i="25"/>
  <c r="X364" i="25"/>
  <c r="Q275" i="25"/>
  <c r="X275" i="25"/>
  <c r="Q306" i="25"/>
  <c r="X306" i="25"/>
  <c r="X338" i="25"/>
  <c r="Q338" i="25"/>
  <c r="X379" i="25"/>
  <c r="Q379" i="25"/>
  <c r="Q292" i="25"/>
  <c r="X292" i="25"/>
  <c r="Q333" i="25"/>
  <c r="X333" i="25"/>
  <c r="Q361" i="25"/>
  <c r="X361" i="25"/>
  <c r="X385" i="25"/>
  <c r="Q385" i="25"/>
  <c r="Q380" i="25"/>
  <c r="X380" i="25"/>
  <c r="R404" i="25"/>
  <c r="S404" i="25" s="1"/>
  <c r="Y404" i="25"/>
  <c r="Y304" i="25"/>
  <c r="R304" i="25"/>
  <c r="S304" i="25" s="1"/>
  <c r="Y320" i="25"/>
  <c r="R320" i="25"/>
  <c r="S320" i="25" s="1"/>
  <c r="R352" i="25"/>
  <c r="S352" i="25" s="1"/>
  <c r="Y352" i="25"/>
  <c r="R389" i="25"/>
  <c r="S389" i="25" s="1"/>
  <c r="Y389" i="25"/>
  <c r="Y386" i="25"/>
  <c r="R386" i="25"/>
  <c r="S386" i="25" s="1"/>
  <c r="Q412" i="25"/>
  <c r="X412" i="25"/>
  <c r="Q415" i="25"/>
  <c r="X415" i="25"/>
  <c r="R448" i="25"/>
  <c r="S448" i="25" s="1"/>
  <c r="Y448" i="25"/>
  <c r="X418" i="25"/>
  <c r="Q418" i="25"/>
  <c r="Y479" i="25"/>
  <c r="R479" i="25"/>
  <c r="S479" i="25" s="1"/>
  <c r="Y464" i="25"/>
  <c r="R464" i="25"/>
  <c r="S464" i="25" s="1"/>
  <c r="Q439" i="25"/>
  <c r="X439" i="25"/>
  <c r="Q463" i="25"/>
  <c r="X463" i="25"/>
  <c r="Y407" i="25"/>
  <c r="R407" i="25"/>
  <c r="S407" i="25" s="1"/>
  <c r="Y431" i="25"/>
  <c r="R431" i="25"/>
  <c r="S431" i="25" s="1"/>
  <c r="R455" i="25"/>
  <c r="S455" i="25" s="1"/>
  <c r="Y455" i="25"/>
  <c r="X485" i="25"/>
  <c r="Q485" i="25"/>
  <c r="R515" i="25"/>
  <c r="S515" i="25" s="1"/>
  <c r="Y515" i="25"/>
  <c r="R493" i="25"/>
  <c r="S493" i="25" s="1"/>
  <c r="Y493" i="25"/>
  <c r="Q476" i="25"/>
  <c r="X476" i="25"/>
  <c r="Q500" i="25"/>
  <c r="X500" i="25"/>
  <c r="Q545" i="25"/>
  <c r="X545" i="25"/>
  <c r="Q535" i="25"/>
  <c r="X535" i="25"/>
  <c r="Y546" i="25"/>
  <c r="R546" i="25"/>
  <c r="S546" i="25" s="1"/>
  <c r="Y610" i="25"/>
  <c r="R610" i="25"/>
  <c r="S610" i="25" s="1"/>
  <c r="D633" i="25"/>
  <c r="X623" i="25"/>
  <c r="Q20" i="25"/>
  <c r="X20" i="25"/>
  <c r="R109" i="25"/>
  <c r="S109" i="25" s="1"/>
  <c r="Y109" i="25"/>
  <c r="X217" i="25"/>
  <c r="Q217" i="25"/>
  <c r="X18" i="25"/>
  <c r="Q18" i="25"/>
  <c r="X30" i="25"/>
  <c r="Q30" i="25"/>
  <c r="X70" i="25"/>
  <c r="Q70" i="25"/>
  <c r="X103" i="25"/>
  <c r="Q103" i="25"/>
  <c r="Q173" i="25"/>
  <c r="X173" i="25"/>
  <c r="Q78" i="25"/>
  <c r="X78" i="25"/>
  <c r="X22" i="25"/>
  <c r="Q22" i="25"/>
  <c r="Y37" i="25"/>
  <c r="R37" i="25"/>
  <c r="S37" i="25" s="1"/>
  <c r="Q55" i="25"/>
  <c r="X55" i="25"/>
  <c r="Y117" i="25"/>
  <c r="R117" i="25"/>
  <c r="S117" i="25" s="1"/>
  <c r="Q149" i="25"/>
  <c r="X149" i="25"/>
  <c r="X213" i="25"/>
  <c r="Q213" i="25"/>
  <c r="X31" i="25"/>
  <c r="Q31" i="25"/>
  <c r="X79" i="25"/>
  <c r="Q79" i="25"/>
  <c r="X201" i="25"/>
  <c r="Q201" i="25"/>
  <c r="Y23" i="25"/>
  <c r="R23" i="25"/>
  <c r="S23" i="25" s="1"/>
  <c r="R61" i="25"/>
  <c r="S61" i="25" s="1"/>
  <c r="Y61" i="25"/>
  <c r="X94" i="25"/>
  <c r="Q94" i="25"/>
  <c r="Q161" i="25"/>
  <c r="X161" i="25"/>
  <c r="R248" i="25"/>
  <c r="S248" i="25" s="1"/>
  <c r="Y248" i="25"/>
  <c r="Y33" i="25"/>
  <c r="R33" i="25"/>
  <c r="S33" i="25" s="1"/>
  <c r="X43" i="25"/>
  <c r="Q43" i="25"/>
  <c r="R14" i="25"/>
  <c r="S14" i="25" s="1"/>
  <c r="Y14" i="25"/>
  <c r="Y22" i="25"/>
  <c r="R22" i="25"/>
  <c r="S22" i="25" s="1"/>
  <c r="X29" i="25"/>
  <c r="Q29" i="25"/>
  <c r="Y43" i="25"/>
  <c r="R43" i="25"/>
  <c r="S43" i="25" s="1"/>
  <c r="Q52" i="25"/>
  <c r="X52" i="25"/>
  <c r="X61" i="25"/>
  <c r="Q61" i="25"/>
  <c r="Y75" i="25"/>
  <c r="R75" i="25"/>
  <c r="S75" i="25" s="1"/>
  <c r="X84" i="25"/>
  <c r="Q84" i="25"/>
  <c r="Q93" i="25"/>
  <c r="X93" i="25"/>
  <c r="Y107" i="25"/>
  <c r="R107" i="25"/>
  <c r="S107" i="25" s="1"/>
  <c r="X116" i="25"/>
  <c r="Q116" i="25"/>
  <c r="R131" i="25"/>
  <c r="S131" i="25" s="1"/>
  <c r="Y131" i="25"/>
  <c r="R147" i="25"/>
  <c r="S147" i="25" s="1"/>
  <c r="Y147" i="25"/>
  <c r="R163" i="25"/>
  <c r="S163" i="25" s="1"/>
  <c r="Y163" i="25"/>
  <c r="R179" i="25"/>
  <c r="S179" i="25" s="1"/>
  <c r="Y179" i="25"/>
  <c r="R195" i="25"/>
  <c r="S195" i="25" s="1"/>
  <c r="Y195" i="25"/>
  <c r="R211" i="25"/>
  <c r="S211" i="25" s="1"/>
  <c r="Y211" i="25"/>
  <c r="R240" i="25"/>
  <c r="S240" i="25" s="1"/>
  <c r="Y240" i="25"/>
  <c r="X328" i="25"/>
  <c r="Q328" i="25"/>
  <c r="X48" i="25"/>
  <c r="Q48" i="25"/>
  <c r="X57" i="25"/>
  <c r="Q57" i="25"/>
  <c r="Y71" i="25"/>
  <c r="R71" i="25"/>
  <c r="S71" i="25" s="1"/>
  <c r="X80" i="25"/>
  <c r="Q80" i="25"/>
  <c r="X89" i="25"/>
  <c r="Q89" i="25"/>
  <c r="Y103" i="25"/>
  <c r="R103" i="25"/>
  <c r="S103" i="25" s="1"/>
  <c r="X112" i="25"/>
  <c r="Q112" i="25"/>
  <c r="R125" i="25"/>
  <c r="S125" i="25" s="1"/>
  <c r="Y125" i="25"/>
  <c r="R141" i="25"/>
  <c r="S141" i="25" s="1"/>
  <c r="Y141" i="25"/>
  <c r="R157" i="25"/>
  <c r="S157" i="25" s="1"/>
  <c r="Y157" i="25"/>
  <c r="R173" i="25"/>
  <c r="S173" i="25" s="1"/>
  <c r="Y173" i="25"/>
  <c r="R189" i="25"/>
  <c r="S189" i="25" s="1"/>
  <c r="Y189" i="25"/>
  <c r="R205" i="25"/>
  <c r="S205" i="25" s="1"/>
  <c r="Y205" i="25"/>
  <c r="X223" i="25"/>
  <c r="Q223" i="25"/>
  <c r="Y261" i="25"/>
  <c r="R261" i="25"/>
  <c r="S261" i="25" s="1"/>
  <c r="X58" i="25"/>
  <c r="Q58" i="25"/>
  <c r="X67" i="25"/>
  <c r="Q67" i="25"/>
  <c r="Y81" i="25"/>
  <c r="R81" i="25"/>
  <c r="S81" i="25" s="1"/>
  <c r="X90" i="25"/>
  <c r="Q90" i="25"/>
  <c r="Q99" i="25"/>
  <c r="X99" i="25"/>
  <c r="R113" i="25"/>
  <c r="S113" i="25" s="1"/>
  <c r="Y113" i="25"/>
  <c r="X127" i="25"/>
  <c r="Q127" i="25"/>
  <c r="X143" i="25"/>
  <c r="Q143" i="25"/>
  <c r="X159" i="25"/>
  <c r="Q159" i="25"/>
  <c r="X175" i="25"/>
  <c r="Q175" i="25"/>
  <c r="X191" i="25"/>
  <c r="Q191" i="25"/>
  <c r="X207" i="25"/>
  <c r="Q207" i="25"/>
  <c r="X221" i="25"/>
  <c r="Q221" i="25"/>
  <c r="X263" i="25"/>
  <c r="Q263" i="25"/>
  <c r="Y30" i="25"/>
  <c r="R30" i="25"/>
  <c r="S30" i="25" s="1"/>
  <c r="Y38" i="25"/>
  <c r="R38" i="25"/>
  <c r="S38" i="25" s="1"/>
  <c r="Y46" i="25"/>
  <c r="R46" i="25"/>
  <c r="S46" i="25" s="1"/>
  <c r="Y54" i="25"/>
  <c r="R54" i="25"/>
  <c r="S54" i="25" s="1"/>
  <c r="Y62" i="25"/>
  <c r="R62" i="25"/>
  <c r="S62" i="25" s="1"/>
  <c r="R70" i="25"/>
  <c r="S70" i="25" s="1"/>
  <c r="Y70" i="25"/>
  <c r="R78" i="25"/>
  <c r="S78" i="25" s="1"/>
  <c r="Y78" i="25"/>
  <c r="R86" i="25"/>
  <c r="S86" i="25" s="1"/>
  <c r="Y86" i="25"/>
  <c r="Y94" i="25"/>
  <c r="R94" i="25"/>
  <c r="S94" i="25" s="1"/>
  <c r="Y102" i="25"/>
  <c r="R102" i="25"/>
  <c r="S102" i="25" s="1"/>
  <c r="Y110" i="25"/>
  <c r="R110" i="25"/>
  <c r="S110" i="25" s="1"/>
  <c r="R118" i="25"/>
  <c r="S118" i="25" s="1"/>
  <c r="Y118" i="25"/>
  <c r="Y126" i="25"/>
  <c r="R126" i="25"/>
  <c r="S126" i="25" s="1"/>
  <c r="R134" i="25"/>
  <c r="S134" i="25" s="1"/>
  <c r="Y134" i="25"/>
  <c r="Y142" i="25"/>
  <c r="R142" i="25"/>
  <c r="S142" i="25" s="1"/>
  <c r="Y150" i="25"/>
  <c r="R150" i="25"/>
  <c r="S150" i="25" s="1"/>
  <c r="R158" i="25"/>
  <c r="S158" i="25" s="1"/>
  <c r="Y158" i="25"/>
  <c r="R166" i="25"/>
  <c r="S166" i="25" s="1"/>
  <c r="Y166" i="25"/>
  <c r="Y174" i="25"/>
  <c r="R174" i="25"/>
  <c r="S174" i="25" s="1"/>
  <c r="Y182" i="25"/>
  <c r="R182" i="25"/>
  <c r="S182" i="25" s="1"/>
  <c r="R190" i="25"/>
  <c r="S190" i="25" s="1"/>
  <c r="Y190" i="25"/>
  <c r="R198" i="25"/>
  <c r="S198" i="25" s="1"/>
  <c r="Y198" i="25"/>
  <c r="Y206" i="25"/>
  <c r="R206" i="25"/>
  <c r="S206" i="25" s="1"/>
  <c r="Y214" i="25"/>
  <c r="R214" i="25"/>
  <c r="S214" i="25" s="1"/>
  <c r="Y222" i="25"/>
  <c r="R222" i="25"/>
  <c r="S222" i="25" s="1"/>
  <c r="R230" i="25"/>
  <c r="S230" i="25" s="1"/>
  <c r="Y230" i="25"/>
  <c r="Y243" i="25"/>
  <c r="R243" i="25"/>
  <c r="S243" i="25" s="1"/>
  <c r="Q253" i="25"/>
  <c r="X253" i="25"/>
  <c r="R262" i="25"/>
  <c r="S262" i="25" s="1"/>
  <c r="Y262" i="25"/>
  <c r="Q288" i="25"/>
  <c r="X288" i="25"/>
  <c r="X321" i="25"/>
  <c r="Q321" i="25"/>
  <c r="R226" i="25"/>
  <c r="S226" i="25" s="1"/>
  <c r="Y226" i="25"/>
  <c r="Y239" i="25"/>
  <c r="R239" i="25"/>
  <c r="S239" i="25" s="1"/>
  <c r="X249" i="25"/>
  <c r="Q249" i="25"/>
  <c r="Y258" i="25"/>
  <c r="R258" i="25"/>
  <c r="S258" i="25" s="1"/>
  <c r="Y303" i="25"/>
  <c r="R303" i="25"/>
  <c r="S303" i="25" s="1"/>
  <c r="Q336" i="25"/>
  <c r="X336" i="25"/>
  <c r="X124" i="25"/>
  <c r="Q124" i="25"/>
  <c r="X132" i="25"/>
  <c r="Q132" i="25"/>
  <c r="Q140" i="25"/>
  <c r="X140" i="25"/>
  <c r="Q148" i="25"/>
  <c r="X148" i="25"/>
  <c r="X156" i="25"/>
  <c r="Q156" i="25"/>
  <c r="X164" i="25"/>
  <c r="Q164" i="25"/>
  <c r="X172" i="25"/>
  <c r="Q172" i="25"/>
  <c r="Q180" i="25"/>
  <c r="X180" i="25"/>
  <c r="X188" i="25"/>
  <c r="Q188" i="25"/>
  <c r="X196" i="25"/>
  <c r="Q196" i="25"/>
  <c r="Q204" i="25"/>
  <c r="X204" i="25"/>
  <c r="Q212" i="25"/>
  <c r="X212" i="25"/>
  <c r="X220" i="25"/>
  <c r="Q220" i="25"/>
  <c r="R228" i="25"/>
  <c r="S228" i="25" s="1"/>
  <c r="Y228" i="25"/>
  <c r="R241" i="25"/>
  <c r="S241" i="25" s="1"/>
  <c r="Y241" i="25"/>
  <c r="X251" i="25"/>
  <c r="Q251" i="25"/>
  <c r="Y260" i="25"/>
  <c r="R260" i="25"/>
  <c r="S260" i="25" s="1"/>
  <c r="Q280" i="25"/>
  <c r="X280" i="25"/>
  <c r="Q313" i="25"/>
  <c r="X313" i="25"/>
  <c r="Q228" i="25"/>
  <c r="X228" i="25"/>
  <c r="X236" i="25"/>
  <c r="Q236" i="25"/>
  <c r="Q244" i="25"/>
  <c r="X244" i="25"/>
  <c r="Q252" i="25"/>
  <c r="X252" i="25"/>
  <c r="Q260" i="25"/>
  <c r="X260" i="25"/>
  <c r="Q268" i="25"/>
  <c r="X268" i="25"/>
  <c r="X276" i="25"/>
  <c r="Q276" i="25"/>
  <c r="X286" i="25"/>
  <c r="Q286" i="25"/>
  <c r="Q295" i="25"/>
  <c r="X295" i="25"/>
  <c r="Y309" i="25"/>
  <c r="R309" i="25"/>
  <c r="S309" i="25" s="1"/>
  <c r="X318" i="25"/>
  <c r="Q318" i="25"/>
  <c r="X327" i="25"/>
  <c r="Q327" i="25"/>
  <c r="Y341" i="25"/>
  <c r="R341" i="25"/>
  <c r="S341" i="25" s="1"/>
  <c r="Y347" i="25"/>
  <c r="R347" i="25"/>
  <c r="S347" i="25" s="1"/>
  <c r="R355" i="25"/>
  <c r="S355" i="25" s="1"/>
  <c r="Y355" i="25"/>
  <c r="Y363" i="25"/>
  <c r="R363" i="25"/>
  <c r="S363" i="25" s="1"/>
  <c r="Q394" i="25"/>
  <c r="X394" i="25"/>
  <c r="X265" i="25"/>
  <c r="Q265" i="25"/>
  <c r="X273" i="25"/>
  <c r="Q273" i="25"/>
  <c r="X282" i="25"/>
  <c r="Q282" i="25"/>
  <c r="X291" i="25"/>
  <c r="Q291" i="25"/>
  <c r="Y305" i="25"/>
  <c r="R305" i="25"/>
  <c r="S305" i="25" s="1"/>
  <c r="Q314" i="25"/>
  <c r="X314" i="25"/>
  <c r="X323" i="25"/>
  <c r="Q323" i="25"/>
  <c r="R337" i="25"/>
  <c r="S337" i="25" s="1"/>
  <c r="Y337" i="25"/>
  <c r="X346" i="25"/>
  <c r="Q346" i="25"/>
  <c r="Q354" i="25"/>
  <c r="X354" i="25"/>
  <c r="X362" i="25"/>
  <c r="Q362" i="25"/>
  <c r="X378" i="25"/>
  <c r="Q378" i="25"/>
  <c r="R269" i="25"/>
  <c r="S269" i="25" s="1"/>
  <c r="Y269" i="25"/>
  <c r="Y277" i="25"/>
  <c r="R277" i="25"/>
  <c r="S277" i="25" s="1"/>
  <c r="R291" i="25"/>
  <c r="S291" i="25" s="1"/>
  <c r="Y291" i="25"/>
  <c r="X300" i="25"/>
  <c r="Q300" i="25"/>
  <c r="X309" i="25"/>
  <c r="Q309" i="25"/>
  <c r="R323" i="25"/>
  <c r="S323" i="25" s="1"/>
  <c r="Y323" i="25"/>
  <c r="X332" i="25"/>
  <c r="Q332" i="25"/>
  <c r="Q341" i="25"/>
  <c r="X341" i="25"/>
  <c r="X387" i="25"/>
  <c r="Q387" i="25"/>
  <c r="Q351" i="25"/>
  <c r="X351" i="25"/>
  <c r="X359" i="25"/>
  <c r="Q359" i="25"/>
  <c r="Q367" i="25"/>
  <c r="X367" i="25"/>
  <c r="Y375" i="25"/>
  <c r="R375" i="25"/>
  <c r="S375" i="25" s="1"/>
  <c r="Q384" i="25"/>
  <c r="X384" i="25"/>
  <c r="X393" i="25"/>
  <c r="Q393" i="25"/>
  <c r="X421" i="25"/>
  <c r="Q421" i="25"/>
  <c r="X368" i="25"/>
  <c r="Q368" i="25"/>
  <c r="Y379" i="25"/>
  <c r="R379" i="25"/>
  <c r="S379" i="25" s="1"/>
  <c r="Q388" i="25"/>
  <c r="X388" i="25"/>
  <c r="Q397" i="25"/>
  <c r="X397" i="25"/>
  <c r="R434" i="25"/>
  <c r="S434" i="25" s="1"/>
  <c r="Y434" i="25"/>
  <c r="Y286" i="25"/>
  <c r="R286" i="25"/>
  <c r="S286" i="25" s="1"/>
  <c r="R294" i="25"/>
  <c r="S294" i="25" s="1"/>
  <c r="Y294" i="25"/>
  <c r="Y302" i="25"/>
  <c r="R302" i="25"/>
  <c r="S302" i="25" s="1"/>
  <c r="Y310" i="25"/>
  <c r="R310" i="25"/>
  <c r="S310" i="25" s="1"/>
  <c r="Y318" i="25"/>
  <c r="R318" i="25"/>
  <c r="S318" i="25" s="1"/>
  <c r="Y326" i="25"/>
  <c r="R326" i="25"/>
  <c r="S326" i="25" s="1"/>
  <c r="R334" i="25"/>
  <c r="S334" i="25" s="1"/>
  <c r="Y334" i="25"/>
  <c r="R342" i="25"/>
  <c r="S342" i="25" s="1"/>
  <c r="Y342" i="25"/>
  <c r="R350" i="25"/>
  <c r="S350" i="25" s="1"/>
  <c r="Y350" i="25"/>
  <c r="R358" i="25"/>
  <c r="S358" i="25" s="1"/>
  <c r="Y358" i="25"/>
  <c r="R366" i="25"/>
  <c r="S366" i="25" s="1"/>
  <c r="Y366" i="25"/>
  <c r="Y374" i="25"/>
  <c r="R374" i="25"/>
  <c r="S374" i="25" s="1"/>
  <c r="X383" i="25"/>
  <c r="Q383" i="25"/>
  <c r="Y397" i="25"/>
  <c r="R397" i="25"/>
  <c r="S397" i="25" s="1"/>
  <c r="Y412" i="25"/>
  <c r="R412" i="25"/>
  <c r="S412" i="25" s="1"/>
  <c r="R376" i="25"/>
  <c r="S376" i="25" s="1"/>
  <c r="Y376" i="25"/>
  <c r="R384" i="25"/>
  <c r="S384" i="25" s="1"/>
  <c r="Y384" i="25"/>
  <c r="R392" i="25"/>
  <c r="S392" i="25" s="1"/>
  <c r="Y392" i="25"/>
  <c r="R402" i="25"/>
  <c r="S402" i="25" s="1"/>
  <c r="Y402" i="25"/>
  <c r="X411" i="25"/>
  <c r="Q411" i="25"/>
  <c r="X420" i="25"/>
  <c r="Q420" i="25"/>
  <c r="Y444" i="25"/>
  <c r="R444" i="25"/>
  <c r="S444" i="25" s="1"/>
  <c r="Y482" i="25"/>
  <c r="R482" i="25"/>
  <c r="S482" i="25" s="1"/>
  <c r="R414" i="25"/>
  <c r="S414" i="25" s="1"/>
  <c r="Y414" i="25"/>
  <c r="X423" i="25"/>
  <c r="Q423" i="25"/>
  <c r="Y440" i="25"/>
  <c r="R440" i="25"/>
  <c r="S440" i="25" s="1"/>
  <c r="Y466" i="25"/>
  <c r="R466" i="25"/>
  <c r="S466" i="25" s="1"/>
  <c r="Q516" i="25"/>
  <c r="X516" i="25"/>
  <c r="Y408" i="25"/>
  <c r="R408" i="25"/>
  <c r="S408" i="25" s="1"/>
  <c r="Q417" i="25"/>
  <c r="X417" i="25"/>
  <c r="X426" i="25"/>
  <c r="Q426" i="25"/>
  <c r="R446" i="25"/>
  <c r="S446" i="25" s="1"/>
  <c r="Y446" i="25"/>
  <c r="Y474" i="25"/>
  <c r="R474" i="25"/>
  <c r="S474" i="25" s="1"/>
  <c r="X430" i="25"/>
  <c r="Q430" i="25"/>
  <c r="X438" i="25"/>
  <c r="Q438" i="25"/>
  <c r="Q446" i="25"/>
  <c r="X446" i="25"/>
  <c r="Q454" i="25"/>
  <c r="X454" i="25"/>
  <c r="X462" i="25"/>
  <c r="Q462" i="25"/>
  <c r="Y472" i="25"/>
  <c r="R472" i="25"/>
  <c r="S472" i="25" s="1"/>
  <c r="X491" i="25"/>
  <c r="Q491" i="25"/>
  <c r="X429" i="25"/>
  <c r="Q429" i="25"/>
  <c r="Q437" i="25"/>
  <c r="X437" i="25"/>
  <c r="X445" i="25"/>
  <c r="Q445" i="25"/>
  <c r="Q453" i="25"/>
  <c r="X453" i="25"/>
  <c r="X461" i="25"/>
  <c r="Q461" i="25"/>
  <c r="Y468" i="25"/>
  <c r="R468" i="25"/>
  <c r="S468" i="25" s="1"/>
  <c r="Y481" i="25"/>
  <c r="R481" i="25"/>
  <c r="S481" i="25" s="1"/>
  <c r="X511" i="25"/>
  <c r="Q511" i="25"/>
  <c r="R405" i="25"/>
  <c r="S405" i="25" s="1"/>
  <c r="Y405" i="25"/>
  <c r="Y413" i="25"/>
  <c r="R413" i="25"/>
  <c r="S413" i="25" s="1"/>
  <c r="Y421" i="25"/>
  <c r="R421" i="25"/>
  <c r="S421" i="25" s="1"/>
  <c r="Y429" i="25"/>
  <c r="R429" i="25"/>
  <c r="S429" i="25" s="1"/>
  <c r="Y437" i="25"/>
  <c r="R437" i="25"/>
  <c r="S437" i="25" s="1"/>
  <c r="Y445" i="25"/>
  <c r="R445" i="25"/>
  <c r="S445" i="25" s="1"/>
  <c r="R453" i="25"/>
  <c r="S453" i="25" s="1"/>
  <c r="Y453" i="25"/>
  <c r="Y461" i="25"/>
  <c r="R461" i="25"/>
  <c r="S461" i="25" s="1"/>
  <c r="R470" i="25"/>
  <c r="S470" i="25" s="1"/>
  <c r="Y470" i="25"/>
  <c r="Y484" i="25"/>
  <c r="R484" i="25"/>
  <c r="S484" i="25" s="1"/>
  <c r="X509" i="25"/>
  <c r="Q509" i="25"/>
  <c r="Y490" i="25"/>
  <c r="R490" i="25"/>
  <c r="S490" i="25" s="1"/>
  <c r="Y498" i="25"/>
  <c r="R498" i="25"/>
  <c r="S498" i="25" s="1"/>
  <c r="R506" i="25"/>
  <c r="S506" i="25" s="1"/>
  <c r="Y506" i="25"/>
  <c r="Q514" i="25"/>
  <c r="X514" i="25"/>
  <c r="Y523" i="25"/>
  <c r="R523" i="25"/>
  <c r="S523" i="25" s="1"/>
  <c r="R483" i="25"/>
  <c r="S483" i="25" s="1"/>
  <c r="Y483" i="25"/>
  <c r="Y491" i="25"/>
  <c r="R491" i="25"/>
  <c r="S491" i="25" s="1"/>
  <c r="Y499" i="25"/>
  <c r="R499" i="25"/>
  <c r="S499" i="25" s="1"/>
  <c r="R507" i="25"/>
  <c r="S507" i="25" s="1"/>
  <c r="Y507" i="25"/>
  <c r="X518" i="25"/>
  <c r="Q518" i="25"/>
  <c r="Q466" i="25"/>
  <c r="X466" i="25"/>
  <c r="X474" i="25"/>
  <c r="Q474" i="25"/>
  <c r="Q482" i="25"/>
  <c r="X482" i="25"/>
  <c r="Q490" i="25"/>
  <c r="X490" i="25"/>
  <c r="Q498" i="25"/>
  <c r="X498" i="25"/>
  <c r="X506" i="25"/>
  <c r="Q506" i="25"/>
  <c r="R513" i="25"/>
  <c r="S513" i="25" s="1"/>
  <c r="Y513" i="25"/>
  <c r="Y527" i="25"/>
  <c r="R527" i="25"/>
  <c r="S527" i="25" s="1"/>
  <c r="X515" i="25"/>
  <c r="Q515" i="25"/>
  <c r="X523" i="25"/>
  <c r="Q523" i="25"/>
  <c r="Y533" i="25"/>
  <c r="R533" i="25"/>
  <c r="S533" i="25" s="1"/>
  <c r="Q547" i="25"/>
  <c r="X547" i="25"/>
  <c r="R529" i="25"/>
  <c r="S529" i="25" s="1"/>
  <c r="Y529" i="25"/>
  <c r="X543" i="25"/>
  <c r="Q543" i="25"/>
  <c r="R564" i="25"/>
  <c r="S564" i="25" s="1"/>
  <c r="Y564" i="25"/>
  <c r="R526" i="25"/>
  <c r="S526" i="25" s="1"/>
  <c r="Y526" i="25"/>
  <c r="Q541" i="25"/>
  <c r="X541" i="25"/>
  <c r="R544" i="25"/>
  <c r="S544" i="25" s="1"/>
  <c r="Y544" i="25"/>
  <c r="Y552" i="25"/>
  <c r="R552" i="25"/>
  <c r="S552" i="25" s="1"/>
  <c r="R562" i="25"/>
  <c r="S562" i="25" s="1"/>
  <c r="Y562" i="25"/>
  <c r="X574" i="25"/>
  <c r="Q574" i="25"/>
  <c r="R541" i="25"/>
  <c r="S541" i="25" s="1"/>
  <c r="Y541" i="25"/>
  <c r="Y549" i="25"/>
  <c r="R549" i="25"/>
  <c r="S549" i="25" s="1"/>
  <c r="R558" i="25"/>
  <c r="S558" i="25" s="1"/>
  <c r="Y558" i="25"/>
  <c r="Q526" i="25"/>
  <c r="X526" i="25"/>
  <c r="X534" i="25"/>
  <c r="Q534" i="25"/>
  <c r="X542" i="25"/>
  <c r="Q542" i="25"/>
  <c r="Q550" i="25"/>
  <c r="X550" i="25"/>
  <c r="Y560" i="25"/>
  <c r="R560" i="25"/>
  <c r="S560" i="25" s="1"/>
  <c r="Q576" i="25"/>
  <c r="X576" i="25"/>
  <c r="R571" i="25"/>
  <c r="S571" i="25" s="1"/>
  <c r="Y571" i="25"/>
  <c r="Y579" i="25"/>
  <c r="R579" i="25"/>
  <c r="S579" i="25" s="1"/>
  <c r="Y568" i="25"/>
  <c r="R568" i="25"/>
  <c r="S568" i="25" s="1"/>
  <c r="R576" i="25"/>
  <c r="S576" i="25" s="1"/>
  <c r="Y576" i="25"/>
  <c r="R585" i="25"/>
  <c r="S585" i="25" s="1"/>
  <c r="Y585" i="25"/>
  <c r="X561" i="25"/>
  <c r="Q561" i="25"/>
  <c r="Q569" i="25"/>
  <c r="X569" i="25"/>
  <c r="Y577" i="25"/>
  <c r="R577" i="25"/>
  <c r="S577" i="25" s="1"/>
  <c r="Q577" i="25"/>
  <c r="X577" i="25"/>
  <c r="X585" i="25"/>
  <c r="Q585" i="25"/>
  <c r="Y596" i="25"/>
  <c r="R596" i="25"/>
  <c r="S596" i="25" s="1"/>
  <c r="Q588" i="25"/>
  <c r="X588" i="25"/>
  <c r="Q594" i="25"/>
  <c r="X594" i="25"/>
  <c r="R588" i="25"/>
  <c r="S588" i="25" s="1"/>
  <c r="Y588" i="25"/>
  <c r="Q596" i="25"/>
  <c r="X596" i="25"/>
  <c r="R595" i="25"/>
  <c r="S595" i="25" s="1"/>
  <c r="Y595" i="25"/>
  <c r="Y603" i="25"/>
  <c r="R603" i="25"/>
  <c r="S603" i="25" s="1"/>
  <c r="Y598" i="25"/>
  <c r="R598" i="25"/>
  <c r="S598" i="25" s="1"/>
  <c r="R606" i="25"/>
  <c r="S606" i="25" s="1"/>
  <c r="Y606" i="25"/>
  <c r="X601" i="25"/>
  <c r="Q601" i="25"/>
  <c r="Q610" i="25"/>
  <c r="X610" i="25"/>
  <c r="Q613" i="25"/>
  <c r="X613" i="25"/>
  <c r="R609" i="25"/>
  <c r="S609" i="25" s="1"/>
  <c r="Y609" i="25"/>
  <c r="X21" i="25"/>
  <c r="Q21" i="25"/>
  <c r="X19" i="25"/>
  <c r="Q19" i="25"/>
  <c r="X189" i="25"/>
  <c r="Q189" i="25"/>
  <c r="X118" i="25"/>
  <c r="Q118" i="25"/>
  <c r="X121" i="25"/>
  <c r="Q121" i="25"/>
  <c r="X95" i="25"/>
  <c r="Q95" i="25"/>
  <c r="Y49" i="25"/>
  <c r="R49" i="25"/>
  <c r="S49" i="25" s="1"/>
  <c r="R35" i="25"/>
  <c r="S35" i="25" s="1"/>
  <c r="Y35" i="25"/>
  <c r="R67" i="25"/>
  <c r="S67" i="25" s="1"/>
  <c r="Y67" i="25"/>
  <c r="X108" i="25"/>
  <c r="Q108" i="25"/>
  <c r="Y167" i="25"/>
  <c r="R167" i="25"/>
  <c r="S167" i="25" s="1"/>
  <c r="Y215" i="25"/>
  <c r="R215" i="25"/>
  <c r="S215" i="25" s="1"/>
  <c r="Q49" i="25"/>
  <c r="X49" i="25"/>
  <c r="X81" i="25"/>
  <c r="Q81" i="25"/>
  <c r="X104" i="25"/>
  <c r="Q104" i="25"/>
  <c r="Y129" i="25"/>
  <c r="R129" i="25"/>
  <c r="S129" i="25" s="1"/>
  <c r="Y209" i="25"/>
  <c r="R209" i="25"/>
  <c r="S209" i="25" s="1"/>
  <c r="X59" i="25"/>
  <c r="Q59" i="25"/>
  <c r="Y105" i="25"/>
  <c r="R105" i="25"/>
  <c r="S105" i="25" s="1"/>
  <c r="X147" i="25"/>
  <c r="Q147" i="25"/>
  <c r="X195" i="25"/>
  <c r="Q195" i="25"/>
  <c r="X231" i="25"/>
  <c r="Q231" i="25"/>
  <c r="Y48" i="25"/>
  <c r="R48" i="25"/>
  <c r="S48" i="25" s="1"/>
  <c r="R72" i="25"/>
  <c r="S72" i="25" s="1"/>
  <c r="Y72" i="25"/>
  <c r="R104" i="25"/>
  <c r="S104" i="25" s="1"/>
  <c r="Y104" i="25"/>
  <c r="Y128" i="25"/>
  <c r="R128" i="25"/>
  <c r="S128" i="25" s="1"/>
  <c r="Y160" i="25"/>
  <c r="R160" i="25"/>
  <c r="S160" i="25" s="1"/>
  <c r="Y184" i="25"/>
  <c r="R184" i="25"/>
  <c r="S184" i="25" s="1"/>
  <c r="Y208" i="25"/>
  <c r="R208" i="25"/>
  <c r="S208" i="25" s="1"/>
  <c r="X245" i="25"/>
  <c r="Q245" i="25"/>
  <c r="X289" i="25"/>
  <c r="Q289" i="25"/>
  <c r="Y250" i="25"/>
  <c r="R250" i="25"/>
  <c r="S250" i="25" s="1"/>
  <c r="Q337" i="25"/>
  <c r="X337" i="25"/>
  <c r="Q142" i="25"/>
  <c r="X142" i="25"/>
  <c r="Q174" i="25"/>
  <c r="X174" i="25"/>
  <c r="Q206" i="25"/>
  <c r="X206" i="25"/>
  <c r="Y252" i="25"/>
  <c r="R252" i="25"/>
  <c r="S252" i="25" s="1"/>
  <c r="R343" i="25"/>
  <c r="S343" i="25" s="1"/>
  <c r="Y343" i="25"/>
  <c r="Q246" i="25"/>
  <c r="X246" i="25"/>
  <c r="X278" i="25"/>
  <c r="Q278" i="25"/>
  <c r="Q319" i="25"/>
  <c r="X319" i="25"/>
  <c r="Q348" i="25"/>
  <c r="X348" i="25"/>
  <c r="X267" i="25"/>
  <c r="Q267" i="25"/>
  <c r="Y297" i="25"/>
  <c r="R297" i="25"/>
  <c r="S297" i="25" s="1"/>
  <c r="Q315" i="25"/>
  <c r="X315" i="25"/>
  <c r="Y357" i="25"/>
  <c r="R357" i="25"/>
  <c r="S357" i="25" s="1"/>
  <c r="Y271" i="25"/>
  <c r="R271" i="25"/>
  <c r="S271" i="25" s="1"/>
  <c r="Y315" i="25"/>
  <c r="R315" i="25"/>
  <c r="S315" i="25" s="1"/>
  <c r="X345" i="25"/>
  <c r="Q345" i="25"/>
  <c r="X369" i="25"/>
  <c r="Q369" i="25"/>
  <c r="R399" i="25"/>
  <c r="S399" i="25" s="1"/>
  <c r="Y399" i="25"/>
  <c r="Q370" i="25"/>
  <c r="X370" i="25"/>
  <c r="Q389" i="25"/>
  <c r="X389" i="25"/>
  <c r="R296" i="25"/>
  <c r="S296" i="25" s="1"/>
  <c r="Y296" i="25"/>
  <c r="Y328" i="25"/>
  <c r="R328" i="25"/>
  <c r="S328" i="25" s="1"/>
  <c r="Y360" i="25"/>
  <c r="R360" i="25"/>
  <c r="S360" i="25" s="1"/>
  <c r="X375" i="25"/>
  <c r="Q375" i="25"/>
  <c r="R378" i="25"/>
  <c r="S378" i="25" s="1"/>
  <c r="Y378" i="25"/>
  <c r="X403" i="25"/>
  <c r="Q403" i="25"/>
  <c r="Y406" i="25"/>
  <c r="R406" i="25"/>
  <c r="S406" i="25" s="1"/>
  <c r="R471" i="25"/>
  <c r="S471" i="25" s="1"/>
  <c r="Y471" i="25"/>
  <c r="Y428" i="25"/>
  <c r="R428" i="25"/>
  <c r="S428" i="25" s="1"/>
  <c r="X432" i="25"/>
  <c r="Q432" i="25"/>
  <c r="X456" i="25"/>
  <c r="Q456" i="25"/>
  <c r="X499" i="25"/>
  <c r="Q499" i="25"/>
  <c r="X455" i="25"/>
  <c r="Q455" i="25"/>
  <c r="Q487" i="25"/>
  <c r="X487" i="25"/>
  <c r="R423" i="25"/>
  <c r="S423" i="25" s="1"/>
  <c r="Y423" i="25"/>
  <c r="Y463" i="25"/>
  <c r="R463" i="25"/>
  <c r="S463" i="25" s="1"/>
  <c r="Y538" i="25"/>
  <c r="R538" i="25"/>
  <c r="S538" i="25" s="1"/>
  <c r="R508" i="25"/>
  <c r="S508" i="25" s="1"/>
  <c r="Y508" i="25"/>
  <c r="Y501" i="25"/>
  <c r="R501" i="25"/>
  <c r="S501" i="25" s="1"/>
  <c r="Q468" i="25"/>
  <c r="X468" i="25"/>
  <c r="X492" i="25"/>
  <c r="Q492" i="25"/>
  <c r="Q517" i="25"/>
  <c r="X517" i="25"/>
  <c r="X531" i="25"/>
  <c r="Q531" i="25"/>
  <c r="X549" i="25"/>
  <c r="Q549" i="25"/>
  <c r="Q612" i="25"/>
  <c r="X612" i="25"/>
  <c r="Q622" i="25"/>
  <c r="D632" i="25" s="1"/>
  <c r="X622" i="25"/>
  <c r="X626" i="25"/>
  <c r="Q626" i="25"/>
  <c r="D636" i="25" s="1"/>
  <c r="X13" i="25"/>
  <c r="Q13" i="25"/>
  <c r="U13" i="25" s="1"/>
  <c r="R27" i="25"/>
  <c r="S27" i="25" s="1"/>
  <c r="Y27" i="25"/>
  <c r="X153" i="25"/>
  <c r="Q153" i="25"/>
  <c r="R15" i="25"/>
  <c r="S15" i="25" s="1"/>
  <c r="Y15" i="25"/>
  <c r="Q27" i="25"/>
  <c r="X27" i="25"/>
  <c r="Y39" i="25"/>
  <c r="R39" i="25"/>
  <c r="S39" i="25" s="1"/>
  <c r="Y101" i="25"/>
  <c r="R101" i="25"/>
  <c r="S101" i="25" s="1"/>
  <c r="X141" i="25"/>
  <c r="Q141" i="25"/>
  <c r="Q205" i="25"/>
  <c r="X205" i="25"/>
  <c r="X15" i="25"/>
  <c r="Q15" i="25"/>
  <c r="X25" i="25"/>
  <c r="Q25" i="25"/>
  <c r="Y53" i="25"/>
  <c r="R53" i="25"/>
  <c r="S53" i="25" s="1"/>
  <c r="Q86" i="25"/>
  <c r="X86" i="25"/>
  <c r="Q119" i="25"/>
  <c r="X119" i="25"/>
  <c r="X181" i="25"/>
  <c r="Q181" i="25"/>
  <c r="X247" i="25"/>
  <c r="Q247" i="25"/>
  <c r="X46" i="25"/>
  <c r="Q46" i="25"/>
  <c r="X137" i="25"/>
  <c r="Q137" i="25"/>
  <c r="X16" i="25"/>
  <c r="Q16" i="25"/>
  <c r="Y25" i="25"/>
  <c r="R25" i="25"/>
  <c r="S25" i="25" s="1"/>
  <c r="X63" i="25"/>
  <c r="Q63" i="25"/>
  <c r="Q129" i="25"/>
  <c r="X129" i="25"/>
  <c r="Q193" i="25"/>
  <c r="X193" i="25"/>
  <c r="X26" i="25"/>
  <c r="Q26" i="25"/>
  <c r="R41" i="25"/>
  <c r="S41" i="25" s="1"/>
  <c r="Y41" i="25"/>
  <c r="X51" i="25"/>
  <c r="Q51" i="25"/>
  <c r="Y18" i="25"/>
  <c r="R18" i="25"/>
  <c r="S18" i="25" s="1"/>
  <c r="R26" i="25"/>
  <c r="S26" i="25" s="1"/>
  <c r="Y26" i="25"/>
  <c r="X36" i="25"/>
  <c r="Q36" i="25"/>
  <c r="X45" i="25"/>
  <c r="Q45" i="25"/>
  <c r="Y59" i="25"/>
  <c r="R59" i="25"/>
  <c r="S59" i="25" s="1"/>
  <c r="Q68" i="25"/>
  <c r="X68" i="25"/>
  <c r="X77" i="25"/>
  <c r="Q77" i="25"/>
  <c r="Y91" i="25"/>
  <c r="R91" i="25"/>
  <c r="S91" i="25" s="1"/>
  <c r="X100" i="25"/>
  <c r="Q100" i="25"/>
  <c r="Q109" i="25"/>
  <c r="X109" i="25"/>
  <c r="Y123" i="25"/>
  <c r="R123" i="25"/>
  <c r="S123" i="25" s="1"/>
  <c r="Y139" i="25"/>
  <c r="R139" i="25"/>
  <c r="S139" i="25" s="1"/>
  <c r="Y155" i="25"/>
  <c r="R155" i="25"/>
  <c r="S155" i="25" s="1"/>
  <c r="Y171" i="25"/>
  <c r="R171" i="25"/>
  <c r="S171" i="25" s="1"/>
  <c r="Y187" i="25"/>
  <c r="R187" i="25"/>
  <c r="S187" i="25" s="1"/>
  <c r="Y203" i="25"/>
  <c r="R203" i="25"/>
  <c r="S203" i="25" s="1"/>
  <c r="Y219" i="25"/>
  <c r="R219" i="25"/>
  <c r="S219" i="25" s="1"/>
  <c r="Y270" i="25"/>
  <c r="R270" i="25"/>
  <c r="S270" i="25" s="1"/>
  <c r="Q41" i="25"/>
  <c r="X41" i="25"/>
  <c r="R55" i="25"/>
  <c r="S55" i="25" s="1"/>
  <c r="Y55" i="25"/>
  <c r="X64" i="25"/>
  <c r="Q64" i="25"/>
  <c r="Q73" i="25"/>
  <c r="X73" i="25"/>
  <c r="Y87" i="25"/>
  <c r="R87" i="25"/>
  <c r="S87" i="25" s="1"/>
  <c r="Q96" i="25"/>
  <c r="X96" i="25"/>
  <c r="Q105" i="25"/>
  <c r="X105" i="25"/>
  <c r="Y119" i="25"/>
  <c r="R119" i="25"/>
  <c r="S119" i="25" s="1"/>
  <c r="Y133" i="25"/>
  <c r="R133" i="25"/>
  <c r="S133" i="25" s="1"/>
  <c r="Y149" i="25"/>
  <c r="R149" i="25"/>
  <c r="S149" i="25" s="1"/>
  <c r="Y165" i="25"/>
  <c r="R165" i="25"/>
  <c r="S165" i="25" s="1"/>
  <c r="Y181" i="25"/>
  <c r="R181" i="25"/>
  <c r="S181" i="25" s="1"/>
  <c r="Y197" i="25"/>
  <c r="R197" i="25"/>
  <c r="S197" i="25" s="1"/>
  <c r="Y213" i="25"/>
  <c r="R213" i="25"/>
  <c r="S213" i="25" s="1"/>
  <c r="X255" i="25"/>
  <c r="Q255" i="25"/>
  <c r="X35" i="25"/>
  <c r="Q35" i="25"/>
  <c r="R65" i="25"/>
  <c r="S65" i="25" s="1"/>
  <c r="Y65" i="25"/>
  <c r="X74" i="25"/>
  <c r="Q74" i="25"/>
  <c r="X83" i="25"/>
  <c r="Q83" i="25"/>
  <c r="R97" i="25"/>
  <c r="S97" i="25" s="1"/>
  <c r="Y97" i="25"/>
  <c r="X106" i="25"/>
  <c r="Q106" i="25"/>
  <c r="Q115" i="25"/>
  <c r="X115" i="25"/>
  <c r="Q135" i="25"/>
  <c r="X135" i="25"/>
  <c r="Q151" i="25"/>
  <c r="X151" i="25"/>
  <c r="Q167" i="25"/>
  <c r="X167" i="25"/>
  <c r="Q183" i="25"/>
  <c r="X183" i="25"/>
  <c r="Q199" i="25"/>
  <c r="X199" i="25"/>
  <c r="Q215" i="25"/>
  <c r="X215" i="25"/>
  <c r="R232" i="25"/>
  <c r="S232" i="25" s="1"/>
  <c r="Y232" i="25"/>
  <c r="Q296" i="25"/>
  <c r="X296" i="25"/>
  <c r="R34" i="25"/>
  <c r="S34" i="25" s="1"/>
  <c r="Y34" i="25"/>
  <c r="R42" i="25"/>
  <c r="S42" i="25" s="1"/>
  <c r="Y42" i="25"/>
  <c r="R50" i="25"/>
  <c r="S50" i="25" s="1"/>
  <c r="Y50" i="25"/>
  <c r="R58" i="25"/>
  <c r="S58" i="25" s="1"/>
  <c r="Y58" i="25"/>
  <c r="R66" i="25"/>
  <c r="S66" i="25" s="1"/>
  <c r="Y66" i="25"/>
  <c r="Y74" i="25"/>
  <c r="R74" i="25"/>
  <c r="S74" i="25" s="1"/>
  <c r="Y82" i="25"/>
  <c r="R82" i="25"/>
  <c r="S82" i="25" s="1"/>
  <c r="Y90" i="25"/>
  <c r="R90" i="25"/>
  <c r="S90" i="25" s="1"/>
  <c r="R98" i="25"/>
  <c r="S98" i="25" s="1"/>
  <c r="Y98" i="25"/>
  <c r="R106" i="25"/>
  <c r="S106" i="25" s="1"/>
  <c r="Y106" i="25"/>
  <c r="R114" i="25"/>
  <c r="S114" i="25" s="1"/>
  <c r="Y114" i="25"/>
  <c r="R122" i="25"/>
  <c r="S122" i="25" s="1"/>
  <c r="Y122" i="25"/>
  <c r="Y130" i="25"/>
  <c r="R130" i="25"/>
  <c r="S130" i="25" s="1"/>
  <c r="Y138" i="25"/>
  <c r="R138" i="25"/>
  <c r="S138" i="25" s="1"/>
  <c r="Y146" i="25"/>
  <c r="R146" i="25"/>
  <c r="S146" i="25" s="1"/>
  <c r="R154" i="25"/>
  <c r="S154" i="25" s="1"/>
  <c r="Y154" i="25"/>
  <c r="R162" i="25"/>
  <c r="S162" i="25" s="1"/>
  <c r="Y162" i="25"/>
  <c r="Y170" i="25"/>
  <c r="R170" i="25"/>
  <c r="S170" i="25" s="1"/>
  <c r="Y178" i="25"/>
  <c r="R178" i="25"/>
  <c r="S178" i="25" s="1"/>
  <c r="R186" i="25"/>
  <c r="S186" i="25" s="1"/>
  <c r="Y186" i="25"/>
  <c r="Y194" i="25"/>
  <c r="R194" i="25"/>
  <c r="S194" i="25" s="1"/>
  <c r="Y202" i="25"/>
  <c r="R202" i="25"/>
  <c r="S202" i="25" s="1"/>
  <c r="Y210" i="25"/>
  <c r="R210" i="25"/>
  <c r="S210" i="25" s="1"/>
  <c r="R218" i="25"/>
  <c r="S218" i="25" s="1"/>
  <c r="Y218" i="25"/>
  <c r="R227" i="25"/>
  <c r="S227" i="25" s="1"/>
  <c r="Y227" i="25"/>
  <c r="Q237" i="25"/>
  <c r="X237" i="25"/>
  <c r="R246" i="25"/>
  <c r="S246" i="25" s="1"/>
  <c r="Y246" i="25"/>
  <c r="Y259" i="25"/>
  <c r="R259" i="25"/>
  <c r="S259" i="25" s="1"/>
  <c r="R272" i="25"/>
  <c r="S272" i="25" s="1"/>
  <c r="Y272" i="25"/>
  <c r="Y319" i="25"/>
  <c r="R319" i="25"/>
  <c r="S319" i="25" s="1"/>
  <c r="Y223" i="25"/>
  <c r="R223" i="25"/>
  <c r="S223" i="25" s="1"/>
  <c r="Q233" i="25"/>
  <c r="X233" i="25"/>
  <c r="Y242" i="25"/>
  <c r="R242" i="25"/>
  <c r="S242" i="25" s="1"/>
  <c r="Y255" i="25"/>
  <c r="R255" i="25"/>
  <c r="S255" i="25" s="1"/>
  <c r="R268" i="25"/>
  <c r="S268" i="25" s="1"/>
  <c r="Y268" i="25"/>
  <c r="X305" i="25"/>
  <c r="Q305" i="25"/>
  <c r="X120" i="25"/>
  <c r="Q120" i="25"/>
  <c r="Q128" i="25"/>
  <c r="X128" i="25"/>
  <c r="Q136" i="25"/>
  <c r="X136" i="25"/>
  <c r="X144" i="25"/>
  <c r="Q144" i="25"/>
  <c r="X152" i="25"/>
  <c r="Q152" i="25"/>
  <c r="X160" i="25"/>
  <c r="Q160" i="25"/>
  <c r="Q168" i="25"/>
  <c r="X168" i="25"/>
  <c r="Q176" i="25"/>
  <c r="X176" i="25"/>
  <c r="X184" i="25"/>
  <c r="Q184" i="25"/>
  <c r="X192" i="25"/>
  <c r="Q192" i="25"/>
  <c r="Q200" i="25"/>
  <c r="X200" i="25"/>
  <c r="X208" i="25"/>
  <c r="Q208" i="25"/>
  <c r="X216" i="25"/>
  <c r="Q216" i="25"/>
  <c r="X224" i="25"/>
  <c r="Q224" i="25"/>
  <c r="X235" i="25"/>
  <c r="Q235" i="25"/>
  <c r="Y244" i="25"/>
  <c r="R244" i="25"/>
  <c r="S244" i="25" s="1"/>
  <c r="Y257" i="25"/>
  <c r="R257" i="25"/>
  <c r="S257" i="25" s="1"/>
  <c r="Y274" i="25"/>
  <c r="R274" i="25"/>
  <c r="S274" i="25" s="1"/>
  <c r="R311" i="25"/>
  <c r="S311" i="25" s="1"/>
  <c r="Y311" i="25"/>
  <c r="Y367" i="25"/>
  <c r="R367" i="25"/>
  <c r="S367" i="25" s="1"/>
  <c r="Q232" i="25"/>
  <c r="X232" i="25"/>
  <c r="X240" i="25"/>
  <c r="Q240" i="25"/>
  <c r="X248" i="25"/>
  <c r="Q248" i="25"/>
  <c r="X256" i="25"/>
  <c r="Q256" i="25"/>
  <c r="Q264" i="25"/>
  <c r="X264" i="25"/>
  <c r="X272" i="25"/>
  <c r="Q272" i="25"/>
  <c r="X279" i="25"/>
  <c r="Q279" i="25"/>
  <c r="Y293" i="25"/>
  <c r="R293" i="25"/>
  <c r="S293" i="25" s="1"/>
  <c r="Q302" i="25"/>
  <c r="X302" i="25"/>
  <c r="Q311" i="25"/>
  <c r="X311" i="25"/>
  <c r="Y325" i="25"/>
  <c r="R325" i="25"/>
  <c r="S325" i="25" s="1"/>
  <c r="X334" i="25"/>
  <c r="Q334" i="25"/>
  <c r="X343" i="25"/>
  <c r="Q343" i="25"/>
  <c r="Y351" i="25"/>
  <c r="R351" i="25"/>
  <c r="S351" i="25" s="1"/>
  <c r="R359" i="25"/>
  <c r="S359" i="25" s="1"/>
  <c r="Y359" i="25"/>
  <c r="Y369" i="25"/>
  <c r="R369" i="25"/>
  <c r="S369" i="25" s="1"/>
  <c r="Y442" i="25"/>
  <c r="R442" i="25"/>
  <c r="S442" i="25" s="1"/>
  <c r="Q269" i="25"/>
  <c r="X269" i="25"/>
  <c r="X277" i="25"/>
  <c r="Q277" i="25"/>
  <c r="Y289" i="25"/>
  <c r="R289" i="25"/>
  <c r="S289" i="25" s="1"/>
  <c r="X298" i="25"/>
  <c r="Q298" i="25"/>
  <c r="X307" i="25"/>
  <c r="Q307" i="25"/>
  <c r="R321" i="25"/>
  <c r="S321" i="25" s="1"/>
  <c r="Y321" i="25"/>
  <c r="Q330" i="25"/>
  <c r="X330" i="25"/>
  <c r="Q339" i="25"/>
  <c r="X339" i="25"/>
  <c r="Q350" i="25"/>
  <c r="X350" i="25"/>
  <c r="X358" i="25"/>
  <c r="Q358" i="25"/>
  <c r="Y373" i="25"/>
  <c r="R373" i="25"/>
  <c r="S373" i="25" s="1"/>
  <c r="Y265" i="25"/>
  <c r="R265" i="25"/>
  <c r="S265" i="25" s="1"/>
  <c r="Y273" i="25"/>
  <c r="R273" i="25"/>
  <c r="S273" i="25" s="1"/>
  <c r="Q284" i="25"/>
  <c r="X284" i="25"/>
  <c r="X293" i="25"/>
  <c r="Q293" i="25"/>
  <c r="Y307" i="25"/>
  <c r="R307" i="25"/>
  <c r="S307" i="25" s="1"/>
  <c r="X316" i="25"/>
  <c r="Q316" i="25"/>
  <c r="Q325" i="25"/>
  <c r="X325" i="25"/>
  <c r="R339" i="25"/>
  <c r="S339" i="25" s="1"/>
  <c r="Y339" i="25"/>
  <c r="Y385" i="25"/>
  <c r="R385" i="25"/>
  <c r="S385" i="25" s="1"/>
  <c r="X347" i="25"/>
  <c r="Q347" i="25"/>
  <c r="Q355" i="25"/>
  <c r="X355" i="25"/>
  <c r="Q363" i="25"/>
  <c r="X363" i="25"/>
  <c r="X371" i="25"/>
  <c r="Q371" i="25"/>
  <c r="X377" i="25"/>
  <c r="Q377" i="25"/>
  <c r="Y391" i="25"/>
  <c r="R391" i="25"/>
  <c r="S391" i="25" s="1"/>
  <c r="Y400" i="25"/>
  <c r="R400" i="25"/>
  <c r="S400" i="25" s="1"/>
  <c r="Y450" i="25"/>
  <c r="R450" i="25"/>
  <c r="S450" i="25" s="1"/>
  <c r="X372" i="25"/>
  <c r="Q372" i="25"/>
  <c r="X381" i="25"/>
  <c r="Q381" i="25"/>
  <c r="Y395" i="25"/>
  <c r="R395" i="25"/>
  <c r="S395" i="25" s="1"/>
  <c r="X405" i="25"/>
  <c r="Q405" i="25"/>
  <c r="R282" i="25"/>
  <c r="S282" i="25" s="1"/>
  <c r="Y282" i="25"/>
  <c r="Y290" i="25"/>
  <c r="R290" i="25"/>
  <c r="S290" i="25" s="1"/>
  <c r="R298" i="25"/>
  <c r="S298" i="25" s="1"/>
  <c r="Y298" i="25"/>
  <c r="R306" i="25"/>
  <c r="S306" i="25" s="1"/>
  <c r="Y306" i="25"/>
  <c r="R314" i="25"/>
  <c r="S314" i="25" s="1"/>
  <c r="Y314" i="25"/>
  <c r="R322" i="25"/>
  <c r="S322" i="25" s="1"/>
  <c r="Y322" i="25"/>
  <c r="R330" i="25"/>
  <c r="S330" i="25" s="1"/>
  <c r="Y330" i="25"/>
  <c r="Y338" i="25"/>
  <c r="R338" i="25"/>
  <c r="S338" i="25" s="1"/>
  <c r="Y346" i="25"/>
  <c r="R346" i="25"/>
  <c r="S346" i="25" s="1"/>
  <c r="Y354" i="25"/>
  <c r="R354" i="25"/>
  <c r="S354" i="25" s="1"/>
  <c r="R362" i="25"/>
  <c r="S362" i="25" s="1"/>
  <c r="Y362" i="25"/>
  <c r="R370" i="25"/>
  <c r="S370" i="25" s="1"/>
  <c r="Y370" i="25"/>
  <c r="Y381" i="25"/>
  <c r="R381" i="25"/>
  <c r="S381" i="25" s="1"/>
  <c r="X390" i="25"/>
  <c r="Q390" i="25"/>
  <c r="Q399" i="25"/>
  <c r="X399" i="25"/>
  <c r="X414" i="25"/>
  <c r="Q414" i="25"/>
  <c r="Y380" i="25"/>
  <c r="R380" i="25"/>
  <c r="S380" i="25" s="1"/>
  <c r="Y388" i="25"/>
  <c r="R388" i="25"/>
  <c r="S388" i="25" s="1"/>
  <c r="Y396" i="25"/>
  <c r="R396" i="25"/>
  <c r="S396" i="25" s="1"/>
  <c r="X404" i="25"/>
  <c r="Q404" i="25"/>
  <c r="Y418" i="25"/>
  <c r="R418" i="25"/>
  <c r="S418" i="25" s="1"/>
  <c r="X427" i="25"/>
  <c r="Q427" i="25"/>
  <c r="Y460" i="25"/>
  <c r="R460" i="25"/>
  <c r="S460" i="25" s="1"/>
  <c r="Q407" i="25"/>
  <c r="X407" i="25"/>
  <c r="X416" i="25"/>
  <c r="Q416" i="25"/>
  <c r="X428" i="25"/>
  <c r="Q428" i="25"/>
  <c r="Y456" i="25"/>
  <c r="R456" i="25"/>
  <c r="S456" i="25" s="1"/>
  <c r="X483" i="25"/>
  <c r="Q483" i="25"/>
  <c r="X401" i="25"/>
  <c r="Q401" i="25"/>
  <c r="X410" i="25"/>
  <c r="Q410" i="25"/>
  <c r="R424" i="25"/>
  <c r="S424" i="25" s="1"/>
  <c r="Y424" i="25"/>
  <c r="R430" i="25"/>
  <c r="S430" i="25" s="1"/>
  <c r="Y430" i="25"/>
  <c r="R462" i="25"/>
  <c r="S462" i="25" s="1"/>
  <c r="Y462" i="25"/>
  <c r="X489" i="25"/>
  <c r="Q489" i="25"/>
  <c r="X434" i="25"/>
  <c r="Q434" i="25"/>
  <c r="Q442" i="25"/>
  <c r="X442" i="25"/>
  <c r="X450" i="25"/>
  <c r="Q450" i="25"/>
  <c r="Q458" i="25"/>
  <c r="X458" i="25"/>
  <c r="Y469" i="25"/>
  <c r="R469" i="25"/>
  <c r="S469" i="25" s="1"/>
  <c r="X479" i="25"/>
  <c r="Q479" i="25"/>
  <c r="Q507" i="25"/>
  <c r="X507" i="25"/>
  <c r="Q433" i="25"/>
  <c r="X433" i="25"/>
  <c r="X441" i="25"/>
  <c r="Q441" i="25"/>
  <c r="X449" i="25"/>
  <c r="Q449" i="25"/>
  <c r="Q457" i="25"/>
  <c r="X457" i="25"/>
  <c r="Y465" i="25"/>
  <c r="R465" i="25"/>
  <c r="S465" i="25" s="1"/>
  <c r="X475" i="25"/>
  <c r="Q475" i="25"/>
  <c r="X495" i="25"/>
  <c r="Q495" i="25"/>
  <c r="R401" i="25"/>
  <c r="S401" i="25" s="1"/>
  <c r="Y401" i="25"/>
  <c r="Y409" i="25"/>
  <c r="R409" i="25"/>
  <c r="S409" i="25" s="1"/>
  <c r="R417" i="25"/>
  <c r="S417" i="25" s="1"/>
  <c r="Y417" i="25"/>
  <c r="R425" i="25"/>
  <c r="S425" i="25" s="1"/>
  <c r="Y425" i="25"/>
  <c r="Y433" i="25"/>
  <c r="R433" i="25"/>
  <c r="S433" i="25" s="1"/>
  <c r="R441" i="25"/>
  <c r="S441" i="25" s="1"/>
  <c r="Y441" i="25"/>
  <c r="Y449" i="25"/>
  <c r="R449" i="25"/>
  <c r="S449" i="25" s="1"/>
  <c r="R457" i="25"/>
  <c r="S457" i="25" s="1"/>
  <c r="Y457" i="25"/>
  <c r="Y467" i="25"/>
  <c r="R467" i="25"/>
  <c r="S467" i="25" s="1"/>
  <c r="X477" i="25"/>
  <c r="Q477" i="25"/>
  <c r="Q493" i="25"/>
  <c r="X493" i="25"/>
  <c r="R486" i="25"/>
  <c r="S486" i="25" s="1"/>
  <c r="Y486" i="25"/>
  <c r="Y494" i="25"/>
  <c r="R494" i="25"/>
  <c r="S494" i="25" s="1"/>
  <c r="R502" i="25"/>
  <c r="S502" i="25" s="1"/>
  <c r="Y502" i="25"/>
  <c r="Y510" i="25"/>
  <c r="R510" i="25"/>
  <c r="S510" i="25" s="1"/>
  <c r="R520" i="25"/>
  <c r="S520" i="25" s="1"/>
  <c r="Y520" i="25"/>
  <c r="Y530" i="25"/>
  <c r="R530" i="25"/>
  <c r="S530" i="25" s="1"/>
  <c r="R487" i="25"/>
  <c r="S487" i="25" s="1"/>
  <c r="Y487" i="25"/>
  <c r="Y495" i="25"/>
  <c r="R495" i="25"/>
  <c r="S495" i="25" s="1"/>
  <c r="R503" i="25"/>
  <c r="S503" i="25" s="1"/>
  <c r="Y503" i="25"/>
  <c r="Y511" i="25"/>
  <c r="R511" i="25"/>
  <c r="S511" i="25" s="1"/>
  <c r="X553" i="25"/>
  <c r="Q553" i="25"/>
  <c r="Q470" i="25"/>
  <c r="X470" i="25"/>
  <c r="Q478" i="25"/>
  <c r="X478" i="25"/>
  <c r="X486" i="25"/>
  <c r="Q486" i="25"/>
  <c r="Q494" i="25"/>
  <c r="X494" i="25"/>
  <c r="Q502" i="25"/>
  <c r="X502" i="25"/>
  <c r="X510" i="25"/>
  <c r="Q510" i="25"/>
  <c r="X520" i="25"/>
  <c r="Q520" i="25"/>
  <c r="Y581" i="25"/>
  <c r="R581" i="25"/>
  <c r="S581" i="25" s="1"/>
  <c r="X519" i="25"/>
  <c r="Q519" i="25"/>
  <c r="X527" i="25"/>
  <c r="Q527" i="25"/>
  <c r="Y536" i="25"/>
  <c r="R536" i="25"/>
  <c r="S536" i="25" s="1"/>
  <c r="X580" i="25"/>
  <c r="Q580" i="25"/>
  <c r="Y532" i="25"/>
  <c r="R532" i="25"/>
  <c r="S532" i="25" s="1"/>
  <c r="Q558" i="25"/>
  <c r="X558" i="25"/>
  <c r="Y524" i="25"/>
  <c r="R524" i="25"/>
  <c r="S524" i="25" s="1"/>
  <c r="X533" i="25"/>
  <c r="Q533" i="25"/>
  <c r="Y540" i="25"/>
  <c r="R540" i="25"/>
  <c r="S540" i="25" s="1"/>
  <c r="Y548" i="25"/>
  <c r="R548" i="25"/>
  <c r="S548" i="25" s="1"/>
  <c r="R556" i="25"/>
  <c r="S556" i="25" s="1"/>
  <c r="Y556" i="25"/>
  <c r="R565" i="25"/>
  <c r="S565" i="25" s="1"/>
  <c r="Y565" i="25"/>
  <c r="Y587" i="25"/>
  <c r="R587" i="25"/>
  <c r="S587" i="25" s="1"/>
  <c r="Y545" i="25"/>
  <c r="R545" i="25"/>
  <c r="S545" i="25" s="1"/>
  <c r="R553" i="25"/>
  <c r="S553" i="25" s="1"/>
  <c r="Y553" i="25"/>
  <c r="R561" i="25"/>
  <c r="S561" i="25" s="1"/>
  <c r="Y561" i="25"/>
  <c r="Q530" i="25"/>
  <c r="X530" i="25"/>
  <c r="Q538" i="25"/>
  <c r="X538" i="25"/>
  <c r="Q546" i="25"/>
  <c r="X546" i="25"/>
  <c r="X554" i="25"/>
  <c r="Q554" i="25"/>
  <c r="Y563" i="25"/>
  <c r="R563" i="25"/>
  <c r="S563" i="25" s="1"/>
  <c r="Y567" i="25"/>
  <c r="R567" i="25"/>
  <c r="S567" i="25" s="1"/>
  <c r="Y575" i="25"/>
  <c r="R575" i="25"/>
  <c r="S575" i="25" s="1"/>
  <c r="Q592" i="25"/>
  <c r="X592" i="25"/>
  <c r="R572" i="25"/>
  <c r="S572" i="25" s="1"/>
  <c r="Y572" i="25"/>
  <c r="X582" i="25"/>
  <c r="Q582" i="25"/>
  <c r="Q557" i="25"/>
  <c r="X557" i="25"/>
  <c r="X565" i="25"/>
  <c r="Q565" i="25"/>
  <c r="X573" i="25"/>
  <c r="Q573" i="25"/>
  <c r="R591" i="25"/>
  <c r="S591" i="25" s="1"/>
  <c r="Y591" i="25"/>
  <c r="Q581" i="25"/>
  <c r="X581" i="25"/>
  <c r="Q589" i="25"/>
  <c r="X589" i="25"/>
  <c r="X584" i="25"/>
  <c r="Q584" i="25"/>
  <c r="R592" i="25"/>
  <c r="S592" i="25" s="1"/>
  <c r="Y592" i="25"/>
  <c r="X606" i="25"/>
  <c r="Q606" i="25"/>
  <c r="Y594" i="25"/>
  <c r="R594" i="25"/>
  <c r="S594" i="25" s="1"/>
  <c r="R607" i="25"/>
  <c r="S607" i="25" s="1"/>
  <c r="Y607" i="25"/>
  <c r="R599" i="25"/>
  <c r="S599" i="25" s="1"/>
  <c r="Y599" i="25"/>
  <c r="Q607" i="25"/>
  <c r="X607" i="25"/>
  <c r="R602" i="25"/>
  <c r="S602" i="25" s="1"/>
  <c r="Y602" i="25"/>
  <c r="X597" i="25"/>
  <c r="Q597" i="25"/>
  <c r="Q605" i="25"/>
  <c r="X605" i="25"/>
  <c r="X609" i="25"/>
  <c r="Q609" i="25"/>
  <c r="R611" i="25"/>
  <c r="S611" i="25" s="1"/>
  <c r="Y611" i="25"/>
  <c r="R626" i="25"/>
  <c r="S626" i="25" s="1"/>
  <c r="Y626" i="25"/>
  <c r="X14" i="25"/>
  <c r="Q14" i="25"/>
  <c r="Q71" i="25"/>
  <c r="X71" i="25"/>
  <c r="Q125" i="25"/>
  <c r="X125" i="25"/>
  <c r="X23" i="25"/>
  <c r="Q23" i="25"/>
  <c r="X38" i="25"/>
  <c r="Q38" i="25"/>
  <c r="X165" i="25"/>
  <c r="Q165" i="25"/>
  <c r="Q225" i="25"/>
  <c r="X225" i="25"/>
  <c r="R13" i="25"/>
  <c r="S13" i="25" s="1"/>
  <c r="Y13" i="25"/>
  <c r="Q24" i="25"/>
  <c r="X24" i="25"/>
  <c r="Q177" i="25"/>
  <c r="X177" i="25"/>
  <c r="X34" i="25"/>
  <c r="Q34" i="25"/>
  <c r="R16" i="25"/>
  <c r="S16" i="25" s="1"/>
  <c r="Y16" i="25"/>
  <c r="X44" i="25"/>
  <c r="Q44" i="25"/>
  <c r="Q76" i="25"/>
  <c r="X76" i="25"/>
  <c r="Q85" i="25"/>
  <c r="X85" i="25"/>
  <c r="Q117" i="25"/>
  <c r="X117" i="25"/>
  <c r="Y151" i="25"/>
  <c r="R151" i="25"/>
  <c r="S151" i="25" s="1"/>
  <c r="Y183" i="25"/>
  <c r="R183" i="25"/>
  <c r="S183" i="25" s="1"/>
  <c r="Y245" i="25"/>
  <c r="R245" i="25"/>
  <c r="S245" i="25" s="1"/>
  <c r="R63" i="25"/>
  <c r="S63" i="25" s="1"/>
  <c r="Y63" i="25"/>
  <c r="Y95" i="25"/>
  <c r="R95" i="25"/>
  <c r="S95" i="25" s="1"/>
  <c r="Y145" i="25"/>
  <c r="R145" i="25"/>
  <c r="S145" i="25" s="1"/>
  <c r="R177" i="25"/>
  <c r="S177" i="25" s="1"/>
  <c r="Y177" i="25"/>
  <c r="Y229" i="25"/>
  <c r="R229" i="25"/>
  <c r="S229" i="25" s="1"/>
  <c r="Y73" i="25"/>
  <c r="R73" i="25"/>
  <c r="S73" i="25" s="1"/>
  <c r="Q82" i="25"/>
  <c r="X82" i="25"/>
  <c r="Q114" i="25"/>
  <c r="X114" i="25"/>
  <c r="X131" i="25"/>
  <c r="Q131" i="25"/>
  <c r="X179" i="25"/>
  <c r="Q179" i="25"/>
  <c r="X211" i="25"/>
  <c r="Q211" i="25"/>
  <c r="R278" i="25"/>
  <c r="S278" i="25" s="1"/>
  <c r="Y278" i="25"/>
  <c r="R40" i="25"/>
  <c r="S40" i="25" s="1"/>
  <c r="Y40" i="25"/>
  <c r="R64" i="25"/>
  <c r="S64" i="25" s="1"/>
  <c r="Y64" i="25"/>
  <c r="R88" i="25"/>
  <c r="S88" i="25" s="1"/>
  <c r="Y88" i="25"/>
  <c r="Y96" i="25"/>
  <c r="R96" i="25"/>
  <c r="S96" i="25" s="1"/>
  <c r="Y120" i="25"/>
  <c r="R120" i="25"/>
  <c r="S120" i="25" s="1"/>
  <c r="R144" i="25"/>
  <c r="S144" i="25" s="1"/>
  <c r="Y144" i="25"/>
  <c r="R152" i="25"/>
  <c r="S152" i="25" s="1"/>
  <c r="Y152" i="25"/>
  <c r="Y176" i="25"/>
  <c r="R176" i="25"/>
  <c r="S176" i="25" s="1"/>
  <c r="R192" i="25"/>
  <c r="S192" i="25" s="1"/>
  <c r="Y192" i="25"/>
  <c r="Y216" i="25"/>
  <c r="R216" i="25"/>
  <c r="S216" i="25" s="1"/>
  <c r="R235" i="25"/>
  <c r="S235" i="25" s="1"/>
  <c r="Y235" i="25"/>
  <c r="R254" i="25"/>
  <c r="S254" i="25" s="1"/>
  <c r="Y254" i="25"/>
  <c r="R221" i="25"/>
  <c r="S221" i="25" s="1"/>
  <c r="Y221" i="25"/>
  <c r="Y231" i="25"/>
  <c r="R231" i="25"/>
  <c r="S231" i="25" s="1"/>
  <c r="R263" i="25"/>
  <c r="S263" i="25" s="1"/>
  <c r="Y263" i="25"/>
  <c r="X304" i="25"/>
  <c r="Q304" i="25"/>
  <c r="X134" i="25"/>
  <c r="Q134" i="25"/>
  <c r="X158" i="25"/>
  <c r="Q158" i="25"/>
  <c r="Q166" i="25"/>
  <c r="X166" i="25"/>
  <c r="X190" i="25"/>
  <c r="Q190" i="25"/>
  <c r="Q198" i="25"/>
  <c r="X198" i="25"/>
  <c r="X222" i="25"/>
  <c r="Q222" i="25"/>
  <c r="Q243" i="25"/>
  <c r="X243" i="25"/>
  <c r="Y266" i="25"/>
  <c r="R266" i="25"/>
  <c r="S266" i="25" s="1"/>
  <c r="Q230" i="25"/>
  <c r="X230" i="25"/>
  <c r="Q254" i="25"/>
  <c r="X254" i="25"/>
  <c r="Q270" i="25"/>
  <c r="X270" i="25"/>
  <c r="X287" i="25"/>
  <c r="Q287" i="25"/>
  <c r="Q310" i="25"/>
  <c r="X310" i="25"/>
  <c r="X342" i="25"/>
  <c r="Q342" i="25"/>
  <c r="X356" i="25"/>
  <c r="Q356" i="25"/>
  <c r="X395" i="25"/>
  <c r="Q395" i="25"/>
  <c r="Q283" i="25"/>
  <c r="X283" i="25"/>
  <c r="Y329" i="25"/>
  <c r="R329" i="25"/>
  <c r="S329" i="25" s="1"/>
  <c r="R349" i="25"/>
  <c r="S349" i="25" s="1"/>
  <c r="Y349" i="25"/>
  <c r="R365" i="25"/>
  <c r="S365" i="25" s="1"/>
  <c r="Y365" i="25"/>
  <c r="R283" i="25"/>
  <c r="S283" i="25" s="1"/>
  <c r="Y283" i="25"/>
  <c r="X301" i="25"/>
  <c r="Q301" i="25"/>
  <c r="X324" i="25"/>
  <c r="Q324" i="25"/>
  <c r="Y371" i="25"/>
  <c r="R371" i="25"/>
  <c r="S371" i="25" s="1"/>
  <c r="X353" i="25"/>
  <c r="Q353" i="25"/>
  <c r="Q376" i="25"/>
  <c r="X376" i="25"/>
  <c r="Q422" i="25"/>
  <c r="X422" i="25"/>
  <c r="Y280" i="25"/>
  <c r="R280" i="25"/>
  <c r="S280" i="25" s="1"/>
  <c r="R288" i="25"/>
  <c r="S288" i="25" s="1"/>
  <c r="Y288" i="25"/>
  <c r="Y312" i="25"/>
  <c r="R312" i="25"/>
  <c r="S312" i="25" s="1"/>
  <c r="Y336" i="25"/>
  <c r="R336" i="25"/>
  <c r="S336" i="25" s="1"/>
  <c r="Y344" i="25"/>
  <c r="R344" i="25"/>
  <c r="S344" i="25" s="1"/>
  <c r="R368" i="25"/>
  <c r="S368" i="25" s="1"/>
  <c r="Y368" i="25"/>
  <c r="Q398" i="25"/>
  <c r="X398" i="25"/>
  <c r="Q413" i="25"/>
  <c r="X413" i="25"/>
  <c r="Y394" i="25"/>
  <c r="R394" i="25"/>
  <c r="S394" i="25" s="1"/>
  <c r="Y426" i="25"/>
  <c r="R426" i="25"/>
  <c r="S426" i="25" s="1"/>
  <c r="R452" i="25"/>
  <c r="S452" i="25" s="1"/>
  <c r="Y452" i="25"/>
  <c r="X424" i="25"/>
  <c r="Q424" i="25"/>
  <c r="R522" i="25"/>
  <c r="S522" i="25" s="1"/>
  <c r="Y522" i="25"/>
  <c r="X409" i="25"/>
  <c r="Q409" i="25"/>
  <c r="Y454" i="25"/>
  <c r="R454" i="25"/>
  <c r="S454" i="25" s="1"/>
  <c r="Q440" i="25"/>
  <c r="X440" i="25"/>
  <c r="X448" i="25"/>
  <c r="Q448" i="25"/>
  <c r="Y477" i="25"/>
  <c r="R477" i="25"/>
  <c r="S477" i="25" s="1"/>
  <c r="X431" i="25"/>
  <c r="Q431" i="25"/>
  <c r="X447" i="25"/>
  <c r="Q447" i="25"/>
  <c r="Y473" i="25"/>
  <c r="R473" i="25"/>
  <c r="S473" i="25" s="1"/>
  <c r="X537" i="25"/>
  <c r="Q537" i="25"/>
  <c r="R415" i="25"/>
  <c r="S415" i="25" s="1"/>
  <c r="Y415" i="25"/>
  <c r="R439" i="25"/>
  <c r="S439" i="25" s="1"/>
  <c r="Y439" i="25"/>
  <c r="Y447" i="25"/>
  <c r="R447" i="25"/>
  <c r="S447" i="25" s="1"/>
  <c r="Y475" i="25"/>
  <c r="R475" i="25"/>
  <c r="S475" i="25" s="1"/>
  <c r="Y492" i="25"/>
  <c r="R492" i="25"/>
  <c r="S492" i="25" s="1"/>
  <c r="R500" i="25"/>
  <c r="S500" i="25" s="1"/>
  <c r="Y500" i="25"/>
  <c r="Q529" i="25"/>
  <c r="X529" i="25"/>
  <c r="Y485" i="25"/>
  <c r="R485" i="25"/>
  <c r="S485" i="25" s="1"/>
  <c r="R509" i="25"/>
  <c r="S509" i="25" s="1"/>
  <c r="Y509" i="25"/>
  <c r="R519" i="25"/>
  <c r="S519" i="25" s="1"/>
  <c r="Y519" i="25"/>
  <c r="X484" i="25"/>
  <c r="Q484" i="25"/>
  <c r="X508" i="25"/>
  <c r="Q508" i="25"/>
  <c r="Y518" i="25"/>
  <c r="R518" i="25"/>
  <c r="S518" i="25" s="1"/>
  <c r="R525" i="25"/>
  <c r="S525" i="25" s="1"/>
  <c r="Y525" i="25"/>
  <c r="X555" i="25"/>
  <c r="Q555" i="25"/>
  <c r="Q551" i="25"/>
  <c r="X551" i="25"/>
  <c r="X572" i="25"/>
  <c r="Q572" i="25"/>
  <c r="Y531" i="25"/>
  <c r="R531" i="25"/>
  <c r="S531" i="25" s="1"/>
  <c r="R554" i="25"/>
  <c r="S554" i="25" s="1"/>
  <c r="Y554" i="25"/>
  <c r="X564" i="25"/>
  <c r="Q564" i="25"/>
  <c r="Y578" i="25"/>
  <c r="R578" i="25"/>
  <c r="S578" i="25" s="1"/>
  <c r="Y543" i="25"/>
  <c r="R543" i="25"/>
  <c r="S543" i="25" s="1"/>
  <c r="R551" i="25"/>
  <c r="S551" i="25" s="1"/>
  <c r="Y551" i="25"/>
  <c r="Q560" i="25"/>
  <c r="X560" i="25"/>
  <c r="Q528" i="25"/>
  <c r="X528" i="25"/>
  <c r="X536" i="25"/>
  <c r="Q536" i="25"/>
  <c r="X544" i="25"/>
  <c r="Q544" i="25"/>
  <c r="Q552" i="25"/>
  <c r="X552" i="25"/>
  <c r="X562" i="25"/>
  <c r="Q562" i="25"/>
  <c r="Y584" i="25"/>
  <c r="R584" i="25"/>
  <c r="S584" i="25" s="1"/>
  <c r="Y573" i="25"/>
  <c r="R573" i="25"/>
  <c r="S573" i="25" s="1"/>
  <c r="Y589" i="25"/>
  <c r="R589" i="25"/>
  <c r="S589" i="25" s="1"/>
  <c r="R570" i="25"/>
  <c r="S570" i="25" s="1"/>
  <c r="Y570" i="25"/>
  <c r="Y580" i="25"/>
  <c r="R580" i="25"/>
  <c r="S580" i="25" s="1"/>
  <c r="X600" i="25"/>
  <c r="Q600" i="25"/>
  <c r="Q563" i="25"/>
  <c r="X563" i="25"/>
  <c r="X571" i="25"/>
  <c r="Q571" i="25"/>
  <c r="R582" i="25"/>
  <c r="S582" i="25" s="1"/>
  <c r="Y582" i="25"/>
  <c r="X579" i="25"/>
  <c r="Q579" i="25"/>
  <c r="X587" i="25"/>
  <c r="Q587" i="25"/>
  <c r="X602" i="25"/>
  <c r="Q602" i="25"/>
  <c r="X590" i="25"/>
  <c r="Q590" i="25"/>
  <c r="Q598" i="25"/>
  <c r="X598" i="25"/>
  <c r="Y590" i="25"/>
  <c r="R590" i="25"/>
  <c r="S590" i="25" s="1"/>
  <c r="X604" i="25"/>
  <c r="Q604" i="25"/>
  <c r="Y597" i="25"/>
  <c r="R597" i="25"/>
  <c r="S597" i="25" s="1"/>
  <c r="R605" i="25"/>
  <c r="S605" i="25" s="1"/>
  <c r="Y605" i="25"/>
  <c r="Y600" i="25"/>
  <c r="R600" i="25"/>
  <c r="S600" i="25" s="1"/>
  <c r="X603" i="25"/>
  <c r="Q603" i="25"/>
  <c r="R627" i="25"/>
  <c r="S627" i="25" s="1"/>
  <c r="AB627" i="25"/>
  <c r="Y622" i="25"/>
  <c r="R622" i="25"/>
  <c r="S622" i="25" s="1"/>
  <c r="Y19" i="25"/>
  <c r="R19" i="25"/>
  <c r="S19" i="25" s="1"/>
  <c r="Q47" i="25"/>
  <c r="X47" i="25"/>
  <c r="X185" i="25"/>
  <c r="Q185" i="25"/>
  <c r="R17" i="25"/>
  <c r="S17" i="25" s="1"/>
  <c r="Y17" i="25"/>
  <c r="R29" i="25"/>
  <c r="S29" i="25" s="1"/>
  <c r="Y29" i="25"/>
  <c r="Y69" i="25"/>
  <c r="R69" i="25"/>
  <c r="S69" i="25" s="1"/>
  <c r="Q102" i="25"/>
  <c r="X102" i="25"/>
  <c r="X157" i="25"/>
  <c r="Q157" i="25"/>
  <c r="Q32" i="25"/>
  <c r="X32" i="25"/>
  <c r="Y21" i="25"/>
  <c r="R21" i="25"/>
  <c r="S21" i="25" s="1"/>
  <c r="Y31" i="25"/>
  <c r="R31" i="25"/>
  <c r="S31" i="25" s="1"/>
  <c r="Q54" i="25"/>
  <c r="X54" i="25"/>
  <c r="X87" i="25"/>
  <c r="Q87" i="25"/>
  <c r="X133" i="25"/>
  <c r="Q133" i="25"/>
  <c r="Q197" i="25"/>
  <c r="X197" i="25"/>
  <c r="Y253" i="25"/>
  <c r="R253" i="25"/>
  <c r="S253" i="25" s="1"/>
  <c r="R77" i="25"/>
  <c r="S77" i="25" s="1"/>
  <c r="Y77" i="25"/>
  <c r="X169" i="25"/>
  <c r="Q169" i="25"/>
  <c r="X17" i="25"/>
  <c r="Q17" i="25"/>
  <c r="X39" i="25"/>
  <c r="Q39" i="25"/>
  <c r="R93" i="25"/>
  <c r="S93" i="25" s="1"/>
  <c r="Y93" i="25"/>
  <c r="Q145" i="25"/>
  <c r="X145" i="25"/>
  <c r="Q209" i="25"/>
  <c r="X209" i="25"/>
  <c r="Q28" i="25"/>
  <c r="X28" i="25"/>
  <c r="X42" i="25"/>
  <c r="Q42" i="25"/>
  <c r="Y57" i="25"/>
  <c r="R57" i="25"/>
  <c r="S57" i="25" s="1"/>
  <c r="R20" i="25"/>
  <c r="S20" i="25" s="1"/>
  <c r="Y20" i="25"/>
  <c r="Y28" i="25"/>
  <c r="R28" i="25"/>
  <c r="S28" i="25" s="1"/>
  <c r="X37" i="25"/>
  <c r="Q37" i="25"/>
  <c r="R51" i="25"/>
  <c r="S51" i="25" s="1"/>
  <c r="Y51" i="25"/>
  <c r="X60" i="25"/>
  <c r="Q60" i="25"/>
  <c r="X69" i="25"/>
  <c r="Q69" i="25"/>
  <c r="R83" i="25"/>
  <c r="S83" i="25" s="1"/>
  <c r="Y83" i="25"/>
  <c r="X92" i="25"/>
  <c r="Q92" i="25"/>
  <c r="Q101" i="25"/>
  <c r="X101" i="25"/>
  <c r="R115" i="25"/>
  <c r="S115" i="25" s="1"/>
  <c r="Y115" i="25"/>
  <c r="Y127" i="25"/>
  <c r="R127" i="25"/>
  <c r="S127" i="25" s="1"/>
  <c r="R143" i="25"/>
  <c r="S143" i="25" s="1"/>
  <c r="Y143" i="25"/>
  <c r="Y159" i="25"/>
  <c r="R159" i="25"/>
  <c r="S159" i="25" s="1"/>
  <c r="Y175" i="25"/>
  <c r="R175" i="25"/>
  <c r="S175" i="25" s="1"/>
  <c r="R191" i="25"/>
  <c r="S191" i="25" s="1"/>
  <c r="Y191" i="25"/>
  <c r="Y207" i="25"/>
  <c r="R207" i="25"/>
  <c r="S207" i="25" s="1"/>
  <c r="X239" i="25"/>
  <c r="Q239" i="25"/>
  <c r="X297" i="25"/>
  <c r="Q297" i="25"/>
  <c r="Y47" i="25"/>
  <c r="R47" i="25"/>
  <c r="S47" i="25" s="1"/>
  <c r="X56" i="25"/>
  <c r="Q56" i="25"/>
  <c r="X65" i="25"/>
  <c r="Q65" i="25"/>
  <c r="R79" i="25"/>
  <c r="S79" i="25" s="1"/>
  <c r="Y79" i="25"/>
  <c r="Q88" i="25"/>
  <c r="X88" i="25"/>
  <c r="X97" i="25"/>
  <c r="Q97" i="25"/>
  <c r="Y111" i="25"/>
  <c r="R111" i="25"/>
  <c r="S111" i="25" s="1"/>
  <c r="R121" i="25"/>
  <c r="S121" i="25" s="1"/>
  <c r="Y121" i="25"/>
  <c r="Y137" i="25"/>
  <c r="R137" i="25"/>
  <c r="S137" i="25" s="1"/>
  <c r="R153" i="25"/>
  <c r="S153" i="25" s="1"/>
  <c r="Y153" i="25"/>
  <c r="Y169" i="25"/>
  <c r="R169" i="25"/>
  <c r="S169" i="25" s="1"/>
  <c r="Y185" i="25"/>
  <c r="R185" i="25"/>
  <c r="S185" i="25" s="1"/>
  <c r="R201" i="25"/>
  <c r="S201" i="25" s="1"/>
  <c r="Y201" i="25"/>
  <c r="Y217" i="25"/>
  <c r="R217" i="25"/>
  <c r="S217" i="25" s="1"/>
  <c r="Y256" i="25"/>
  <c r="R256" i="25"/>
  <c r="S256" i="25" s="1"/>
  <c r="Q50" i="25"/>
  <c r="X50" i="25"/>
  <c r="X66" i="25"/>
  <c r="Q66" i="25"/>
  <c r="X75" i="25"/>
  <c r="Q75" i="25"/>
  <c r="Y89" i="25"/>
  <c r="R89" i="25"/>
  <c r="S89" i="25" s="1"/>
  <c r="X98" i="25"/>
  <c r="Q98" i="25"/>
  <c r="X107" i="25"/>
  <c r="Q107" i="25"/>
  <c r="X123" i="25"/>
  <c r="Q123" i="25"/>
  <c r="X139" i="25"/>
  <c r="Q139" i="25"/>
  <c r="X155" i="25"/>
  <c r="Q155" i="25"/>
  <c r="Q171" i="25"/>
  <c r="X171" i="25"/>
  <c r="Q187" i="25"/>
  <c r="X187" i="25"/>
  <c r="X203" i="25"/>
  <c r="Q203" i="25"/>
  <c r="Q219" i="25"/>
  <c r="X219" i="25"/>
  <c r="Y237" i="25"/>
  <c r="R237" i="25"/>
  <c r="S237" i="25" s="1"/>
  <c r="R327" i="25"/>
  <c r="S327" i="25" s="1"/>
  <c r="Y327" i="25"/>
  <c r="R36" i="25"/>
  <c r="S36" i="25" s="1"/>
  <c r="Y36" i="25"/>
  <c r="R44" i="25"/>
  <c r="S44" i="25" s="1"/>
  <c r="Y44" i="25"/>
  <c r="Y52" i="25"/>
  <c r="R52" i="25"/>
  <c r="S52" i="25" s="1"/>
  <c r="R60" i="25"/>
  <c r="S60" i="25" s="1"/>
  <c r="Y60" i="25"/>
  <c r="R68" i="25"/>
  <c r="S68" i="25" s="1"/>
  <c r="Y68" i="25"/>
  <c r="Y76" i="25"/>
  <c r="R76" i="25"/>
  <c r="S76" i="25" s="1"/>
  <c r="Y84" i="25"/>
  <c r="R84" i="25"/>
  <c r="S84" i="25" s="1"/>
  <c r="Y92" i="25"/>
  <c r="R92" i="25"/>
  <c r="S92" i="25" s="1"/>
  <c r="Y100" i="25"/>
  <c r="R100" i="25"/>
  <c r="S100" i="25" s="1"/>
  <c r="R108" i="25"/>
  <c r="S108" i="25" s="1"/>
  <c r="Y108" i="25"/>
  <c r="Y116" i="25"/>
  <c r="R116" i="25"/>
  <c r="S116" i="25" s="1"/>
  <c r="Y124" i="25"/>
  <c r="R124" i="25"/>
  <c r="S124" i="25" s="1"/>
  <c r="Y132" i="25"/>
  <c r="R132" i="25"/>
  <c r="S132" i="25" s="1"/>
  <c r="R140" i="25"/>
  <c r="S140" i="25" s="1"/>
  <c r="Y140" i="25"/>
  <c r="Y148" i="25"/>
  <c r="R148" i="25"/>
  <c r="S148" i="25" s="1"/>
  <c r="R156" i="25"/>
  <c r="S156" i="25" s="1"/>
  <c r="Y156" i="25"/>
  <c r="R164" i="25"/>
  <c r="S164" i="25" s="1"/>
  <c r="Y164" i="25"/>
  <c r="R172" i="25"/>
  <c r="S172" i="25" s="1"/>
  <c r="Y172" i="25"/>
  <c r="Y180" i="25"/>
  <c r="R180" i="25"/>
  <c r="S180" i="25" s="1"/>
  <c r="Y188" i="25"/>
  <c r="R188" i="25"/>
  <c r="S188" i="25" s="1"/>
  <c r="Y196" i="25"/>
  <c r="R196" i="25"/>
  <c r="S196" i="25" s="1"/>
  <c r="R204" i="25"/>
  <c r="S204" i="25" s="1"/>
  <c r="Y204" i="25"/>
  <c r="R212" i="25"/>
  <c r="S212" i="25" s="1"/>
  <c r="Y212" i="25"/>
  <c r="Y220" i="25"/>
  <c r="R220" i="25"/>
  <c r="S220" i="25" s="1"/>
  <c r="X229" i="25"/>
  <c r="Q229" i="25"/>
  <c r="Y238" i="25"/>
  <c r="R238" i="25"/>
  <c r="S238" i="25" s="1"/>
  <c r="Y251" i="25"/>
  <c r="R251" i="25"/>
  <c r="S251" i="25" s="1"/>
  <c r="X261" i="25"/>
  <c r="Q261" i="25"/>
  <c r="Y287" i="25"/>
  <c r="R287" i="25"/>
  <c r="S287" i="25" s="1"/>
  <c r="X320" i="25"/>
  <c r="Q320" i="25"/>
  <c r="Y225" i="25"/>
  <c r="R225" i="25"/>
  <c r="S225" i="25" s="1"/>
  <c r="Y234" i="25"/>
  <c r="R234" i="25"/>
  <c r="S234" i="25" s="1"/>
  <c r="Y247" i="25"/>
  <c r="R247" i="25"/>
  <c r="S247" i="25" s="1"/>
  <c r="Q257" i="25"/>
  <c r="X257" i="25"/>
  <c r="Y276" i="25"/>
  <c r="R276" i="25"/>
  <c r="S276" i="25" s="1"/>
  <c r="Y335" i="25"/>
  <c r="R335" i="25"/>
  <c r="S335" i="25" s="1"/>
  <c r="Q122" i="25"/>
  <c r="X122" i="25"/>
  <c r="X130" i="25"/>
  <c r="Q130" i="25"/>
  <c r="X138" i="25"/>
  <c r="Q138" i="25"/>
  <c r="X146" i="25"/>
  <c r="Q146" i="25"/>
  <c r="Q154" i="25"/>
  <c r="X154" i="25"/>
  <c r="X162" i="25"/>
  <c r="Q162" i="25"/>
  <c r="X170" i="25"/>
  <c r="Q170" i="25"/>
  <c r="X178" i="25"/>
  <c r="Q178" i="25"/>
  <c r="Q186" i="25"/>
  <c r="X186" i="25"/>
  <c r="X194" i="25"/>
  <c r="Q194" i="25"/>
  <c r="X202" i="25"/>
  <c r="Q202" i="25"/>
  <c r="X210" i="25"/>
  <c r="Q210" i="25"/>
  <c r="Q218" i="25"/>
  <c r="X218" i="25"/>
  <c r="Q227" i="25"/>
  <c r="X227" i="25"/>
  <c r="Y236" i="25"/>
  <c r="R236" i="25"/>
  <c r="S236" i="25" s="1"/>
  <c r="Y249" i="25"/>
  <c r="R249" i="25"/>
  <c r="S249" i="25" s="1"/>
  <c r="Q259" i="25"/>
  <c r="X259" i="25"/>
  <c r="R279" i="25"/>
  <c r="S279" i="25" s="1"/>
  <c r="Y279" i="25"/>
  <c r="X312" i="25"/>
  <c r="Q312" i="25"/>
  <c r="Q226" i="25"/>
  <c r="X226" i="25"/>
  <c r="Q234" i="25"/>
  <c r="X234" i="25"/>
  <c r="Q242" i="25"/>
  <c r="X242" i="25"/>
  <c r="X250" i="25"/>
  <c r="Q250" i="25"/>
  <c r="X258" i="25"/>
  <c r="Q258" i="25"/>
  <c r="X266" i="25"/>
  <c r="Q266" i="25"/>
  <c r="X274" i="25"/>
  <c r="Q274" i="25"/>
  <c r="R285" i="25"/>
  <c r="S285" i="25" s="1"/>
  <c r="Y285" i="25"/>
  <c r="X294" i="25"/>
  <c r="Q294" i="25"/>
  <c r="X303" i="25"/>
  <c r="Q303" i="25"/>
  <c r="R317" i="25"/>
  <c r="S317" i="25" s="1"/>
  <c r="Y317" i="25"/>
  <c r="X326" i="25"/>
  <c r="Q326" i="25"/>
  <c r="X335" i="25"/>
  <c r="Q335" i="25"/>
  <c r="X344" i="25"/>
  <c r="Q344" i="25"/>
  <c r="Q352" i="25"/>
  <c r="X352" i="25"/>
  <c r="X360" i="25"/>
  <c r="Q360" i="25"/>
  <c r="Y393" i="25"/>
  <c r="R393" i="25"/>
  <c r="S393" i="25" s="1"/>
  <c r="X505" i="25"/>
  <c r="Q505" i="25"/>
  <c r="X271" i="25"/>
  <c r="Q271" i="25"/>
  <c r="Y281" i="25"/>
  <c r="R281" i="25"/>
  <c r="S281" i="25" s="1"/>
  <c r="X290" i="25"/>
  <c r="Q290" i="25"/>
  <c r="X299" i="25"/>
  <c r="Q299" i="25"/>
  <c r="Y313" i="25"/>
  <c r="R313" i="25"/>
  <c r="S313" i="25" s="1"/>
  <c r="Q322" i="25"/>
  <c r="X322" i="25"/>
  <c r="X331" i="25"/>
  <c r="Q331" i="25"/>
  <c r="R345" i="25"/>
  <c r="S345" i="25" s="1"/>
  <c r="Y345" i="25"/>
  <c r="Y353" i="25"/>
  <c r="R353" i="25"/>
  <c r="S353" i="25" s="1"/>
  <c r="Y361" i="25"/>
  <c r="R361" i="25"/>
  <c r="S361" i="25" s="1"/>
  <c r="Y377" i="25"/>
  <c r="R377" i="25"/>
  <c r="S377" i="25" s="1"/>
  <c r="Y267" i="25"/>
  <c r="R267" i="25"/>
  <c r="S267" i="25" s="1"/>
  <c r="R275" i="25"/>
  <c r="S275" i="25" s="1"/>
  <c r="Y275" i="25"/>
  <c r="Q285" i="25"/>
  <c r="X285" i="25"/>
  <c r="Y299" i="25"/>
  <c r="R299" i="25"/>
  <c r="S299" i="25" s="1"/>
  <c r="X308" i="25"/>
  <c r="Q308" i="25"/>
  <c r="Q317" i="25"/>
  <c r="X317" i="25"/>
  <c r="Y331" i="25"/>
  <c r="R331" i="25"/>
  <c r="S331" i="25" s="1"/>
  <c r="X340" i="25"/>
  <c r="Q340" i="25"/>
  <c r="X386" i="25"/>
  <c r="Q386" i="25"/>
  <c r="Q349" i="25"/>
  <c r="X349" i="25"/>
  <c r="Q357" i="25"/>
  <c r="X357" i="25"/>
  <c r="X365" i="25"/>
  <c r="Q365" i="25"/>
  <c r="Q373" i="25"/>
  <c r="X373" i="25"/>
  <c r="R383" i="25"/>
  <c r="S383" i="25" s="1"/>
  <c r="Y383" i="25"/>
  <c r="X392" i="25"/>
  <c r="Q392" i="25"/>
  <c r="R420" i="25"/>
  <c r="S420" i="25" s="1"/>
  <c r="Y420" i="25"/>
  <c r="X366" i="25"/>
  <c r="Q366" i="25"/>
  <c r="Q374" i="25"/>
  <c r="X374" i="25"/>
  <c r="R387" i="25"/>
  <c r="S387" i="25" s="1"/>
  <c r="Y387" i="25"/>
  <c r="X396" i="25"/>
  <c r="Q396" i="25"/>
  <c r="Q406" i="25"/>
  <c r="X406" i="25"/>
  <c r="R284" i="25"/>
  <c r="S284" i="25" s="1"/>
  <c r="Y284" i="25"/>
  <c r="R292" i="25"/>
  <c r="S292" i="25" s="1"/>
  <c r="Y292" i="25"/>
  <c r="R300" i="25"/>
  <c r="S300" i="25" s="1"/>
  <c r="Y300" i="25"/>
  <c r="Y308" i="25"/>
  <c r="R308" i="25"/>
  <c r="S308" i="25" s="1"/>
  <c r="Y316" i="25"/>
  <c r="R316" i="25"/>
  <c r="S316" i="25" s="1"/>
  <c r="Y324" i="25"/>
  <c r="R324" i="25"/>
  <c r="S324" i="25" s="1"/>
  <c r="R332" i="25"/>
  <c r="S332" i="25" s="1"/>
  <c r="Y332" i="25"/>
  <c r="Y340" i="25"/>
  <c r="R340" i="25"/>
  <c r="S340" i="25" s="1"/>
  <c r="Y348" i="25"/>
  <c r="R348" i="25"/>
  <c r="S348" i="25" s="1"/>
  <c r="R356" i="25"/>
  <c r="S356" i="25" s="1"/>
  <c r="Y356" i="25"/>
  <c r="Y364" i="25"/>
  <c r="R364" i="25"/>
  <c r="S364" i="25" s="1"/>
  <c r="Y372" i="25"/>
  <c r="R372" i="25"/>
  <c r="S372" i="25" s="1"/>
  <c r="Q382" i="25"/>
  <c r="X382" i="25"/>
  <c r="Q391" i="25"/>
  <c r="X391" i="25"/>
  <c r="Q400" i="25"/>
  <c r="X400" i="25"/>
  <c r="Y458" i="25"/>
  <c r="R458" i="25"/>
  <c r="S458" i="25" s="1"/>
  <c r="Y382" i="25"/>
  <c r="R382" i="25"/>
  <c r="S382" i="25" s="1"/>
  <c r="Y390" i="25"/>
  <c r="R390" i="25"/>
  <c r="S390" i="25" s="1"/>
  <c r="Y398" i="25"/>
  <c r="R398" i="25"/>
  <c r="S398" i="25" s="1"/>
  <c r="R410" i="25"/>
  <c r="S410" i="25" s="1"/>
  <c r="Y410" i="25"/>
  <c r="X419" i="25"/>
  <c r="Q419" i="25"/>
  <c r="R436" i="25"/>
  <c r="S436" i="25" s="1"/>
  <c r="Y436" i="25"/>
  <c r="Q481" i="25"/>
  <c r="X481" i="25"/>
  <c r="Q408" i="25"/>
  <c r="X408" i="25"/>
  <c r="Y422" i="25"/>
  <c r="R422" i="25"/>
  <c r="S422" i="25" s="1"/>
  <c r="R432" i="25"/>
  <c r="S432" i="25" s="1"/>
  <c r="Y432" i="25"/>
  <c r="Q465" i="25"/>
  <c r="X465" i="25"/>
  <c r="Q497" i="25"/>
  <c r="X497" i="25"/>
  <c r="Q402" i="25"/>
  <c r="X402" i="25"/>
  <c r="Y416" i="25"/>
  <c r="R416" i="25"/>
  <c r="S416" i="25" s="1"/>
  <c r="X425" i="25"/>
  <c r="Q425" i="25"/>
  <c r="Y438" i="25"/>
  <c r="R438" i="25"/>
  <c r="S438" i="25" s="1"/>
  <c r="X473" i="25"/>
  <c r="Q473" i="25"/>
  <c r="Y517" i="25"/>
  <c r="R517" i="25"/>
  <c r="S517" i="25" s="1"/>
  <c r="Q436" i="25"/>
  <c r="X436" i="25"/>
  <c r="X444" i="25"/>
  <c r="Q444" i="25"/>
  <c r="Q452" i="25"/>
  <c r="X452" i="25"/>
  <c r="X460" i="25"/>
  <c r="Q460" i="25"/>
  <c r="Q471" i="25"/>
  <c r="X471" i="25"/>
  <c r="Y480" i="25"/>
  <c r="R480" i="25"/>
  <c r="S480" i="25" s="1"/>
  <c r="R514" i="25"/>
  <c r="S514" i="25" s="1"/>
  <c r="Y514" i="25"/>
  <c r="X435" i="25"/>
  <c r="Q435" i="25"/>
  <c r="Q443" i="25"/>
  <c r="X443" i="25"/>
  <c r="X451" i="25"/>
  <c r="Q451" i="25"/>
  <c r="Q459" i="25"/>
  <c r="X459" i="25"/>
  <c r="X467" i="25"/>
  <c r="Q467" i="25"/>
  <c r="Y476" i="25"/>
  <c r="R476" i="25"/>
  <c r="S476" i="25" s="1"/>
  <c r="Q503" i="25"/>
  <c r="X503" i="25"/>
  <c r="R403" i="25"/>
  <c r="S403" i="25" s="1"/>
  <c r="Y403" i="25"/>
  <c r="R411" i="25"/>
  <c r="S411" i="25" s="1"/>
  <c r="Y411" i="25"/>
  <c r="R419" i="25"/>
  <c r="S419" i="25" s="1"/>
  <c r="Y419" i="25"/>
  <c r="Y427" i="25"/>
  <c r="R427" i="25"/>
  <c r="S427" i="25" s="1"/>
  <c r="R435" i="25"/>
  <c r="S435" i="25" s="1"/>
  <c r="Y435" i="25"/>
  <c r="Y443" i="25"/>
  <c r="R443" i="25"/>
  <c r="S443" i="25" s="1"/>
  <c r="R451" i="25"/>
  <c r="S451" i="25" s="1"/>
  <c r="Y451" i="25"/>
  <c r="Y459" i="25"/>
  <c r="R459" i="25"/>
  <c r="S459" i="25" s="1"/>
  <c r="X469" i="25"/>
  <c r="Q469" i="25"/>
  <c r="R478" i="25"/>
  <c r="S478" i="25" s="1"/>
  <c r="Y478" i="25"/>
  <c r="X501" i="25"/>
  <c r="Q501" i="25"/>
  <c r="Y488" i="25"/>
  <c r="R488" i="25"/>
  <c r="S488" i="25" s="1"/>
  <c r="R496" i="25"/>
  <c r="S496" i="25" s="1"/>
  <c r="Y496" i="25"/>
  <c r="Y504" i="25"/>
  <c r="R504" i="25"/>
  <c r="S504" i="25" s="1"/>
  <c r="R512" i="25"/>
  <c r="S512" i="25" s="1"/>
  <c r="Y512" i="25"/>
  <c r="Q522" i="25"/>
  <c r="X522" i="25"/>
  <c r="Y535" i="25"/>
  <c r="R535" i="25"/>
  <c r="S535" i="25" s="1"/>
  <c r="Y489" i="25"/>
  <c r="R489" i="25"/>
  <c r="S489" i="25" s="1"/>
  <c r="R497" i="25"/>
  <c r="S497" i="25" s="1"/>
  <c r="Y497" i="25"/>
  <c r="R505" i="25"/>
  <c r="S505" i="25" s="1"/>
  <c r="Y505" i="25"/>
  <c r="Y516" i="25"/>
  <c r="R516" i="25"/>
  <c r="S516" i="25" s="1"/>
  <c r="Q464" i="25"/>
  <c r="X464" i="25"/>
  <c r="X472" i="25"/>
  <c r="Q472" i="25"/>
  <c r="X480" i="25"/>
  <c r="Q480" i="25"/>
  <c r="X488" i="25"/>
  <c r="Q488" i="25"/>
  <c r="X496" i="25"/>
  <c r="Q496" i="25"/>
  <c r="Q504" i="25"/>
  <c r="X504" i="25"/>
  <c r="X512" i="25"/>
  <c r="Q512" i="25"/>
  <c r="Y521" i="25"/>
  <c r="R521" i="25"/>
  <c r="S521" i="25" s="1"/>
  <c r="X513" i="25"/>
  <c r="Q513" i="25"/>
  <c r="Q521" i="25"/>
  <c r="X521" i="25"/>
  <c r="Y528" i="25"/>
  <c r="R528" i="25"/>
  <c r="S528" i="25" s="1"/>
  <c r="X539" i="25"/>
  <c r="Q539" i="25"/>
  <c r="X524" i="25"/>
  <c r="Q524" i="25"/>
  <c r="R537" i="25"/>
  <c r="S537" i="25" s="1"/>
  <c r="Y537" i="25"/>
  <c r="Y559" i="25"/>
  <c r="R559" i="25"/>
  <c r="S559" i="25" s="1"/>
  <c r="X525" i="25"/>
  <c r="Q525" i="25"/>
  <c r="Y534" i="25"/>
  <c r="R534" i="25"/>
  <c r="S534" i="25" s="1"/>
  <c r="Y542" i="25"/>
  <c r="R542" i="25"/>
  <c r="S542" i="25" s="1"/>
  <c r="Y550" i="25"/>
  <c r="R550" i="25"/>
  <c r="S550" i="25" s="1"/>
  <c r="Y557" i="25"/>
  <c r="R557" i="25"/>
  <c r="S557" i="25" s="1"/>
  <c r="X566" i="25"/>
  <c r="Q566" i="25"/>
  <c r="Y539" i="25"/>
  <c r="R539" i="25"/>
  <c r="S539" i="25" s="1"/>
  <c r="Y547" i="25"/>
  <c r="R547" i="25"/>
  <c r="S547" i="25" s="1"/>
  <c r="R555" i="25"/>
  <c r="S555" i="25" s="1"/>
  <c r="Y555" i="25"/>
  <c r="Q570" i="25"/>
  <c r="X570" i="25"/>
  <c r="X532" i="25"/>
  <c r="Q532" i="25"/>
  <c r="X540" i="25"/>
  <c r="Q540" i="25"/>
  <c r="X548" i="25"/>
  <c r="Q548" i="25"/>
  <c r="X556" i="25"/>
  <c r="Q556" i="25"/>
  <c r="X568" i="25"/>
  <c r="Q568" i="25"/>
  <c r="Y569" i="25"/>
  <c r="R569" i="25"/>
  <c r="S569" i="25" s="1"/>
  <c r="Q578" i="25"/>
  <c r="X578" i="25"/>
  <c r="R566" i="25"/>
  <c r="S566" i="25" s="1"/>
  <c r="Y566" i="25"/>
  <c r="Y574" i="25"/>
  <c r="R574" i="25"/>
  <c r="S574" i="25" s="1"/>
  <c r="Y583" i="25"/>
  <c r="R583" i="25"/>
  <c r="S583" i="25" s="1"/>
  <c r="X559" i="25"/>
  <c r="Q559" i="25"/>
  <c r="Q567" i="25"/>
  <c r="X567" i="25"/>
  <c r="X575" i="25"/>
  <c r="Q575" i="25"/>
  <c r="Y612" i="25"/>
  <c r="R612" i="25"/>
  <c r="S612" i="25" s="1"/>
  <c r="Q583" i="25"/>
  <c r="X583" i="25"/>
  <c r="X591" i="25"/>
  <c r="Q591" i="25"/>
  <c r="X586" i="25"/>
  <c r="Q586" i="25"/>
  <c r="Q593" i="25"/>
  <c r="X593" i="25"/>
  <c r="Y586" i="25"/>
  <c r="R586" i="25"/>
  <c r="S586" i="25" s="1"/>
  <c r="X595" i="25"/>
  <c r="Q595" i="25"/>
  <c r="R593" i="25"/>
  <c r="S593" i="25" s="1"/>
  <c r="Y593" i="25"/>
  <c r="Y601" i="25"/>
  <c r="R601" i="25"/>
  <c r="S601" i="25" s="1"/>
  <c r="Y608" i="25"/>
  <c r="R608" i="25"/>
  <c r="S608" i="25" s="1"/>
  <c r="Y604" i="25"/>
  <c r="R604" i="25"/>
  <c r="S604" i="25" s="1"/>
  <c r="X599" i="25"/>
  <c r="Q599" i="25"/>
  <c r="X608" i="25"/>
  <c r="Q608" i="25"/>
  <c r="X611" i="25"/>
  <c r="Q611" i="25"/>
  <c r="R613" i="25"/>
  <c r="S613" i="25" s="1"/>
  <c r="Y613" i="25"/>
  <c r="Y592" i="17"/>
  <c r="Y516" i="17"/>
  <c r="R524" i="17"/>
  <c r="S524" i="17" s="1"/>
  <c r="Q129" i="17"/>
  <c r="U129" i="17" s="1"/>
  <c r="Q297" i="17"/>
  <c r="U297" i="17" s="1"/>
  <c r="Y138" i="17"/>
  <c r="X36" i="17"/>
  <c r="Q345" i="17"/>
  <c r="U345" i="17" s="1"/>
  <c r="X110" i="17"/>
  <c r="Q263" i="17"/>
  <c r="U263" i="17" s="1"/>
  <c r="Y467" i="17"/>
  <c r="Y45" i="17"/>
  <c r="Y40" i="17"/>
  <c r="X221" i="17"/>
  <c r="Q200" i="17"/>
  <c r="U200" i="17" s="1"/>
  <c r="X151" i="17"/>
  <c r="X209" i="17"/>
  <c r="Q270" i="17"/>
  <c r="U270" i="17" s="1"/>
  <c r="Y217" i="17"/>
  <c r="X435" i="17"/>
  <c r="X350" i="17"/>
  <c r="Y429" i="17"/>
  <c r="X402" i="17"/>
  <c r="Q52" i="17"/>
  <c r="U52" i="17" s="1"/>
  <c r="Q538" i="17"/>
  <c r="U538" i="17" s="1"/>
  <c r="X147" i="17"/>
  <c r="Y482" i="17"/>
  <c r="Y355" i="17"/>
  <c r="Y393" i="17"/>
  <c r="X128" i="17"/>
  <c r="X196" i="17"/>
  <c r="Y306" i="17"/>
  <c r="Q335" i="17"/>
  <c r="U335" i="17" s="1"/>
  <c r="R384" i="17"/>
  <c r="S384" i="17" s="1"/>
  <c r="X138" i="17"/>
  <c r="X217" i="17"/>
  <c r="X572" i="17"/>
  <c r="X43" i="17"/>
  <c r="Y423" i="17"/>
  <c r="X560" i="17"/>
  <c r="Y283" i="17"/>
  <c r="Y19" i="17"/>
  <c r="Q534" i="17"/>
  <c r="U534" i="17" s="1"/>
  <c r="Y362" i="17"/>
  <c r="Y233" i="17"/>
  <c r="X79" i="17"/>
  <c r="X477" i="17"/>
  <c r="X505" i="17"/>
  <c r="X401" i="17"/>
  <c r="Y455" i="17"/>
  <c r="X321" i="17"/>
  <c r="Y224" i="17"/>
  <c r="X423" i="17"/>
  <c r="X364" i="17"/>
  <c r="Y342" i="17"/>
  <c r="X172" i="17"/>
  <c r="Y84" i="17"/>
  <c r="X225" i="17"/>
  <c r="Y434" i="17"/>
  <c r="Y549" i="17"/>
  <c r="X407" i="17"/>
  <c r="X417" i="17"/>
  <c r="Y483" i="17"/>
  <c r="X208" i="17"/>
  <c r="R366" i="17"/>
  <c r="S366" i="17" s="1"/>
  <c r="R602" i="17"/>
  <c r="S602" i="17" s="1"/>
  <c r="R101" i="17"/>
  <c r="S101" i="17" s="1"/>
  <c r="Q597" i="17"/>
  <c r="U597" i="17" s="1"/>
  <c r="R24" i="17"/>
  <c r="S24" i="17" s="1"/>
  <c r="Q58" i="17"/>
  <c r="U58" i="17" s="1"/>
  <c r="R537" i="17"/>
  <c r="S537" i="17" s="1"/>
  <c r="R294" i="17"/>
  <c r="S294" i="17" s="1"/>
  <c r="X323" i="17"/>
  <c r="Y479" i="17"/>
  <c r="Y98" i="17"/>
  <c r="X391" i="17"/>
  <c r="X135" i="17"/>
  <c r="X478" i="17"/>
  <c r="Y433" i="17"/>
  <c r="Y507" i="17"/>
  <c r="X584" i="17"/>
  <c r="X70" i="17"/>
  <c r="Y331" i="17"/>
  <c r="X465" i="17"/>
  <c r="X539" i="17"/>
  <c r="Y200" i="17"/>
  <c r="Y275" i="17"/>
  <c r="X235" i="17"/>
  <c r="X552" i="17"/>
  <c r="X304" i="17"/>
  <c r="X74" i="17"/>
  <c r="X161" i="17"/>
  <c r="Y49" i="17"/>
  <c r="X312" i="17"/>
  <c r="X499" i="17"/>
  <c r="X277" i="17"/>
  <c r="Y565" i="17"/>
  <c r="X56" i="17"/>
  <c r="R115" i="17"/>
  <c r="S115" i="17" s="1"/>
  <c r="R255" i="17"/>
  <c r="S255" i="17" s="1"/>
  <c r="R527" i="17"/>
  <c r="S527" i="17" s="1"/>
  <c r="Q576" i="17"/>
  <c r="U576" i="17" s="1"/>
  <c r="Q93" i="17"/>
  <c r="U93" i="17" s="1"/>
  <c r="Y62" i="17"/>
  <c r="Y488" i="17"/>
  <c r="Y104" i="17"/>
  <c r="X579" i="17"/>
  <c r="X311" i="17"/>
  <c r="Y504" i="17"/>
  <c r="X40" i="17"/>
  <c r="Y518" i="17"/>
  <c r="X140" i="17"/>
  <c r="Y99" i="17"/>
  <c r="X120" i="17"/>
  <c r="Y252" i="17"/>
  <c r="X122" i="17"/>
  <c r="Y25" i="17"/>
  <c r="X371" i="17"/>
  <c r="Y230" i="17"/>
  <c r="X237" i="17"/>
  <c r="X116" i="17"/>
  <c r="Y103" i="17"/>
  <c r="X356" i="17"/>
  <c r="X306" i="17"/>
  <c r="Y178" i="17"/>
  <c r="Y376" i="17"/>
  <c r="Y81" i="17"/>
  <c r="X555" i="17"/>
  <c r="Q219" i="17"/>
  <c r="U219" i="17" s="1"/>
  <c r="R162" i="17"/>
  <c r="S162" i="17" s="1"/>
  <c r="Q485" i="17"/>
  <c r="U485" i="17" s="1"/>
  <c r="R253" i="17"/>
  <c r="S253" i="17" s="1"/>
  <c r="Y295" i="17"/>
  <c r="X283" i="17"/>
  <c r="Y130" i="17"/>
  <c r="Y167" i="17"/>
  <c r="R443" i="17"/>
  <c r="S443" i="17" s="1"/>
  <c r="Y37" i="17"/>
  <c r="X95" i="17"/>
  <c r="X73" i="17"/>
  <c r="X422" i="17"/>
  <c r="Y354" i="17"/>
  <c r="Y431" i="17"/>
  <c r="Q211" i="17"/>
  <c r="U211" i="17" s="1"/>
  <c r="Q458" i="17"/>
  <c r="U458" i="17" s="1"/>
  <c r="R227" i="17"/>
  <c r="S227" i="17" s="1"/>
  <c r="X152" i="17"/>
  <c r="Y156" i="17"/>
  <c r="Y144" i="17"/>
  <c r="X344" i="17"/>
  <c r="X191" i="17"/>
  <c r="Y513" i="17"/>
  <c r="X124" i="17"/>
  <c r="Y561" i="17"/>
  <c r="X438" i="17"/>
  <c r="X68" i="17"/>
  <c r="Y302" i="17"/>
  <c r="R35" i="17"/>
  <c r="S35" i="17" s="1"/>
  <c r="R508" i="17"/>
  <c r="S508" i="17" s="1"/>
  <c r="Q484" i="17"/>
  <c r="U484" i="17" s="1"/>
  <c r="X454" i="17"/>
  <c r="X244" i="17"/>
  <c r="X179" i="17"/>
  <c r="Y460" i="17"/>
  <c r="Y169" i="17"/>
  <c r="Y127" i="17"/>
  <c r="X487" i="17"/>
  <c r="Y184" i="17"/>
  <c r="R608" i="17"/>
  <c r="S608" i="17" s="1"/>
  <c r="Q326" i="17"/>
  <c r="U326" i="17" s="1"/>
  <c r="Y57" i="17"/>
  <c r="R57" i="17"/>
  <c r="S57" i="17" s="1"/>
  <c r="Y445" i="17"/>
  <c r="R445" i="17"/>
  <c r="S445" i="17" s="1"/>
  <c r="Q242" i="17"/>
  <c r="U242" i="17" s="1"/>
  <c r="X242" i="17"/>
  <c r="Y80" i="17"/>
  <c r="R80" i="17"/>
  <c r="S80" i="17" s="1"/>
  <c r="R51" i="17"/>
  <c r="S51" i="17" s="1"/>
  <c r="Y51" i="17"/>
  <c r="R237" i="17"/>
  <c r="S237" i="17" s="1"/>
  <c r="Y237" i="17"/>
  <c r="Q567" i="17"/>
  <c r="U567" i="17" s="1"/>
  <c r="X567" i="17"/>
  <c r="Q213" i="17"/>
  <c r="U213" i="17" s="1"/>
  <c r="X213" i="17"/>
  <c r="Y526" i="17"/>
  <c r="R526" i="17"/>
  <c r="S526" i="17" s="1"/>
  <c r="X355" i="17"/>
  <c r="Q355" i="17"/>
  <c r="U355" i="17" s="1"/>
  <c r="X497" i="17"/>
  <c r="Q497" i="17"/>
  <c r="U497" i="17" s="1"/>
  <c r="R315" i="17"/>
  <c r="S315" i="17" s="1"/>
  <c r="Y315" i="17"/>
  <c r="Q500" i="17"/>
  <c r="U500" i="17" s="1"/>
  <c r="X500" i="17"/>
  <c r="Q569" i="17"/>
  <c r="U569" i="17" s="1"/>
  <c r="X569" i="17"/>
  <c r="R236" i="17"/>
  <c r="S236" i="17" s="1"/>
  <c r="Y236" i="17"/>
  <c r="R441" i="17"/>
  <c r="S441" i="17" s="1"/>
  <c r="Y441" i="17"/>
  <c r="X610" i="17"/>
  <c r="Q610" i="17"/>
  <c r="U610" i="17" s="1"/>
  <c r="Q398" i="17"/>
  <c r="U398" i="17" s="1"/>
  <c r="X398" i="17"/>
  <c r="R44" i="17"/>
  <c r="S44" i="17" s="1"/>
  <c r="Y44" i="17"/>
  <c r="R472" i="17"/>
  <c r="S472" i="17" s="1"/>
  <c r="Y472" i="17"/>
  <c r="Y401" i="17"/>
  <c r="R401" i="17"/>
  <c r="S401" i="17" s="1"/>
  <c r="R196" i="17"/>
  <c r="S196" i="17" s="1"/>
  <c r="Y196" i="17"/>
  <c r="R463" i="17"/>
  <c r="S463" i="17" s="1"/>
  <c r="Y463" i="17"/>
  <c r="Q289" i="17"/>
  <c r="U289" i="17" s="1"/>
  <c r="X289" i="17"/>
  <c r="R484" i="17"/>
  <c r="S484" i="17" s="1"/>
  <c r="Y484" i="17"/>
  <c r="Q393" i="17"/>
  <c r="U393" i="17" s="1"/>
  <c r="X393" i="17"/>
  <c r="X503" i="17"/>
  <c r="Q503" i="17"/>
  <c r="U503" i="17" s="1"/>
  <c r="Q86" i="17"/>
  <c r="AD86" i="17" s="1"/>
  <c r="AE86" i="17" s="1"/>
  <c r="X86" i="17"/>
  <c r="X440" i="17"/>
  <c r="Q440" i="17"/>
  <c r="U440" i="17" s="1"/>
  <c r="R466" i="17"/>
  <c r="S466" i="17" s="1"/>
  <c r="Y466" i="17"/>
  <c r="Q348" i="17"/>
  <c r="U348" i="17" s="1"/>
  <c r="X348" i="17"/>
  <c r="R74" i="17"/>
  <c r="S74" i="17" s="1"/>
  <c r="Y74" i="17"/>
  <c r="Q541" i="17"/>
  <c r="U541" i="17" s="1"/>
  <c r="X541" i="17"/>
  <c r="Y235" i="17"/>
  <c r="R235" i="17"/>
  <c r="S235" i="17" s="1"/>
  <c r="X300" i="17"/>
  <c r="Q300" i="17"/>
  <c r="U300" i="17" s="1"/>
  <c r="Q123" i="17"/>
  <c r="U123" i="17" s="1"/>
  <c r="X123" i="17"/>
  <c r="Q314" i="17"/>
  <c r="U314" i="17" s="1"/>
  <c r="X314" i="17"/>
  <c r="X212" i="17"/>
  <c r="Q212" i="17"/>
  <c r="U212" i="17" s="1"/>
  <c r="Q612" i="17"/>
  <c r="U612" i="17" s="1"/>
  <c r="X612" i="17"/>
  <c r="Q381" i="17"/>
  <c r="U381" i="17" s="1"/>
  <c r="X381" i="17"/>
  <c r="X320" i="17"/>
  <c r="Q320" i="17"/>
  <c r="U320" i="17" s="1"/>
  <c r="R269" i="17"/>
  <c r="S269" i="17" s="1"/>
  <c r="Y269" i="17"/>
  <c r="Q494" i="17"/>
  <c r="U494" i="17" s="1"/>
  <c r="X494" i="17"/>
  <c r="Y263" i="17"/>
  <c r="X385" i="17"/>
  <c r="X333" i="17"/>
  <c r="Y298" i="17"/>
  <c r="X535" i="17"/>
  <c r="Y500" i="17"/>
  <c r="R394" i="17"/>
  <c r="S394" i="17" s="1"/>
  <c r="R400" i="17"/>
  <c r="S400" i="17" s="1"/>
  <c r="Q310" i="17"/>
  <c r="U310" i="17" s="1"/>
  <c r="X394" i="17"/>
  <c r="R195" i="17"/>
  <c r="S195" i="17" s="1"/>
  <c r="R328" i="17"/>
  <c r="S328" i="17" s="1"/>
  <c r="X580" i="17"/>
  <c r="X252" i="17"/>
  <c r="Y422" i="17"/>
  <c r="X182" i="17"/>
  <c r="R206" i="17"/>
  <c r="S206" i="17" s="1"/>
  <c r="Y459" i="17"/>
  <c r="Y495" i="17"/>
  <c r="Y164" i="17"/>
  <c r="Y214" i="17"/>
  <c r="Y22" i="17"/>
  <c r="Y21" i="17"/>
  <c r="Y361" i="17"/>
  <c r="X199" i="17"/>
  <c r="X240" i="17"/>
  <c r="X295" i="17"/>
  <c r="X166" i="17"/>
  <c r="X561" i="17"/>
  <c r="Q24" i="17"/>
  <c r="U24" i="17" s="1"/>
  <c r="R572" i="17"/>
  <c r="S572" i="17" s="1"/>
  <c r="R222" i="17"/>
  <c r="S222" i="17" s="1"/>
  <c r="R552" i="17"/>
  <c r="S552" i="17" s="1"/>
  <c r="X315" i="17"/>
  <c r="Q315" i="17"/>
  <c r="U315" i="17" s="1"/>
  <c r="R323" i="17"/>
  <c r="S323" i="17" s="1"/>
  <c r="Y323" i="17"/>
  <c r="Q316" i="17"/>
  <c r="U316" i="17" s="1"/>
  <c r="X316" i="17"/>
  <c r="Q265" i="17"/>
  <c r="U265" i="17" s="1"/>
  <c r="X265" i="17"/>
  <c r="R32" i="17"/>
  <c r="S32" i="17" s="1"/>
  <c r="Y32" i="17"/>
  <c r="Y31" i="17"/>
  <c r="R31" i="17"/>
  <c r="S31" i="17" s="1"/>
  <c r="R135" i="17"/>
  <c r="S135" i="17" s="1"/>
  <c r="Y135" i="17"/>
  <c r="Q443" i="17"/>
  <c r="U443" i="17" s="1"/>
  <c r="X443" i="17"/>
  <c r="R146" i="17"/>
  <c r="S146" i="17" s="1"/>
  <c r="Y146" i="17"/>
  <c r="R314" i="17"/>
  <c r="S314" i="17" s="1"/>
  <c r="Y314" i="17"/>
  <c r="Q268" i="17"/>
  <c r="U268" i="17" s="1"/>
  <c r="X268" i="17"/>
  <c r="X502" i="17"/>
  <c r="Q502" i="17"/>
  <c r="U502" i="17" s="1"/>
  <c r="R93" i="17"/>
  <c r="S93" i="17" s="1"/>
  <c r="Y93" i="17"/>
  <c r="Y281" i="17"/>
  <c r="R281" i="17"/>
  <c r="S281" i="17" s="1"/>
  <c r="Q274" i="17"/>
  <c r="U274" i="17" s="1"/>
  <c r="X274" i="17"/>
  <c r="X573" i="17"/>
  <c r="Q573" i="17"/>
  <c r="U573" i="17" s="1"/>
  <c r="X132" i="17"/>
  <c r="Q132" i="17"/>
  <c r="U132" i="17" s="1"/>
  <c r="R559" i="17"/>
  <c r="S559" i="17" s="1"/>
  <c r="Y559" i="17"/>
  <c r="Q433" i="17"/>
  <c r="U433" i="17" s="1"/>
  <c r="X433" i="17"/>
  <c r="R54" i="17"/>
  <c r="S54" i="17" s="1"/>
  <c r="Y54" i="17"/>
  <c r="Q14" i="17"/>
  <c r="U14" i="17" s="1"/>
  <c r="X14" i="17"/>
  <c r="R345" i="17"/>
  <c r="S345" i="17" s="1"/>
  <c r="Y345" i="17"/>
  <c r="R114" i="17"/>
  <c r="S114" i="17" s="1"/>
  <c r="Y114" i="17"/>
  <c r="R411" i="17"/>
  <c r="S411" i="17" s="1"/>
  <c r="Y411" i="17"/>
  <c r="Y346" i="17"/>
  <c r="R346" i="17"/>
  <c r="S346" i="17" s="1"/>
  <c r="R494" i="17"/>
  <c r="S494" i="17" s="1"/>
  <c r="Y494" i="17"/>
  <c r="X236" i="17"/>
  <c r="Q236" i="17"/>
  <c r="U236" i="17" s="1"/>
  <c r="Y570" i="17"/>
  <c r="R570" i="17"/>
  <c r="S570" i="17" s="1"/>
  <c r="Q174" i="17"/>
  <c r="U174" i="17" s="1"/>
  <c r="X174" i="17"/>
  <c r="R359" i="17"/>
  <c r="S359" i="17" s="1"/>
  <c r="Y359" i="17"/>
  <c r="R102" i="17"/>
  <c r="S102" i="17" s="1"/>
  <c r="Y102" i="17"/>
  <c r="Q15" i="17"/>
  <c r="U15" i="17" s="1"/>
  <c r="X15" i="17"/>
  <c r="R63" i="17"/>
  <c r="S63" i="17" s="1"/>
  <c r="Y63" i="17"/>
  <c r="R250" i="17"/>
  <c r="S250" i="17" s="1"/>
  <c r="Y250" i="17"/>
  <c r="R347" i="17"/>
  <c r="S347" i="17" s="1"/>
  <c r="Y347" i="17"/>
  <c r="R597" i="17"/>
  <c r="S597" i="17" s="1"/>
  <c r="Y597" i="17"/>
  <c r="Q338" i="17"/>
  <c r="U338" i="17" s="1"/>
  <c r="X338" i="17"/>
  <c r="Q204" i="17"/>
  <c r="U204" i="17" s="1"/>
  <c r="X204" i="17"/>
  <c r="R372" i="17"/>
  <c r="S372" i="17" s="1"/>
  <c r="Y372" i="17"/>
  <c r="R512" i="17"/>
  <c r="S512" i="17" s="1"/>
  <c r="Y512" i="17"/>
  <c r="Y490" i="17"/>
  <c r="R490" i="17"/>
  <c r="S490" i="17" s="1"/>
  <c r="R560" i="17"/>
  <c r="S560" i="17" s="1"/>
  <c r="Y560" i="17"/>
  <c r="Q49" i="17"/>
  <c r="U49" i="17" s="1"/>
  <c r="X49" i="17"/>
  <c r="Y453" i="17"/>
  <c r="R453" i="17"/>
  <c r="S453" i="17" s="1"/>
  <c r="R97" i="17"/>
  <c r="S97" i="17" s="1"/>
  <c r="Y97" i="17"/>
  <c r="R344" i="17"/>
  <c r="S344" i="17" s="1"/>
  <c r="Y344" i="17"/>
  <c r="Q234" i="17"/>
  <c r="U234" i="17" s="1"/>
  <c r="X234" i="17"/>
  <c r="R581" i="17"/>
  <c r="S581" i="17" s="1"/>
  <c r="Y581" i="17"/>
  <c r="R189" i="17"/>
  <c r="S189" i="17" s="1"/>
  <c r="Y189" i="17"/>
  <c r="R266" i="17"/>
  <c r="S266" i="17" s="1"/>
  <c r="Y266" i="17"/>
  <c r="Q521" i="17"/>
  <c r="U521" i="17" s="1"/>
  <c r="X521" i="17"/>
  <c r="R497" i="17"/>
  <c r="S497" i="17" s="1"/>
  <c r="Y497" i="17"/>
  <c r="R292" i="17"/>
  <c r="S292" i="17" s="1"/>
  <c r="Y292" i="17"/>
  <c r="Q115" i="17"/>
  <c r="U115" i="17" s="1"/>
  <c r="X115" i="17"/>
  <c r="R75" i="17"/>
  <c r="S75" i="17" s="1"/>
  <c r="Y75" i="17"/>
  <c r="Q167" i="17"/>
  <c r="U167" i="17" s="1"/>
  <c r="X167" i="17"/>
  <c r="Q82" i="17"/>
  <c r="U82" i="17" s="1"/>
  <c r="X82" i="17"/>
  <c r="R335" i="17"/>
  <c r="S335" i="17" s="1"/>
  <c r="Y335" i="17"/>
  <c r="R503" i="17"/>
  <c r="S503" i="17" s="1"/>
  <c r="Y503" i="17"/>
  <c r="Q278" i="17"/>
  <c r="U278" i="17" s="1"/>
  <c r="X278" i="17"/>
  <c r="X352" i="17"/>
  <c r="Q352" i="17"/>
  <c r="U352" i="17" s="1"/>
  <c r="R535" i="17"/>
  <c r="S535" i="17" s="1"/>
  <c r="Y535" i="17"/>
  <c r="Q593" i="17"/>
  <c r="U593" i="17" s="1"/>
  <c r="X593" i="17"/>
  <c r="Q330" i="17"/>
  <c r="U330" i="17" s="1"/>
  <c r="X330" i="17"/>
  <c r="R529" i="17"/>
  <c r="S529" i="17" s="1"/>
  <c r="Y529" i="17"/>
  <c r="Q354" i="17"/>
  <c r="U354" i="17" s="1"/>
  <c r="X354" i="17"/>
  <c r="Y605" i="17"/>
  <c r="R605" i="17"/>
  <c r="S605" i="17" s="1"/>
  <c r="Q290" i="17"/>
  <c r="U290" i="17" s="1"/>
  <c r="X290" i="17"/>
  <c r="R131" i="17"/>
  <c r="S131" i="17" s="1"/>
  <c r="Y131" i="17"/>
  <c r="R26" i="17"/>
  <c r="S26" i="17" s="1"/>
  <c r="Y26" i="17"/>
  <c r="Q35" i="17"/>
  <c r="U35" i="17" s="1"/>
  <c r="X35" i="17"/>
  <c r="Q623" i="17"/>
  <c r="D633" i="17" s="1"/>
  <c r="X623" i="17"/>
  <c r="Q102" i="17"/>
  <c r="U102" i="17" s="1"/>
  <c r="X102" i="17"/>
  <c r="Y415" i="17"/>
  <c r="R415" i="17"/>
  <c r="S415" i="17" s="1"/>
  <c r="Q590" i="17"/>
  <c r="U590" i="17" s="1"/>
  <c r="X590" i="17"/>
  <c r="Q267" i="17"/>
  <c r="U267" i="17" s="1"/>
  <c r="X267" i="17"/>
  <c r="Q190" i="17"/>
  <c r="U190" i="17" s="1"/>
  <c r="X190" i="17"/>
  <c r="R318" i="17"/>
  <c r="S318" i="17" s="1"/>
  <c r="Y318" i="17"/>
  <c r="Q472" i="17"/>
  <c r="U472" i="17" s="1"/>
  <c r="X472" i="17"/>
  <c r="R498" i="17"/>
  <c r="S498" i="17" s="1"/>
  <c r="Y498" i="17"/>
  <c r="Q281" i="17"/>
  <c r="U281" i="17" s="1"/>
  <c r="X281" i="17"/>
  <c r="Q256" i="17"/>
  <c r="U256" i="17" s="1"/>
  <c r="X256" i="17"/>
  <c r="Q410" i="17"/>
  <c r="U410" i="17" s="1"/>
  <c r="X410" i="17"/>
  <c r="R444" i="17"/>
  <c r="S444" i="17" s="1"/>
  <c r="Y444" i="17"/>
  <c r="Q144" i="17"/>
  <c r="U144" i="17" s="1"/>
  <c r="X144" i="17"/>
  <c r="Q130" i="17"/>
  <c r="X130" i="17"/>
  <c r="R305" i="17"/>
  <c r="S305" i="17" s="1"/>
  <c r="Y305" i="17"/>
  <c r="R137" i="17"/>
  <c r="S137" i="17" s="1"/>
  <c r="Y137" i="17"/>
  <c r="R397" i="17"/>
  <c r="S397" i="17" s="1"/>
  <c r="Y397" i="17"/>
  <c r="Y163" i="17"/>
  <c r="R163" i="17"/>
  <c r="S163" i="17" s="1"/>
  <c r="Y34" i="17"/>
  <c r="R34" i="17"/>
  <c r="S34" i="17" s="1"/>
  <c r="R299" i="17"/>
  <c r="S299" i="17" s="1"/>
  <c r="Y299" i="17"/>
  <c r="Q137" i="17"/>
  <c r="U137" i="17" s="1"/>
  <c r="X137" i="17"/>
  <c r="R68" i="17"/>
  <c r="S68" i="17" s="1"/>
  <c r="Y68" i="17"/>
  <c r="Q114" i="17"/>
  <c r="U114" i="17" s="1"/>
  <c r="X114" i="17"/>
  <c r="Q121" i="17"/>
  <c r="U121" i="17" s="1"/>
  <c r="X121" i="17"/>
  <c r="Q455" i="17"/>
  <c r="U455" i="17" s="1"/>
  <c r="X455" i="17"/>
  <c r="R147" i="17"/>
  <c r="S147" i="17" s="1"/>
  <c r="Y147" i="17"/>
  <c r="Q173" i="17"/>
  <c r="U173" i="17" s="1"/>
  <c r="X173" i="17"/>
  <c r="Q159" i="17"/>
  <c r="U159" i="17" s="1"/>
  <c r="X159" i="17"/>
  <c r="Y50" i="17"/>
  <c r="R50" i="17"/>
  <c r="S50" i="17" s="1"/>
  <c r="R517" i="17"/>
  <c r="S517" i="17" s="1"/>
  <c r="Y517" i="17"/>
  <c r="R312" i="17"/>
  <c r="S312" i="17" s="1"/>
  <c r="Y312" i="17"/>
  <c r="R90" i="17"/>
  <c r="S90" i="17" s="1"/>
  <c r="Y90" i="17"/>
  <c r="R219" i="17"/>
  <c r="S219" i="17" s="1"/>
  <c r="Y219" i="17"/>
  <c r="Y264" i="17"/>
  <c r="R264" i="17"/>
  <c r="S264" i="17" s="1"/>
  <c r="R208" i="17"/>
  <c r="S208" i="17" s="1"/>
  <c r="Y208" i="17"/>
  <c r="R334" i="17"/>
  <c r="S334" i="17" s="1"/>
  <c r="Y334" i="17"/>
  <c r="Q90" i="17"/>
  <c r="U90" i="17" s="1"/>
  <c r="X90" i="17"/>
  <c r="Q475" i="17"/>
  <c r="U475" i="17" s="1"/>
  <c r="X475" i="17"/>
  <c r="R546" i="17"/>
  <c r="S546" i="17" s="1"/>
  <c r="Y546" i="17"/>
  <c r="X366" i="17"/>
  <c r="Q366" i="17"/>
  <c r="U366" i="17" s="1"/>
  <c r="R449" i="17"/>
  <c r="S449" i="17" s="1"/>
  <c r="Y449" i="17"/>
  <c r="R244" i="17"/>
  <c r="S244" i="17" s="1"/>
  <c r="Y244" i="17"/>
  <c r="Q517" i="17"/>
  <c r="U517" i="17" s="1"/>
  <c r="X517" i="17"/>
  <c r="R108" i="17"/>
  <c r="S108" i="17" s="1"/>
  <c r="Y108" i="17"/>
  <c r="R116" i="17"/>
  <c r="S116" i="17" s="1"/>
  <c r="Y116" i="17"/>
  <c r="R489" i="17"/>
  <c r="S489" i="17" s="1"/>
  <c r="Y489" i="17"/>
  <c r="R229" i="17"/>
  <c r="S229" i="17" s="1"/>
  <c r="Y229" i="17"/>
  <c r="R380" i="17"/>
  <c r="S380" i="17" s="1"/>
  <c r="Y380" i="17"/>
  <c r="Y276" i="17"/>
  <c r="Y446" i="17"/>
  <c r="Y547" i="17"/>
  <c r="Y418" i="17"/>
  <c r="Y297" i="17"/>
  <c r="X599" i="17"/>
  <c r="Y257" i="17"/>
  <c r="Y577" i="17"/>
  <c r="X585" i="17"/>
  <c r="Y438" i="17"/>
  <c r="X380" i="17"/>
  <c r="R20" i="17"/>
  <c r="S20" i="17" s="1"/>
  <c r="R339" i="17"/>
  <c r="S339" i="17" s="1"/>
  <c r="X45" i="17"/>
  <c r="X387" i="17"/>
  <c r="Y308" i="17"/>
  <c r="Y369" i="17"/>
  <c r="Y607" i="17"/>
  <c r="Y201" i="17"/>
  <c r="Y172" i="17"/>
  <c r="Y419" i="17"/>
  <c r="X233" i="17"/>
  <c r="X389" i="17"/>
  <c r="X38" i="17"/>
  <c r="Y404" i="17"/>
  <c r="X414" i="17"/>
  <c r="Y96" i="17"/>
  <c r="X169" i="17"/>
  <c r="X171" i="17"/>
  <c r="X526" i="17"/>
  <c r="X145" i="17"/>
  <c r="Y485" i="17"/>
  <c r="R480" i="17"/>
  <c r="S480" i="17" s="1"/>
  <c r="R213" i="17"/>
  <c r="S213" i="17" s="1"/>
  <c r="Q488" i="17"/>
  <c r="U488" i="17" s="1"/>
  <c r="Q586" i="17"/>
  <c r="U586" i="17" s="1"/>
  <c r="X586" i="17"/>
  <c r="X301" i="17"/>
  <c r="Q301" i="17"/>
  <c r="U301" i="17" s="1"/>
  <c r="R14" i="17"/>
  <c r="S14" i="17" s="1"/>
  <c r="Y14" i="17"/>
  <c r="Q568" i="17"/>
  <c r="U568" i="17" s="1"/>
  <c r="X568" i="17"/>
  <c r="Q195" i="17"/>
  <c r="U195" i="17" s="1"/>
  <c r="X195" i="17"/>
  <c r="Q528" i="17"/>
  <c r="U528" i="17" s="1"/>
  <c r="X528" i="17"/>
  <c r="Q470" i="17"/>
  <c r="U470" i="17" s="1"/>
  <c r="X470" i="17"/>
  <c r="Q67" i="17"/>
  <c r="U67" i="17" s="1"/>
  <c r="X67" i="17"/>
  <c r="Q463" i="17"/>
  <c r="U463" i="17" s="1"/>
  <c r="X463" i="17"/>
  <c r="Q27" i="17"/>
  <c r="U27" i="17" s="1"/>
  <c r="X27" i="17"/>
  <c r="R209" i="17"/>
  <c r="S209" i="17" s="1"/>
  <c r="Y209" i="17"/>
  <c r="Q224" i="17"/>
  <c r="U224" i="17" s="1"/>
  <c r="X224" i="17"/>
  <c r="R574" i="17"/>
  <c r="S574" i="17" s="1"/>
  <c r="Y574" i="17"/>
  <c r="Q481" i="17"/>
  <c r="U481" i="17" s="1"/>
  <c r="X481" i="17"/>
  <c r="X34" i="17"/>
  <c r="Q34" i="17"/>
  <c r="U34" i="17" s="1"/>
  <c r="Q197" i="17"/>
  <c r="U197" i="17" s="1"/>
  <c r="X197" i="17"/>
  <c r="R239" i="17"/>
  <c r="S239" i="17" s="1"/>
  <c r="Y239" i="17"/>
  <c r="Q415" i="17"/>
  <c r="U415" i="17" s="1"/>
  <c r="X415" i="17"/>
  <c r="X546" i="17"/>
  <c r="Q546" i="17"/>
  <c r="U546" i="17" s="1"/>
  <c r="Q530" i="17"/>
  <c r="U530" i="17" s="1"/>
  <c r="X530" i="17"/>
  <c r="R430" i="17"/>
  <c r="S430" i="17" s="1"/>
  <c r="Y430" i="17"/>
  <c r="R358" i="17"/>
  <c r="S358" i="17" s="1"/>
  <c r="Y358" i="17"/>
  <c r="Q168" i="17"/>
  <c r="U168" i="17" s="1"/>
  <c r="X168" i="17"/>
  <c r="R583" i="17"/>
  <c r="S583" i="17" s="1"/>
  <c r="Y583" i="17"/>
  <c r="Q146" i="17"/>
  <c r="U146" i="17" s="1"/>
  <c r="X146" i="17"/>
  <c r="Q431" i="17"/>
  <c r="U431" i="17" s="1"/>
  <c r="X431" i="17"/>
  <c r="Q588" i="17"/>
  <c r="U588" i="17" s="1"/>
  <c r="X588" i="17"/>
  <c r="R440" i="17"/>
  <c r="S440" i="17" s="1"/>
  <c r="Y440" i="17"/>
  <c r="R388" i="17"/>
  <c r="S388" i="17" s="1"/>
  <c r="Y388" i="17"/>
  <c r="R610" i="17"/>
  <c r="S610" i="17" s="1"/>
  <c r="Y610" i="17"/>
  <c r="R540" i="17"/>
  <c r="S540" i="17" s="1"/>
  <c r="Y540" i="17"/>
  <c r="R215" i="17"/>
  <c r="S215" i="17" s="1"/>
  <c r="Y215" i="17"/>
  <c r="Q37" i="17"/>
  <c r="U37" i="17" s="1"/>
  <c r="X37" i="17"/>
  <c r="X523" i="17"/>
  <c r="Q523" i="17"/>
  <c r="U523" i="17" s="1"/>
  <c r="R85" i="17"/>
  <c r="S85" i="17" s="1"/>
  <c r="Y85" i="17"/>
  <c r="Q72" i="17"/>
  <c r="U72" i="17" s="1"/>
  <c r="X72" i="17"/>
  <c r="R248" i="17"/>
  <c r="S248" i="17" s="1"/>
  <c r="Y248" i="17"/>
  <c r="Q108" i="17"/>
  <c r="U108" i="17" s="1"/>
  <c r="X108" i="17"/>
  <c r="Q29" i="17"/>
  <c r="U29" i="17" s="1"/>
  <c r="X29" i="17"/>
  <c r="Q441" i="17"/>
  <c r="U441" i="17" s="1"/>
  <c r="X441" i="17"/>
  <c r="R550" i="17"/>
  <c r="S550" i="17" s="1"/>
  <c r="Y550" i="17"/>
  <c r="R515" i="17"/>
  <c r="S515" i="17" s="1"/>
  <c r="Y515" i="17"/>
  <c r="Q571" i="17"/>
  <c r="U571" i="17" s="1"/>
  <c r="X571" i="17"/>
  <c r="R126" i="17"/>
  <c r="S126" i="17" s="1"/>
  <c r="Y126" i="17"/>
  <c r="R187" i="17"/>
  <c r="S187" i="17" s="1"/>
  <c r="Y187" i="17"/>
  <c r="Q493" i="17"/>
  <c r="U493" i="17" s="1"/>
  <c r="X493" i="17"/>
  <c r="R121" i="17"/>
  <c r="S121" i="17" s="1"/>
  <c r="Y121" i="17"/>
  <c r="Q403" i="17"/>
  <c r="U403" i="17" s="1"/>
  <c r="X403" i="17"/>
  <c r="R109" i="17"/>
  <c r="S109" i="17" s="1"/>
  <c r="Y109" i="17"/>
  <c r="R52" i="17"/>
  <c r="S52" i="17" s="1"/>
  <c r="Y52" i="17"/>
  <c r="Q232" i="17"/>
  <c r="U232" i="17" s="1"/>
  <c r="X232" i="17"/>
  <c r="R204" i="17"/>
  <c r="S204" i="17" s="1"/>
  <c r="Y204" i="17"/>
  <c r="R309" i="17"/>
  <c r="S309" i="17" s="1"/>
  <c r="Y309" i="17"/>
  <c r="Q482" i="17"/>
  <c r="U482" i="17" s="1"/>
  <c r="X482" i="17"/>
  <c r="Q218" i="17"/>
  <c r="U218" i="17" s="1"/>
  <c r="X218" i="17"/>
  <c r="R586" i="17"/>
  <c r="S586" i="17" s="1"/>
  <c r="Y586" i="17"/>
  <c r="Y72" i="17"/>
  <c r="X279" i="17"/>
  <c r="X343" i="17"/>
  <c r="X604" i="17"/>
  <c r="Y78" i="17"/>
  <c r="X59" i="17"/>
  <c r="Y481" i="17"/>
  <c r="Y88" i="17"/>
  <c r="Y576" i="17"/>
  <c r="X601" i="17"/>
  <c r="Y611" i="17"/>
  <c r="X239" i="17"/>
  <c r="X373" i="17"/>
  <c r="X388" i="17"/>
  <c r="X334" i="17"/>
  <c r="Y492" i="17"/>
  <c r="Y509" i="17"/>
  <c r="X92" i="17"/>
  <c r="X75" i="17"/>
  <c r="X400" i="17"/>
  <c r="X317" i="17"/>
  <c r="X260" i="17"/>
  <c r="R386" i="17"/>
  <c r="S386" i="17" s="1"/>
  <c r="Q162" i="17"/>
  <c r="U162" i="17" s="1"/>
  <c r="Q395" i="17"/>
  <c r="U395" i="17" s="1"/>
  <c r="X395" i="17"/>
  <c r="X529" i="17"/>
  <c r="Q529" i="17"/>
  <c r="U529" i="17" s="1"/>
  <c r="Y226" i="17"/>
  <c r="R226" i="17"/>
  <c r="S226" i="17" s="1"/>
  <c r="R197" i="17"/>
  <c r="S197" i="17" s="1"/>
  <c r="Y197" i="17"/>
  <c r="Q180" i="17"/>
  <c r="U180" i="17" s="1"/>
  <c r="X180" i="17"/>
  <c r="Y348" i="17"/>
  <c r="R348" i="17"/>
  <c r="S348" i="17" s="1"/>
  <c r="Q508" i="17"/>
  <c r="U508" i="17" s="1"/>
  <c r="X508" i="17"/>
  <c r="Q322" i="17"/>
  <c r="U322" i="17" s="1"/>
  <c r="X322" i="17"/>
  <c r="X294" i="17"/>
  <c r="Q294" i="17"/>
  <c r="U294" i="17" s="1"/>
  <c r="X359" i="17"/>
  <c r="Q359" i="17"/>
  <c r="U359" i="17" s="1"/>
  <c r="Y165" i="17"/>
  <c r="R165" i="17"/>
  <c r="S165" i="17" s="1"/>
  <c r="X420" i="17"/>
  <c r="Q420" i="17"/>
  <c r="U420" i="17" s="1"/>
  <c r="Q248" i="17"/>
  <c r="U248" i="17" s="1"/>
  <c r="X248" i="17"/>
  <c r="Q390" i="17"/>
  <c r="U390" i="17" s="1"/>
  <c r="X390" i="17"/>
  <c r="Y176" i="17"/>
  <c r="R176" i="17"/>
  <c r="S176" i="17" s="1"/>
  <c r="Y159" i="17"/>
  <c r="R159" i="17"/>
  <c r="S159" i="17" s="1"/>
  <c r="R133" i="17"/>
  <c r="S133" i="17" s="1"/>
  <c r="Y133" i="17"/>
  <c r="X136" i="17"/>
  <c r="Q136" i="17"/>
  <c r="U136" i="17" s="1"/>
  <c r="X284" i="17"/>
  <c r="Q284" i="17"/>
  <c r="U284" i="17" s="1"/>
  <c r="X358" i="17"/>
  <c r="Q358" i="17"/>
  <c r="U358" i="17" s="1"/>
  <c r="Y541" i="17"/>
  <c r="R541" i="17"/>
  <c r="S541" i="17" s="1"/>
  <c r="X512" i="17"/>
  <c r="Q512" i="17"/>
  <c r="U512" i="17" s="1"/>
  <c r="Y416" i="17"/>
  <c r="R416" i="17"/>
  <c r="S416" i="17" s="1"/>
  <c r="Y313" i="17"/>
  <c r="R313" i="17"/>
  <c r="S313" i="17" s="1"/>
  <c r="Y179" i="17"/>
  <c r="R179" i="17"/>
  <c r="S179" i="17" s="1"/>
  <c r="X100" i="17"/>
  <c r="Q100" i="17"/>
  <c r="U100" i="17" s="1"/>
  <c r="Y105" i="17"/>
  <c r="R105" i="17"/>
  <c r="S105" i="17" s="1"/>
  <c r="R324" i="17"/>
  <c r="S324" i="17" s="1"/>
  <c r="Y324" i="17"/>
  <c r="X498" i="17"/>
  <c r="Q498" i="17"/>
  <c r="U498" i="17" s="1"/>
  <c r="X516" i="17"/>
  <c r="Q516" i="17"/>
  <c r="U516" i="17" s="1"/>
  <c r="Y125" i="17"/>
  <c r="R125" i="17"/>
  <c r="S125" i="17" s="1"/>
  <c r="Y202" i="17"/>
  <c r="R202" i="17"/>
  <c r="S202" i="17" s="1"/>
  <c r="X459" i="17"/>
  <c r="Q459" i="17"/>
  <c r="U459" i="17" s="1"/>
  <c r="Q349" i="17"/>
  <c r="U349" i="17" s="1"/>
  <c r="X349" i="17"/>
  <c r="Q489" i="17"/>
  <c r="U489" i="17" s="1"/>
  <c r="X489" i="17"/>
  <c r="Y604" i="17"/>
  <c r="R604" i="17"/>
  <c r="S604" i="17" s="1"/>
  <c r="Q198" i="17"/>
  <c r="U198" i="17" s="1"/>
  <c r="X198" i="17"/>
  <c r="Q432" i="17"/>
  <c r="U432" i="17" s="1"/>
  <c r="X432" i="17"/>
  <c r="Y506" i="17"/>
  <c r="R506" i="17"/>
  <c r="S506" i="17" s="1"/>
  <c r="Q598" i="17"/>
  <c r="U598" i="17" s="1"/>
  <c r="X598" i="17"/>
  <c r="Q241" i="17"/>
  <c r="U241" i="17" s="1"/>
  <c r="X241" i="17"/>
  <c r="Q506" i="17"/>
  <c r="U506" i="17" s="1"/>
  <c r="X506" i="17"/>
  <c r="X303" i="17"/>
  <c r="Q303" i="17"/>
  <c r="U303" i="17" s="1"/>
  <c r="Y387" i="17"/>
  <c r="R387" i="17"/>
  <c r="S387" i="17" s="1"/>
  <c r="Y185" i="17"/>
  <c r="R185" i="17"/>
  <c r="S185" i="17" s="1"/>
  <c r="Y128" i="17"/>
  <c r="R128" i="17"/>
  <c r="S128" i="17" s="1"/>
  <c r="R351" i="17"/>
  <c r="S351" i="17" s="1"/>
  <c r="Y351" i="17"/>
  <c r="Q575" i="17"/>
  <c r="U575" i="17" s="1"/>
  <c r="X575" i="17"/>
  <c r="Q126" i="17"/>
  <c r="U126" i="17" s="1"/>
  <c r="X126" i="17"/>
  <c r="Q254" i="17"/>
  <c r="U254" i="17" s="1"/>
  <c r="X254" i="17"/>
  <c r="Y392" i="17"/>
  <c r="R392" i="17"/>
  <c r="S392" i="17" s="1"/>
  <c r="X412" i="17"/>
  <c r="Q412" i="17"/>
  <c r="U412" i="17" s="1"/>
  <c r="X258" i="17"/>
  <c r="Q258" i="17"/>
  <c r="U258" i="17" s="1"/>
  <c r="R113" i="17"/>
  <c r="S113" i="17" s="1"/>
  <c r="Y113" i="17"/>
  <c r="Q447" i="17"/>
  <c r="U447" i="17" s="1"/>
  <c r="X447" i="17"/>
  <c r="Q251" i="17"/>
  <c r="U251" i="17" s="1"/>
  <c r="X251" i="17"/>
  <c r="Q551" i="17"/>
  <c r="U551" i="17" s="1"/>
  <c r="X551" i="17"/>
  <c r="Y193" i="17"/>
  <c r="R193" i="17"/>
  <c r="S193" i="17" s="1"/>
  <c r="Y198" i="17"/>
  <c r="R198" i="17"/>
  <c r="S198" i="17" s="1"/>
  <c r="X532" i="17"/>
  <c r="Q532" i="17"/>
  <c r="U532" i="17" s="1"/>
  <c r="X64" i="17"/>
  <c r="Q64" i="17"/>
  <c r="U64" i="17" s="1"/>
  <c r="X97" i="17"/>
  <c r="Q97" i="17"/>
  <c r="U97" i="17" s="1"/>
  <c r="Q155" i="17"/>
  <c r="U155" i="17" s="1"/>
  <c r="X155" i="17"/>
  <c r="X20" i="17"/>
  <c r="Q20" i="17"/>
  <c r="U20" i="17" s="1"/>
  <c r="Y73" i="17"/>
  <c r="R73" i="17"/>
  <c r="S73" i="17" s="1"/>
  <c r="R544" i="17"/>
  <c r="S544" i="17" s="1"/>
  <c r="Y544" i="17"/>
  <c r="Y571" i="17"/>
  <c r="R571" i="17"/>
  <c r="S571" i="17" s="1"/>
  <c r="X246" i="17"/>
  <c r="Q246" i="17"/>
  <c r="U246" i="17" s="1"/>
  <c r="X125" i="17"/>
  <c r="Q125" i="17"/>
  <c r="U125" i="17" s="1"/>
  <c r="R218" i="17"/>
  <c r="S218" i="17" s="1"/>
  <c r="Y218" i="17"/>
  <c r="X515" i="17"/>
  <c r="Q515" i="17"/>
  <c r="U515" i="17" s="1"/>
  <c r="Q540" i="17"/>
  <c r="U540" i="17" s="1"/>
  <c r="X540" i="17"/>
  <c r="R391" i="17"/>
  <c r="S391" i="17" s="1"/>
  <c r="Y391" i="17"/>
  <c r="R71" i="17"/>
  <c r="S71" i="17" s="1"/>
  <c r="Y71" i="17"/>
  <c r="X149" i="17"/>
  <c r="Q149" i="17"/>
  <c r="U149" i="17" s="1"/>
  <c r="R223" i="17"/>
  <c r="S223" i="17" s="1"/>
  <c r="Y223" i="17"/>
  <c r="X187" i="17"/>
  <c r="Q187" i="17"/>
  <c r="U187" i="17" s="1"/>
  <c r="Q549" i="17"/>
  <c r="U549" i="17" s="1"/>
  <c r="X549" i="17"/>
  <c r="R216" i="17"/>
  <c r="S216" i="17" s="1"/>
  <c r="Y216" i="17"/>
  <c r="R194" i="17"/>
  <c r="S194" i="17" s="1"/>
  <c r="Y194" i="17"/>
  <c r="X337" i="17"/>
  <c r="Q337" i="17"/>
  <c r="U337" i="17" s="1"/>
  <c r="Y456" i="17"/>
  <c r="R456" i="17"/>
  <c r="S456" i="17" s="1"/>
  <c r="X341" i="17"/>
  <c r="Q341" i="17"/>
  <c r="U341" i="17" s="1"/>
  <c r="Y539" i="17"/>
  <c r="R539" i="17"/>
  <c r="S539" i="17" s="1"/>
  <c r="Y556" i="17"/>
  <c r="Y424" i="17"/>
  <c r="Y153" i="17"/>
  <c r="X536" i="17"/>
  <c r="Y594" i="17"/>
  <c r="Y307" i="17"/>
  <c r="Y188" i="17"/>
  <c r="Y220" i="17"/>
  <c r="X570" i="17"/>
  <c r="Y585" i="17"/>
  <c r="X396" i="17"/>
  <c r="X386" i="17"/>
  <c r="X272" i="17"/>
  <c r="Y548" i="17"/>
  <c r="Y280" i="17"/>
  <c r="X603" i="17"/>
  <c r="Y191" i="17"/>
  <c r="X495" i="17"/>
  <c r="Q50" i="17"/>
  <c r="U50" i="17" s="1"/>
  <c r="Q186" i="17"/>
  <c r="U186" i="17" s="1"/>
  <c r="R69" i="17"/>
  <c r="S69" i="17" s="1"/>
  <c r="Q94" i="17"/>
  <c r="U94" i="17" s="1"/>
  <c r="R301" i="17"/>
  <c r="S301" i="17" s="1"/>
  <c r="Q542" i="17"/>
  <c r="U542" i="17" s="1"/>
  <c r="Y186" i="17"/>
  <c r="R186" i="17"/>
  <c r="S186" i="17" s="1"/>
  <c r="R154" i="17"/>
  <c r="S154" i="17" s="1"/>
  <c r="Y154" i="17"/>
  <c r="Q464" i="17"/>
  <c r="U464" i="17" s="1"/>
  <c r="X464" i="17"/>
  <c r="Y468" i="17"/>
  <c r="R468" i="17"/>
  <c r="S468" i="17" s="1"/>
  <c r="Y145" i="17"/>
  <c r="R145" i="17"/>
  <c r="S145" i="17" s="1"/>
  <c r="R291" i="17"/>
  <c r="S291" i="17" s="1"/>
  <c r="Y291" i="17"/>
  <c r="Q331" i="17"/>
  <c r="U331" i="17" s="1"/>
  <c r="X331" i="17"/>
  <c r="Q324" i="17"/>
  <c r="U324" i="17" s="1"/>
  <c r="X324" i="17"/>
  <c r="Y341" i="17"/>
  <c r="X429" i="17"/>
  <c r="Y338" i="17"/>
  <c r="X379" i="17"/>
  <c r="X98" i="17"/>
  <c r="Q63" i="17"/>
  <c r="U63" i="17" s="1"/>
  <c r="Q23" i="17"/>
  <c r="U23" i="17" s="1"/>
  <c r="R180" i="17"/>
  <c r="S180" i="17" s="1"/>
  <c r="Q563" i="17"/>
  <c r="U563" i="17" s="1"/>
  <c r="R60" i="17"/>
  <c r="S60" i="17" s="1"/>
  <c r="Q600" i="17"/>
  <c r="U600" i="17" s="1"/>
  <c r="X51" i="17"/>
  <c r="Q51" i="17"/>
  <c r="U51" i="17" s="1"/>
  <c r="R452" i="17"/>
  <c r="S452" i="17" s="1"/>
  <c r="Y452" i="17"/>
  <c r="Y520" i="17"/>
  <c r="R520" i="17"/>
  <c r="S520" i="17" s="1"/>
  <c r="R303" i="17"/>
  <c r="S303" i="17" s="1"/>
  <c r="Y303" i="17"/>
  <c r="R377" i="17"/>
  <c r="S377" i="17" s="1"/>
  <c r="Y377" i="17"/>
  <c r="R475" i="17"/>
  <c r="S475" i="17" s="1"/>
  <c r="Y475" i="17"/>
  <c r="R410" i="17"/>
  <c r="S410" i="17" s="1"/>
  <c r="Y410" i="17"/>
  <c r="X293" i="17"/>
  <c r="Q293" i="17"/>
  <c r="AD292" i="17" s="1"/>
  <c r="AE292" i="17" s="1"/>
  <c r="R525" i="17"/>
  <c r="S525" i="17" s="1"/>
  <c r="Y525" i="17"/>
  <c r="R251" i="17"/>
  <c r="S251" i="17" s="1"/>
  <c r="Y251" i="17"/>
  <c r="R461" i="17"/>
  <c r="S461" i="17" s="1"/>
  <c r="Y461" i="17"/>
  <c r="Q360" i="17"/>
  <c r="U360" i="17" s="1"/>
  <c r="X360" i="17"/>
  <c r="Q118" i="17"/>
  <c r="U118" i="17" s="1"/>
  <c r="X118" i="17"/>
  <c r="Q413" i="17"/>
  <c r="U413" i="17" s="1"/>
  <c r="X413" i="17"/>
  <c r="R47" i="17"/>
  <c r="S47" i="17" s="1"/>
  <c r="Y47" i="17"/>
  <c r="R140" i="17"/>
  <c r="S140" i="17" s="1"/>
  <c r="Y140" i="17"/>
  <c r="R271" i="17"/>
  <c r="S271" i="17" s="1"/>
  <c r="Y271" i="17"/>
  <c r="R282" i="17"/>
  <c r="S282" i="17" s="1"/>
  <c r="Y282" i="17"/>
  <c r="R245" i="17"/>
  <c r="S245" i="17" s="1"/>
  <c r="Y245" i="17"/>
  <c r="Y442" i="17"/>
  <c r="R442" i="17"/>
  <c r="S442" i="17" s="1"/>
  <c r="Q105" i="17"/>
  <c r="U105" i="17" s="1"/>
  <c r="X105" i="17"/>
  <c r="X608" i="17"/>
  <c r="Q608" i="17"/>
  <c r="U608" i="17" s="1"/>
  <c r="R190" i="17"/>
  <c r="S190" i="17" s="1"/>
  <c r="Y190" i="17"/>
  <c r="X205" i="17"/>
  <c r="Q205" i="17"/>
  <c r="U205" i="17" s="1"/>
  <c r="Y428" i="17"/>
  <c r="R428" i="17"/>
  <c r="S428" i="17" s="1"/>
  <c r="X565" i="17"/>
  <c r="Q565" i="17"/>
  <c r="U565" i="17" s="1"/>
  <c r="X89" i="17"/>
  <c r="Q89" i="17"/>
  <c r="U89" i="17" s="1"/>
  <c r="X185" i="17"/>
  <c r="Q185" i="17"/>
  <c r="U185" i="17" s="1"/>
  <c r="Q474" i="17"/>
  <c r="U474" i="17" s="1"/>
  <c r="X474" i="17"/>
  <c r="X554" i="17"/>
  <c r="Q554" i="17"/>
  <c r="U554" i="17" s="1"/>
  <c r="X33" i="17"/>
  <c r="Q33" i="17"/>
  <c r="U33" i="17" s="1"/>
  <c r="X626" i="17"/>
  <c r="Q626" i="17"/>
  <c r="D636" i="17" s="1"/>
  <c r="Q559" i="17"/>
  <c r="U559" i="17" s="1"/>
  <c r="X559" i="17"/>
  <c r="R622" i="17"/>
  <c r="S622" i="17" s="1"/>
  <c r="Y622" i="17"/>
  <c r="Y432" i="17"/>
  <c r="R432" i="17"/>
  <c r="S432" i="17" s="1"/>
  <c r="Q259" i="17"/>
  <c r="U259" i="17" s="1"/>
  <c r="X259" i="17"/>
  <c r="Q30" i="17"/>
  <c r="U30" i="17" s="1"/>
  <c r="X30" i="17"/>
  <c r="R363" i="17"/>
  <c r="S363" i="17" s="1"/>
  <c r="Y363" i="17"/>
  <c r="Y349" i="17"/>
  <c r="Y265" i="17"/>
  <c r="Y427" i="17"/>
  <c r="Y234" i="17"/>
  <c r="X607" i="17"/>
  <c r="Y296" i="17"/>
  <c r="Y17" i="17"/>
  <c r="X383" i="17"/>
  <c r="Y203" i="17"/>
  <c r="Q76" i="17"/>
  <c r="U76" i="17" s="1"/>
  <c r="R398" i="17"/>
  <c r="S398" i="17" s="1"/>
  <c r="Q139" i="17"/>
  <c r="U139" i="17" s="1"/>
  <c r="R284" i="17"/>
  <c r="S284" i="17" s="1"/>
  <c r="R390" i="17"/>
  <c r="S390" i="17" s="1"/>
  <c r="X308" i="17"/>
  <c r="Q308" i="17"/>
  <c r="U308" i="17" s="1"/>
  <c r="Q223" i="17"/>
  <c r="U223" i="17" s="1"/>
  <c r="X223" i="17"/>
  <c r="X564" i="17"/>
  <c r="Q564" i="17"/>
  <c r="U564" i="17" s="1"/>
  <c r="Q409" i="17"/>
  <c r="U409" i="17" s="1"/>
  <c r="X409" i="17"/>
  <c r="Y132" i="17"/>
  <c r="R132" i="17"/>
  <c r="S132" i="17" s="1"/>
  <c r="R319" i="17"/>
  <c r="S319" i="17" s="1"/>
  <c r="Y319" i="17"/>
  <c r="R557" i="17"/>
  <c r="S557" i="17" s="1"/>
  <c r="Y557" i="17"/>
  <c r="R246" i="17"/>
  <c r="S246" i="17" s="1"/>
  <c r="Y246" i="17"/>
  <c r="Y61" i="17"/>
  <c r="R61" i="17"/>
  <c r="S61" i="17" s="1"/>
  <c r="Y158" i="17"/>
  <c r="R158" i="17"/>
  <c r="S158" i="17" s="1"/>
  <c r="X39" i="17"/>
  <c r="X442" i="17"/>
  <c r="Y493" i="17"/>
  <c r="X437" i="17"/>
  <c r="Y595" i="17"/>
  <c r="X468" i="17"/>
  <c r="Y613" i="17"/>
  <c r="X299" i="17"/>
  <c r="X483" i="17"/>
  <c r="X578" i="17"/>
  <c r="Y117" i="17"/>
  <c r="Y399" i="17"/>
  <c r="Q25" i="17"/>
  <c r="U25" i="17" s="1"/>
  <c r="R270" i="17"/>
  <c r="S270" i="17" s="1"/>
  <c r="R110" i="17"/>
  <c r="S110" i="17" s="1"/>
  <c r="R277" i="17"/>
  <c r="S277" i="17" s="1"/>
  <c r="Q405" i="17"/>
  <c r="U405" i="17" s="1"/>
  <c r="R536" i="17"/>
  <c r="S536" i="17" s="1"/>
  <c r="R350" i="17"/>
  <c r="S350" i="17" s="1"/>
  <c r="Y599" i="17"/>
  <c r="X229" i="17"/>
  <c r="Y542" i="17"/>
  <c r="X282" i="17"/>
  <c r="X466" i="17"/>
  <c r="Y437" i="17"/>
  <c r="X424" i="17"/>
  <c r="X613" i="17"/>
  <c r="Y590" i="17"/>
  <c r="X203" i="17"/>
  <c r="X416" i="17"/>
  <c r="R333" i="17"/>
  <c r="S333" i="17" s="1"/>
  <c r="X490" i="17"/>
  <c r="X57" i="17"/>
  <c r="Q57" i="17"/>
  <c r="U57" i="17" s="1"/>
  <c r="Y579" i="17"/>
  <c r="R579" i="17"/>
  <c r="S579" i="17" s="1"/>
  <c r="X148" i="17"/>
  <c r="Q148" i="17"/>
  <c r="U148" i="17" s="1"/>
  <c r="R274" i="17"/>
  <c r="S274" i="17" s="1"/>
  <c r="Y274" i="17"/>
  <c r="R531" i="17"/>
  <c r="S531" i="17" s="1"/>
  <c r="Y531" i="17"/>
  <c r="X46" i="17"/>
  <c r="Q46" i="17"/>
  <c r="U46" i="17" s="1"/>
  <c r="Q522" i="17"/>
  <c r="U522" i="17" s="1"/>
  <c r="X522" i="17"/>
  <c r="R210" i="17"/>
  <c r="S210" i="17" s="1"/>
  <c r="Y210" i="17"/>
  <c r="R591" i="17"/>
  <c r="S591" i="17" s="1"/>
  <c r="Y591" i="17"/>
  <c r="Y413" i="17"/>
  <c r="R413" i="17"/>
  <c r="S413" i="17" s="1"/>
  <c r="Y42" i="17"/>
  <c r="R42" i="17"/>
  <c r="S42" i="17" s="1"/>
  <c r="R221" i="17"/>
  <c r="S221" i="17" s="1"/>
  <c r="Y221" i="17"/>
  <c r="Q480" i="17"/>
  <c r="U480" i="17" s="1"/>
  <c r="X480" i="17"/>
  <c r="X545" i="17"/>
  <c r="Q545" i="17"/>
  <c r="U545" i="17" s="1"/>
  <c r="X553" i="17"/>
  <c r="Q553" i="17"/>
  <c r="U553" i="17" s="1"/>
  <c r="X264" i="17"/>
  <c r="Q264" i="17"/>
  <c r="U264" i="17" s="1"/>
  <c r="Y243" i="17"/>
  <c r="R243" i="17"/>
  <c r="S243" i="17" s="1"/>
  <c r="Q80" i="17"/>
  <c r="U80" i="17" s="1"/>
  <c r="X80" i="17"/>
  <c r="R357" i="17"/>
  <c r="S357" i="17" s="1"/>
  <c r="Y357" i="17"/>
  <c r="Y403" i="17"/>
  <c r="R403" i="17"/>
  <c r="S403" i="17" s="1"/>
  <c r="R365" i="17"/>
  <c r="S365" i="17" s="1"/>
  <c r="Y365" i="17"/>
  <c r="Q84" i="17"/>
  <c r="U84" i="17" s="1"/>
  <c r="X84" i="17"/>
  <c r="R469" i="17"/>
  <c r="S469" i="17" s="1"/>
  <c r="Y469" i="17"/>
  <c r="Y474" i="17"/>
  <c r="R474" i="17"/>
  <c r="S474" i="17" s="1"/>
  <c r="R486" i="17"/>
  <c r="S486" i="17" s="1"/>
  <c r="Y486" i="17"/>
  <c r="R207" i="17"/>
  <c r="S207" i="17" s="1"/>
  <c r="Y207" i="17"/>
  <c r="R79" i="17"/>
  <c r="S79" i="17" s="1"/>
  <c r="Y79" i="17"/>
  <c r="Q479" i="17"/>
  <c r="U479" i="17" s="1"/>
  <c r="X479" i="17"/>
  <c r="Q178" i="17"/>
  <c r="U178" i="17" s="1"/>
  <c r="X178" i="17"/>
  <c r="Y566" i="17"/>
  <c r="R566" i="17"/>
  <c r="S566" i="17" s="1"/>
  <c r="X13" i="17"/>
  <c r="X71" i="17"/>
  <c r="Y92" i="17"/>
  <c r="X507" i="17"/>
  <c r="X87" i="17"/>
  <c r="Y247" i="17"/>
  <c r="X231" i="17"/>
  <c r="Y408" i="17"/>
  <c r="X446" i="17"/>
  <c r="X206" i="17"/>
  <c r="Y450" i="17"/>
  <c r="Y278" i="17"/>
  <c r="Y268" i="17"/>
  <c r="Y83" i="17"/>
  <c r="X421" i="17"/>
  <c r="X280" i="17"/>
  <c r="Y211" i="17"/>
  <c r="Y373" i="17"/>
  <c r="Y18" i="17"/>
  <c r="X156" i="17"/>
  <c r="X220" i="17"/>
  <c r="X62" i="17"/>
  <c r="Y340" i="17"/>
  <c r="Y232" i="17"/>
  <c r="Y267" i="17"/>
  <c r="X107" i="17"/>
  <c r="Y543" i="17"/>
  <c r="X457" i="17"/>
  <c r="X384" i="17"/>
  <c r="Y606" i="17"/>
  <c r="X557" i="17"/>
  <c r="Q347" i="17"/>
  <c r="U347" i="17" s="1"/>
  <c r="R58" i="17"/>
  <c r="S58" i="17" s="1"/>
  <c r="R327" i="17"/>
  <c r="S327" i="17" s="1"/>
  <c r="Q543" i="17"/>
  <c r="U543" i="17" s="1"/>
  <c r="Q31" i="17"/>
  <c r="U31" i="17" s="1"/>
  <c r="R136" i="17"/>
  <c r="S136" i="17" s="1"/>
  <c r="Q287" i="17"/>
  <c r="U287" i="17" s="1"/>
  <c r="Q262" i="17"/>
  <c r="U262" i="17" s="1"/>
  <c r="Q372" i="17"/>
  <c r="U372" i="17" s="1"/>
  <c r="Q430" i="17"/>
  <c r="U430" i="17" s="1"/>
  <c r="R502" i="17"/>
  <c r="S502" i="17" s="1"/>
  <c r="Q249" i="17"/>
  <c r="U249" i="17" s="1"/>
  <c r="R82" i="17"/>
  <c r="S82" i="17" s="1"/>
  <c r="Q399" i="17"/>
  <c r="U399" i="17" s="1"/>
  <c r="R521" i="17"/>
  <c r="S521" i="17" s="1"/>
  <c r="Q157" i="17"/>
  <c r="U157" i="17" s="1"/>
  <c r="Q160" i="17"/>
  <c r="U160" i="17" s="1"/>
  <c r="R567" i="17"/>
  <c r="S567" i="17" s="1"/>
  <c r="Y70" i="17"/>
  <c r="R70" i="17"/>
  <c r="S70" i="17" s="1"/>
  <c r="R505" i="17"/>
  <c r="S505" i="17" s="1"/>
  <c r="Y505" i="17"/>
  <c r="X606" i="17"/>
  <c r="Q606" i="17"/>
  <c r="U606" i="17" s="1"/>
  <c r="Y205" i="17"/>
  <c r="R205" i="17"/>
  <c r="S205" i="17" s="1"/>
  <c r="Q582" i="17"/>
  <c r="U582" i="17" s="1"/>
  <c r="X582" i="17"/>
  <c r="Q596" i="17"/>
  <c r="U596" i="17" s="1"/>
  <c r="X596" i="17"/>
  <c r="Q496" i="17"/>
  <c r="U496" i="17" s="1"/>
  <c r="X496" i="17"/>
  <c r="X558" i="17"/>
  <c r="Q558" i="17"/>
  <c r="U558" i="17" s="1"/>
  <c r="Q66" i="17"/>
  <c r="U66" i="17" s="1"/>
  <c r="X66" i="17"/>
  <c r="Y573" i="17"/>
  <c r="R573" i="17"/>
  <c r="S573" i="17" s="1"/>
  <c r="Q226" i="17"/>
  <c r="U226" i="17" s="1"/>
  <c r="X226" i="17"/>
  <c r="Y249" i="17"/>
  <c r="R249" i="17"/>
  <c r="S249" i="17" s="1"/>
  <c r="R256" i="17"/>
  <c r="S256" i="17" s="1"/>
  <c r="Y256" i="17"/>
  <c r="X524" i="17"/>
  <c r="Q524" i="17"/>
  <c r="U524" i="17" s="1"/>
  <c r="X375" i="17"/>
  <c r="Q375" i="17"/>
  <c r="U375" i="17" s="1"/>
  <c r="Y119" i="17"/>
  <c r="R119" i="17"/>
  <c r="S119" i="17" s="1"/>
  <c r="Q275" i="17"/>
  <c r="U275" i="17" s="1"/>
  <c r="X275" i="17"/>
  <c r="Q143" i="17"/>
  <c r="U143" i="17" s="1"/>
  <c r="X143" i="17"/>
  <c r="Y94" i="17"/>
  <c r="R94" i="17"/>
  <c r="S94" i="17" s="1"/>
  <c r="X192" i="17"/>
  <c r="Q192" i="17"/>
  <c r="U192" i="17" s="1"/>
  <c r="R112" i="17"/>
  <c r="S112" i="17" s="1"/>
  <c r="Y112" i="17"/>
  <c r="Y28" i="17"/>
  <c r="X238" i="17"/>
  <c r="Y300" i="17"/>
  <c r="X357" i="17"/>
  <c r="X452" i="17"/>
  <c r="Y364" i="17"/>
  <c r="X77" i="17"/>
  <c r="Y473" i="17"/>
  <c r="Y409" i="17"/>
  <c r="Y29" i="17"/>
  <c r="X514" i="17"/>
  <c r="Y368" i="17"/>
  <c r="Y343" i="17"/>
  <c r="Y170" i="17"/>
  <c r="Y141" i="17"/>
  <c r="Y589" i="17"/>
  <c r="Y286" i="17"/>
  <c r="X397" i="17"/>
  <c r="Y258" i="17"/>
  <c r="X16" i="17"/>
  <c r="Y568" i="17"/>
  <c r="Y383" i="17"/>
  <c r="X589" i="17"/>
  <c r="X583" i="17"/>
  <c r="Q48" i="17"/>
  <c r="U48" i="17" s="1"/>
  <c r="Q202" i="17"/>
  <c r="U202" i="17" s="1"/>
  <c r="Q428" i="17"/>
  <c r="U428" i="17" s="1"/>
  <c r="Q243" i="17"/>
  <c r="U243" i="17" s="1"/>
  <c r="R464" i="17"/>
  <c r="S464" i="17" s="1"/>
  <c r="R321" i="17"/>
  <c r="S321" i="17" s="1"/>
  <c r="Q544" i="17"/>
  <c r="U544" i="17" s="1"/>
  <c r="R379" i="17"/>
  <c r="S379" i="17" s="1"/>
  <c r="R470" i="17"/>
  <c r="S470" i="17" s="1"/>
  <c r="R477" i="17"/>
  <c r="S477" i="17" s="1"/>
  <c r="R181" i="17"/>
  <c r="S181" i="17" s="1"/>
  <c r="R496" i="17"/>
  <c r="S496" i="17" s="1"/>
  <c r="R538" i="17"/>
  <c r="S538" i="17" s="1"/>
  <c r="Y330" i="17"/>
  <c r="R330" i="17"/>
  <c r="S330" i="17" s="1"/>
  <c r="Y462" i="17"/>
  <c r="R462" i="17"/>
  <c r="S462" i="17" s="1"/>
  <c r="R396" i="17"/>
  <c r="S396" i="17" s="1"/>
  <c r="Y396" i="17"/>
  <c r="X462" i="17"/>
  <c r="Q462" i="17"/>
  <c r="U462" i="17" s="1"/>
  <c r="Q448" i="17"/>
  <c r="U448" i="17" s="1"/>
  <c r="X448" i="17"/>
  <c r="Y231" i="17"/>
  <c r="R231" i="17"/>
  <c r="S231" i="17" s="1"/>
  <c r="Q581" i="17"/>
  <c r="U581" i="17" s="1"/>
  <c r="X581" i="17"/>
  <c r="Y41" i="17"/>
  <c r="R41" i="17"/>
  <c r="S41" i="17" s="1"/>
  <c r="X450" i="17"/>
  <c r="Q450" i="17"/>
  <c r="U450" i="17" s="1"/>
  <c r="Q227" i="17"/>
  <c r="U227" i="17" s="1"/>
  <c r="X227" i="17"/>
  <c r="R173" i="17"/>
  <c r="S173" i="17" s="1"/>
  <c r="Y173" i="17"/>
  <c r="Q353" i="17"/>
  <c r="U353" i="17" s="1"/>
  <c r="X353" i="17"/>
  <c r="X436" i="17"/>
  <c r="Q436" i="17"/>
  <c r="U436" i="17" s="1"/>
  <c r="X142" i="17"/>
  <c r="Q142" i="17"/>
  <c r="U142" i="17" s="1"/>
  <c r="Q622" i="17"/>
  <c r="D632" i="17" s="1"/>
  <c r="X622" i="17"/>
  <c r="Y36" i="17"/>
  <c r="R36" i="17"/>
  <c r="S36" i="17" s="1"/>
  <c r="X370" i="17"/>
  <c r="Q370" i="17"/>
  <c r="U370" i="17" s="1"/>
  <c r="Y86" i="17"/>
  <c r="R86" i="17"/>
  <c r="S86" i="17" s="1"/>
  <c r="X527" i="17"/>
  <c r="Q527" i="17"/>
  <c r="U527" i="17" s="1"/>
  <c r="Y352" i="17"/>
  <c r="R352" i="17"/>
  <c r="S352" i="17" s="1"/>
  <c r="R254" i="17"/>
  <c r="S254" i="17" s="1"/>
  <c r="Y254" i="17"/>
  <c r="Y511" i="17"/>
  <c r="R511" i="17"/>
  <c r="S511" i="17" s="1"/>
  <c r="X346" i="17"/>
  <c r="Q346" i="17"/>
  <c r="U346" i="17" s="1"/>
  <c r="Q509" i="17"/>
  <c r="U509" i="17" s="1"/>
  <c r="X509" i="17"/>
  <c r="Y238" i="17"/>
  <c r="R238" i="17"/>
  <c r="S238" i="17" s="1"/>
  <c r="Y33" i="17"/>
  <c r="R33" i="17"/>
  <c r="S33" i="17" s="1"/>
  <c r="Y405" i="17"/>
  <c r="R405" i="17"/>
  <c r="S405" i="17" s="1"/>
  <c r="Y289" i="17"/>
  <c r="R289" i="17"/>
  <c r="S289" i="17" s="1"/>
  <c r="Y160" i="17"/>
  <c r="R160" i="17"/>
  <c r="S160" i="17" s="1"/>
  <c r="X96" i="17"/>
  <c r="Q96" i="17"/>
  <c r="U96" i="17" s="1"/>
  <c r="R65" i="17"/>
  <c r="S65" i="17" s="1"/>
  <c r="Y65" i="17"/>
  <c r="Y15" i="17"/>
  <c r="R15" i="17"/>
  <c r="S15" i="17" s="1"/>
  <c r="X594" i="17"/>
  <c r="X266" i="17"/>
  <c r="X434" i="17"/>
  <c r="X183" i="17"/>
  <c r="Y118" i="17"/>
  <c r="Y199" i="17"/>
  <c r="X562" i="17"/>
  <c r="X298" i="17"/>
  <c r="Y555" i="17"/>
  <c r="Y575" i="17"/>
  <c r="X361" i="17"/>
  <c r="X53" i="17"/>
  <c r="Y48" i="17"/>
  <c r="Y414" i="17"/>
  <c r="X22" i="17"/>
  <c r="Y59" i="17"/>
  <c r="X99" i="17"/>
  <c r="Y134" i="17"/>
  <c r="X501" i="17"/>
  <c r="Y407" i="17"/>
  <c r="Y55" i="17"/>
  <c r="X367" i="17"/>
  <c r="X177" i="17"/>
  <c r="X188" i="17"/>
  <c r="X406" i="17"/>
  <c r="Y564" i="17"/>
  <c r="X318" i="17"/>
  <c r="X69" i="17"/>
  <c r="X158" i="17"/>
  <c r="X518" i="17"/>
  <c r="X253" i="17"/>
  <c r="X288" i="17"/>
  <c r="X207" i="17"/>
  <c r="X113" i="17"/>
  <c r="X134" i="17"/>
  <c r="X520" i="17"/>
  <c r="Y177" i="17"/>
  <c r="X194" i="17"/>
  <c r="R161" i="17"/>
  <c r="S161" i="17" s="1"/>
  <c r="R273" i="17"/>
  <c r="S273" i="17" s="1"/>
  <c r="Q165" i="17"/>
  <c r="U165" i="17" s="1"/>
  <c r="R242" i="17"/>
  <c r="S242" i="17" s="1"/>
  <c r="R123" i="17"/>
  <c r="S123" i="17" s="1"/>
  <c r="Q445" i="17"/>
  <c r="U445" i="17" s="1"/>
  <c r="Q609" i="17"/>
  <c r="U609" i="17" s="1"/>
  <c r="Q193" i="17"/>
  <c r="U193" i="17" s="1"/>
  <c r="Q456" i="17"/>
  <c r="U456" i="17" s="1"/>
  <c r="Q587" i="17"/>
  <c r="U587" i="17" s="1"/>
  <c r="Q88" i="17"/>
  <c r="U88" i="17" s="1"/>
  <c r="R124" i="17"/>
  <c r="S124" i="17" s="1"/>
  <c r="R425" i="17"/>
  <c r="S425" i="17" s="1"/>
  <c r="R580" i="17"/>
  <c r="S580" i="17" s="1"/>
  <c r="R325" i="17"/>
  <c r="S325" i="17" s="1"/>
  <c r="Q28" i="17"/>
  <c r="U28" i="17" s="1"/>
  <c r="X28" i="17"/>
  <c r="Q104" i="17"/>
  <c r="U104" i="17" s="1"/>
  <c r="X104" i="17"/>
  <c r="Y304" i="17"/>
  <c r="R304" i="17"/>
  <c r="S304" i="17" s="1"/>
  <c r="Y360" i="17"/>
  <c r="R360" i="17"/>
  <c r="S360" i="17" s="1"/>
  <c r="Q378" i="17"/>
  <c r="U378" i="17" s="1"/>
  <c r="X378" i="17"/>
  <c r="Q103" i="17"/>
  <c r="U103" i="17" s="1"/>
  <c r="X103" i="17"/>
  <c r="R95" i="17"/>
  <c r="S95" i="17" s="1"/>
  <c r="Y95" i="17"/>
  <c r="X131" i="17"/>
  <c r="Q131" i="17"/>
  <c r="U131" i="17" s="1"/>
  <c r="R175" i="17"/>
  <c r="S175" i="17" s="1"/>
  <c r="Y175" i="17"/>
  <c r="X453" i="17"/>
  <c r="Q453" i="17"/>
  <c r="U453" i="17" s="1"/>
  <c r="Q404" i="17"/>
  <c r="U404" i="17" s="1"/>
  <c r="X404" i="17"/>
  <c r="R448" i="17"/>
  <c r="S448" i="17" s="1"/>
  <c r="Y448" i="17"/>
  <c r="R553" i="17"/>
  <c r="S553" i="17" s="1"/>
  <c r="Y553" i="17"/>
  <c r="R371" i="17"/>
  <c r="S371" i="17" s="1"/>
  <c r="Y371" i="17"/>
  <c r="X332" i="17"/>
  <c r="Q332" i="17"/>
  <c r="U332" i="17" s="1"/>
  <c r="R420" i="17"/>
  <c r="S420" i="17" s="1"/>
  <c r="Y420" i="17"/>
  <c r="Y514" i="17"/>
  <c r="R514" i="17"/>
  <c r="S514" i="17" s="1"/>
  <c r="R23" i="17"/>
  <c r="S23" i="17" s="1"/>
  <c r="Y23" i="17"/>
  <c r="Y143" i="17"/>
  <c r="R143" i="17"/>
  <c r="S143" i="17" s="1"/>
  <c r="R385" i="17"/>
  <c r="S385" i="17" s="1"/>
  <c r="Y385" i="17"/>
  <c r="Q451" i="17"/>
  <c r="U451" i="17" s="1"/>
  <c r="X451" i="17"/>
  <c r="Q276" i="17"/>
  <c r="U276" i="17" s="1"/>
  <c r="X276" i="17"/>
  <c r="Q342" i="17"/>
  <c r="U342" i="17" s="1"/>
  <c r="X342" i="17"/>
  <c r="Y533" i="17"/>
  <c r="R533" i="17"/>
  <c r="S533" i="17" s="1"/>
  <c r="R530" i="17"/>
  <c r="S530" i="17" s="1"/>
  <c r="Y530" i="17"/>
  <c r="Q305" i="17"/>
  <c r="U305" i="17" s="1"/>
  <c r="X305" i="17"/>
  <c r="Q328" i="17"/>
  <c r="U328" i="17" s="1"/>
  <c r="X328" i="17"/>
  <c r="Y64" i="17"/>
  <c r="R64" i="17"/>
  <c r="S64" i="17" s="1"/>
  <c r="R148" i="17"/>
  <c r="S148" i="17" s="1"/>
  <c r="Y148" i="17"/>
  <c r="R510" i="17"/>
  <c r="S510" i="17" s="1"/>
  <c r="Y510" i="17"/>
  <c r="X245" i="17"/>
  <c r="Q245" i="17"/>
  <c r="U245" i="17" s="1"/>
  <c r="X486" i="17"/>
  <c r="Q486" i="17"/>
  <c r="U486" i="17" s="1"/>
  <c r="Q556" i="17"/>
  <c r="U556" i="17" s="1"/>
  <c r="X556" i="17"/>
  <c r="Q519" i="17"/>
  <c r="U519" i="17" s="1"/>
  <c r="X519" i="17"/>
  <c r="X273" i="17"/>
  <c r="Q273" i="17"/>
  <c r="U273" i="17" s="1"/>
  <c r="Y336" i="17"/>
  <c r="R336" i="17"/>
  <c r="S336" i="17" s="1"/>
  <c r="R476" i="17"/>
  <c r="S476" i="17" s="1"/>
  <c r="Y476" i="17"/>
  <c r="Y626" i="17"/>
  <c r="R626" i="17"/>
  <c r="S626" i="17" s="1"/>
  <c r="R588" i="17"/>
  <c r="S588" i="17" s="1"/>
  <c r="Y588" i="17"/>
  <c r="R534" i="17"/>
  <c r="S534" i="17" s="1"/>
  <c r="Y534" i="17"/>
  <c r="Q510" i="17"/>
  <c r="U510" i="17" s="1"/>
  <c r="X510" i="17"/>
  <c r="Q382" i="17"/>
  <c r="U382" i="17" s="1"/>
  <c r="X382" i="17"/>
  <c r="R356" i="17"/>
  <c r="S356" i="17" s="1"/>
  <c r="Y356" i="17"/>
  <c r="Q228" i="17"/>
  <c r="U228" i="17" s="1"/>
  <c r="X228" i="17"/>
  <c r="Y478" i="17"/>
  <c r="R478" i="17"/>
  <c r="S478" i="17" s="1"/>
  <c r="Q170" i="17"/>
  <c r="U170" i="17" s="1"/>
  <c r="X170" i="17"/>
  <c r="R395" i="17"/>
  <c r="S395" i="17" s="1"/>
  <c r="Y395" i="17"/>
  <c r="Q547" i="17"/>
  <c r="U547" i="17" s="1"/>
  <c r="X547" i="17"/>
  <c r="R465" i="17"/>
  <c r="S465" i="17" s="1"/>
  <c r="Y465" i="17"/>
  <c r="Q106" i="17"/>
  <c r="U106" i="17" s="1"/>
  <c r="X106" i="17"/>
  <c r="Y593" i="17"/>
  <c r="R593" i="17"/>
  <c r="S593" i="17" s="1"/>
  <c r="R326" i="17"/>
  <c r="S326" i="17" s="1"/>
  <c r="Y326" i="17"/>
  <c r="Q176" i="17"/>
  <c r="U176" i="17" s="1"/>
  <c r="X176" i="17"/>
  <c r="R584" i="17"/>
  <c r="S584" i="17" s="1"/>
  <c r="Y584" i="17"/>
  <c r="Q296" i="17"/>
  <c r="U296" i="17" s="1"/>
  <c r="X296" i="17"/>
  <c r="X444" i="17"/>
  <c r="Q444" i="17"/>
  <c r="U444" i="17" s="1"/>
  <c r="X511" i="17"/>
  <c r="Q511" i="17"/>
  <c r="U511" i="17" s="1"/>
  <c r="R600" i="17"/>
  <c r="S600" i="17" s="1"/>
  <c r="Y600" i="17"/>
  <c r="R106" i="17"/>
  <c r="S106" i="17" s="1"/>
  <c r="Y106" i="17"/>
  <c r="Q54" i="17"/>
  <c r="U54" i="17" s="1"/>
  <c r="X54" i="17"/>
  <c r="Q61" i="17"/>
  <c r="U61" i="17" s="1"/>
  <c r="X61" i="17"/>
  <c r="Y447" i="17"/>
  <c r="R447" i="17"/>
  <c r="S447" i="17" s="1"/>
  <c r="X376" i="17"/>
  <c r="Q376" i="17"/>
  <c r="U376" i="17" s="1"/>
  <c r="X504" i="17"/>
  <c r="Q504" i="17"/>
  <c r="U504" i="17" s="1"/>
  <c r="R528" i="17"/>
  <c r="S528" i="17" s="1"/>
  <c r="Y528" i="17"/>
  <c r="Y582" i="17"/>
  <c r="R582" i="17"/>
  <c r="S582" i="17" s="1"/>
  <c r="X285" i="17"/>
  <c r="Q285" i="17"/>
  <c r="U285" i="17" s="1"/>
  <c r="X476" i="17"/>
  <c r="Q476" i="17"/>
  <c r="U476" i="17" s="1"/>
  <c r="Y435" i="17"/>
  <c r="R435" i="17"/>
  <c r="S435" i="17" s="1"/>
  <c r="Q117" i="17"/>
  <c r="AD116" i="17" s="1"/>
  <c r="AE116" i="17" s="1"/>
  <c r="X117" i="17"/>
  <c r="Y569" i="17"/>
  <c r="R569" i="17"/>
  <c r="S569" i="17" s="1"/>
  <c r="Y139" i="17"/>
  <c r="R139" i="17"/>
  <c r="S139" i="17" s="1"/>
  <c r="X60" i="17"/>
  <c r="Q60" i="17"/>
  <c r="U60" i="17" s="1"/>
  <c r="Q85" i="17"/>
  <c r="U85" i="17" s="1"/>
  <c r="X85" i="17"/>
  <c r="R76" i="17"/>
  <c r="S76" i="17" s="1"/>
  <c r="Y76" i="17"/>
  <c r="X17" i="17"/>
  <c r="Q17" i="17"/>
  <c r="U17" i="17" s="1"/>
  <c r="Y100" i="17"/>
  <c r="R100" i="17"/>
  <c r="S100" i="17" s="1"/>
  <c r="Y491" i="17"/>
  <c r="Y30" i="17"/>
  <c r="Y337" i="17"/>
  <c r="Y53" i="17"/>
  <c r="X201" i="17"/>
  <c r="X473" i="17"/>
  <c r="X133" i="17"/>
  <c r="Y27" i="17"/>
  <c r="X111" i="17"/>
  <c r="X309" i="17"/>
  <c r="X184" i="17"/>
  <c r="X83" i="17"/>
  <c r="X32" i="17"/>
  <c r="Y225" i="17"/>
  <c r="Y609" i="17"/>
  <c r="X150" i="17"/>
  <c r="X154" i="17"/>
  <c r="X340" i="17"/>
  <c r="Y412" i="17"/>
  <c r="Y285" i="17"/>
  <c r="Y89" i="17"/>
  <c r="Y598" i="17"/>
  <c r="Y120" i="17"/>
  <c r="Y374" i="17"/>
  <c r="X592" i="17"/>
  <c r="X112" i="17"/>
  <c r="Y320" i="17"/>
  <c r="X319" i="17"/>
  <c r="Y458" i="17"/>
  <c r="X255" i="17"/>
  <c r="Y150" i="17"/>
  <c r="Y241" i="17"/>
  <c r="Y532" i="17"/>
  <c r="Y381" i="17"/>
  <c r="Y322" i="17"/>
  <c r="R402" i="17"/>
  <c r="S402" i="17" s="1"/>
  <c r="R212" i="17"/>
  <c r="S212" i="17" s="1"/>
  <c r="Q210" i="17"/>
  <c r="U210" i="17" s="1"/>
  <c r="Q461" i="17"/>
  <c r="U461" i="17" s="1"/>
  <c r="R375" i="17"/>
  <c r="S375" i="17" s="1"/>
  <c r="R353" i="17"/>
  <c r="S353" i="17" s="1"/>
  <c r="Q216" i="17"/>
  <c r="U216" i="17" s="1"/>
  <c r="Q419" i="17"/>
  <c r="U419" i="17" s="1"/>
  <c r="R91" i="17"/>
  <c r="S91" i="17" s="1"/>
  <c r="Q119" i="17"/>
  <c r="U119" i="17" s="1"/>
  <c r="R290" i="17"/>
  <c r="S290" i="17" s="1"/>
  <c r="R168" i="17"/>
  <c r="S168" i="17" s="1"/>
  <c r="Q247" i="17"/>
  <c r="U247" i="17" s="1"/>
  <c r="R38" i="17"/>
  <c r="S38" i="17" s="1"/>
  <c r="R311" i="17"/>
  <c r="S311" i="17" s="1"/>
  <c r="R562" i="17"/>
  <c r="S562" i="17" s="1"/>
  <c r="R487" i="17"/>
  <c r="S487" i="17" s="1"/>
  <c r="R262" i="17"/>
  <c r="S262" i="17" s="1"/>
  <c r="Q141" i="17"/>
  <c r="U141" i="17" s="1"/>
  <c r="Q449" i="17"/>
  <c r="U449" i="17" s="1"/>
  <c r="X439" i="17"/>
  <c r="Y417" i="17"/>
  <c r="Y522" i="17"/>
  <c r="X302" i="17"/>
  <c r="X492" i="17"/>
  <c r="X291" i="17"/>
  <c r="Y39" i="17"/>
  <c r="Y519" i="17"/>
  <c r="X78" i="17"/>
  <c r="Y596" i="17"/>
  <c r="X533" i="17"/>
  <c r="Y317" i="17"/>
  <c r="Y501" i="17"/>
  <c r="X351" i="17"/>
  <c r="X325" i="17"/>
  <c r="X215" i="17"/>
  <c r="Q602" i="17"/>
  <c r="U602" i="17" s="1"/>
  <c r="Q19" i="17"/>
  <c r="U19" i="17" s="1"/>
  <c r="R287" i="17"/>
  <c r="S287" i="17" s="1"/>
  <c r="R612" i="17"/>
  <c r="S612" i="17" s="1"/>
  <c r="R587" i="17"/>
  <c r="S587" i="17" s="1"/>
  <c r="R293" i="17"/>
  <c r="S293" i="17" s="1"/>
  <c r="Q313" i="17"/>
  <c r="U313" i="17" s="1"/>
  <c r="R558" i="17"/>
  <c r="S558" i="17" s="1"/>
  <c r="R13" i="17"/>
  <c r="S13" i="17" s="1"/>
  <c r="Q127" i="17"/>
  <c r="U127" i="17" s="1"/>
  <c r="R240" i="17"/>
  <c r="S240" i="17" s="1"/>
  <c r="R183" i="17"/>
  <c r="S183" i="17" s="1"/>
  <c r="Q222" i="17"/>
  <c r="U222" i="17" s="1"/>
  <c r="Q339" i="17"/>
  <c r="U339" i="17" s="1"/>
  <c r="R554" i="17"/>
  <c r="S554" i="17" s="1"/>
  <c r="Q377" i="17"/>
  <c r="U377" i="17" s="1"/>
  <c r="Q611" i="17"/>
  <c r="U611" i="17" s="1"/>
  <c r="R122" i="17"/>
  <c r="S122" i="17" s="1"/>
  <c r="Q365" i="17"/>
  <c r="U365" i="17" s="1"/>
  <c r="Q257" i="17"/>
  <c r="U257" i="17" s="1"/>
  <c r="Y272" i="17"/>
  <c r="X491" i="17"/>
  <c r="Y523" i="17"/>
  <c r="X329" i="17"/>
  <c r="X418" i="17"/>
  <c r="Y603" i="17"/>
  <c r="Y499" i="17"/>
  <c r="Y545" i="17"/>
  <c r="Y439" i="17"/>
  <c r="Y389" i="17"/>
  <c r="X18" i="17"/>
  <c r="X374" i="17"/>
  <c r="Y157" i="17"/>
  <c r="Y66" i="17"/>
  <c r="X392" i="17"/>
  <c r="Y261" i="17"/>
  <c r="X230" i="17"/>
  <c r="X426" i="17"/>
  <c r="R378" i="17"/>
  <c r="S378" i="17" s="1"/>
  <c r="R142" i="17"/>
  <c r="S142" i="17" s="1"/>
  <c r="R129" i="17"/>
  <c r="S129" i="17" s="1"/>
  <c r="Q550" i="17"/>
  <c r="U550" i="17" s="1"/>
  <c r="R149" i="17"/>
  <c r="S149" i="17" s="1"/>
  <c r="R260" i="17"/>
  <c r="S260" i="17" s="1"/>
  <c r="R288" i="17"/>
  <c r="S288" i="17" s="1"/>
  <c r="R111" i="17"/>
  <c r="S111" i="17" s="1"/>
  <c r="Q269" i="17"/>
  <c r="U269" i="17" s="1"/>
  <c r="R16" i="17"/>
  <c r="S16" i="17" s="1"/>
  <c r="Q109" i="17"/>
  <c r="U109" i="17" s="1"/>
  <c r="Q425" i="17"/>
  <c r="U425" i="17" s="1"/>
  <c r="Y623" i="17"/>
  <c r="X327" i="17"/>
  <c r="Y436" i="17"/>
  <c r="Y601" i="17"/>
  <c r="Y228" i="17"/>
  <c r="X21" i="17"/>
  <c r="X47" i="17"/>
  <c r="X595" i="17"/>
  <c r="X408" i="17"/>
  <c r="Y107" i="17"/>
  <c r="Y43" i="17"/>
  <c r="Y166" i="17"/>
  <c r="Y451" i="17"/>
  <c r="Y578" i="17"/>
  <c r="X250" i="17"/>
  <c r="Y316" i="17"/>
  <c r="X101" i="17"/>
  <c r="X42" i="17"/>
  <c r="X175" i="17"/>
  <c r="Y454" i="17"/>
  <c r="Y151" i="17"/>
  <c r="X411" i="17"/>
  <c r="X91" i="17"/>
  <c r="X531" i="17"/>
  <c r="X41" i="17"/>
  <c r="X513" i="17"/>
  <c r="X271" i="17"/>
  <c r="X548" i="17"/>
  <c r="X362" i="17"/>
  <c r="Y382" i="17"/>
  <c r="Y551" i="17"/>
  <c r="Y155" i="17"/>
  <c r="Y421" i="17"/>
  <c r="Q44" i="17"/>
  <c r="U44" i="17" s="1"/>
  <c r="R192" i="17"/>
  <c r="S192" i="17" s="1"/>
  <c r="R563" i="17"/>
  <c r="S563" i="17" s="1"/>
  <c r="R426" i="17"/>
  <c r="S426" i="17" s="1"/>
  <c r="R174" i="17"/>
  <c r="S174" i="17" s="1"/>
  <c r="Q181" i="17"/>
  <c r="U181" i="17" s="1"/>
  <c r="Q467" i="17"/>
  <c r="U467" i="17" s="1"/>
  <c r="Q55" i="17"/>
  <c r="U55" i="17" s="1"/>
  <c r="Q65" i="17"/>
  <c r="U65" i="17" s="1"/>
  <c r="Q525" i="17"/>
  <c r="U525" i="17" s="1"/>
  <c r="Q336" i="17"/>
  <c r="U336" i="17" s="1"/>
  <c r="Y46" i="17"/>
  <c r="Y259" i="17"/>
  <c r="X537" i="17"/>
  <c r="Y56" i="17"/>
  <c r="X427" i="17"/>
  <c r="Y182" i="17"/>
  <c r="Y310" i="17"/>
  <c r="Y279" i="17"/>
  <c r="X163" i="17"/>
  <c r="X153" i="17"/>
  <c r="Y67" i="17"/>
  <c r="X369" i="17"/>
  <c r="X261" i="17"/>
  <c r="Y171" i="17"/>
  <c r="Y329" i="17"/>
  <c r="Y457" i="17"/>
  <c r="Y332" i="17"/>
  <c r="X363" i="17"/>
  <c r="Y77" i="17"/>
  <c r="X460" i="17"/>
  <c r="X214" i="17"/>
  <c r="X591" i="17"/>
  <c r="X26" i="17"/>
  <c r="Y87" i="17"/>
  <c r="X469" i="17"/>
  <c r="X164" i="17"/>
  <c r="X292" i="17"/>
  <c r="Y152" i="17"/>
  <c r="X189" i="17"/>
  <c r="Y370" i="17"/>
  <c r="X286" i="17"/>
  <c r="Y471" i="17"/>
  <c r="X605" i="17"/>
  <c r="X577" i="17"/>
  <c r="X574" i="17"/>
  <c r="X307" i="17"/>
  <c r="Y406" i="17"/>
  <c r="Y367" i="17"/>
  <c r="X471" i="17"/>
  <c r="X566" i="17"/>
  <c r="X368" i="17"/>
  <c r="AB627" i="17"/>
  <c r="R627" i="17"/>
  <c r="S627" i="17" s="1"/>
  <c r="AA627" i="17"/>
  <c r="AD468" i="17"/>
  <c r="AE468" i="17" s="1"/>
  <c r="U469" i="17"/>
  <c r="U391" i="17"/>
  <c r="AD21" i="17"/>
  <c r="AE21" i="17" s="1"/>
  <c r="U22" i="17"/>
  <c r="AD613" i="17"/>
  <c r="AE613" i="17" s="1"/>
  <c r="U613" i="17"/>
  <c r="U18" i="17"/>
  <c r="U110" i="17"/>
  <c r="AD237" i="17"/>
  <c r="AE237" i="17" s="1"/>
  <c r="U238" i="17"/>
  <c r="AD584" i="17"/>
  <c r="U584" i="17"/>
  <c r="U487" i="17"/>
  <c r="X625" i="17"/>
  <c r="AD422" i="17"/>
  <c r="AE422" i="17" s="1"/>
  <c r="AD437" i="17"/>
  <c r="AE437" i="17" s="1"/>
  <c r="AD68" i="17"/>
  <c r="AE68" i="17" s="1"/>
  <c r="AD385" i="17"/>
  <c r="AD400" i="17"/>
  <c r="AD333" i="17"/>
  <c r="AE333" i="17" s="1"/>
  <c r="AD490" i="17"/>
  <c r="AE490" i="17" s="1"/>
  <c r="AD383" i="17"/>
  <c r="AE383" i="17" s="1"/>
  <c r="AD151" i="17"/>
  <c r="AE151" i="17" s="1"/>
  <c r="R624" i="17"/>
  <c r="S624" i="17" s="1"/>
  <c r="AA624" i="17"/>
  <c r="E634" i="17" s="1"/>
  <c r="R625" i="17"/>
  <c r="S625" i="17" s="1"/>
  <c r="AA625" i="17"/>
  <c r="E635" i="17" s="1"/>
  <c r="AD73" i="17"/>
  <c r="AE73" i="17" s="1"/>
  <c r="AD111" i="17"/>
  <c r="AE111" i="17" s="1"/>
  <c r="AD298" i="17"/>
  <c r="AE298" i="17" s="1"/>
  <c r="Q627" i="17"/>
  <c r="AB624" i="17"/>
  <c r="Q624" i="17"/>
  <c r="D634" i="17" s="1"/>
  <c r="Q625" i="17"/>
  <c r="D635" i="17" s="1"/>
  <c r="AD477" i="17"/>
  <c r="AD513" i="17"/>
  <c r="AE513" i="17" s="1"/>
  <c r="AD535" i="17"/>
  <c r="AD239" i="17"/>
  <c r="AE239" i="17" s="1"/>
  <c r="AD407" i="17"/>
  <c r="AE407" i="17" s="1"/>
  <c r="AD112" i="17"/>
  <c r="AE112" i="17" s="1"/>
  <c r="AD465" i="17"/>
  <c r="AD208" i="17"/>
  <c r="AE208" i="17" s="1"/>
  <c r="AD379" i="17"/>
  <c r="AE379" i="17" s="1"/>
  <c r="AD560" i="17"/>
  <c r="AE560" i="17" s="1"/>
  <c r="AD583" i="17"/>
  <c r="AE583" i="17" s="1"/>
  <c r="AD594" i="17"/>
  <c r="AE594" i="17" s="1"/>
  <c r="AD591" i="17"/>
  <c r="AD183" i="17"/>
  <c r="AE183" i="17" s="1"/>
  <c r="AD577" i="17"/>
  <c r="AE577" i="17" s="1"/>
  <c r="AD396" i="17"/>
  <c r="AE396" i="17" s="1"/>
  <c r="AD182" i="17"/>
  <c r="AE182" i="17" s="1"/>
  <c r="AD77" i="17"/>
  <c r="AE77" i="17" s="1"/>
  <c r="AD91" i="17"/>
  <c r="AE91" i="17" s="1"/>
  <c r="AD367" i="17"/>
  <c r="AE367" i="17" s="1"/>
  <c r="AD220" i="17"/>
  <c r="AE220" i="17" s="1"/>
  <c r="AD150" i="17"/>
  <c r="AE150" i="17" s="1"/>
  <c r="AD41" i="17"/>
  <c r="AE41" i="17" s="1"/>
  <c r="AD384" i="17"/>
  <c r="AE384" i="17" s="1"/>
  <c r="AD98" i="17"/>
  <c r="AE98" i="17" s="1"/>
  <c r="AD306" i="17"/>
  <c r="AE306" i="17" s="1"/>
  <c r="AD491" i="17"/>
  <c r="AE491" i="17" s="1"/>
  <c r="AD361" i="17"/>
  <c r="AE361" i="17" s="1"/>
  <c r="AD417" i="17"/>
  <c r="AE417" i="17" s="1"/>
  <c r="AD343" i="17"/>
  <c r="AE343" i="17" s="1"/>
  <c r="AD40" i="17"/>
  <c r="AE40" i="17" s="1"/>
  <c r="AD536" i="17"/>
  <c r="AE536" i="17" s="1"/>
  <c r="AD230" i="17"/>
  <c r="AE230" i="17" s="1"/>
  <c r="AD416" i="17"/>
  <c r="AD311" i="17"/>
  <c r="AE311" i="17" s="1"/>
  <c r="AD171" i="17"/>
  <c r="AE171" i="17" s="1"/>
  <c r="AD271" i="17"/>
  <c r="AE271" i="17" s="1"/>
  <c r="AD363" i="17"/>
  <c r="AE363" i="17" s="1"/>
  <c r="AD604" i="17"/>
  <c r="AE604" i="17" s="1"/>
  <c r="AD110" i="17"/>
  <c r="AE110" i="17" s="1"/>
  <c r="AD386" i="17"/>
  <c r="AE386" i="17" s="1"/>
  <c r="AD426" i="17"/>
  <c r="AD434" i="17"/>
  <c r="AE434" i="17" s="1"/>
  <c r="AD561" i="17"/>
  <c r="AE561" i="17" s="1"/>
  <c r="AD214" i="17"/>
  <c r="AE214" i="17" s="1"/>
  <c r="AD153" i="17"/>
  <c r="AE153" i="17" s="1"/>
  <c r="AD282" i="17"/>
  <c r="AE282" i="17" s="1"/>
  <c r="AD603" i="17"/>
  <c r="AE603" i="17" s="1"/>
  <c r="AD252" i="17"/>
  <c r="AE252" i="17" s="1"/>
  <c r="AD163" i="17"/>
  <c r="AE163" i="17" s="1"/>
  <c r="AD207" i="17"/>
  <c r="AE207" i="17" s="1"/>
  <c r="AD39" i="17"/>
  <c r="AE39" i="17" s="1"/>
  <c r="AD78" i="17"/>
  <c r="AE78" i="17" s="1"/>
  <c r="AD373" i="17"/>
  <c r="AE373" i="17" s="1"/>
  <c r="AD238" i="17"/>
  <c r="AE238" i="17" s="1"/>
  <c r="AD438" i="17"/>
  <c r="AE438" i="17" s="1"/>
  <c r="AD406" i="17"/>
  <c r="AE406" i="17" s="1"/>
  <c r="AD188" i="17"/>
  <c r="AE188" i="17" s="1"/>
  <c r="AD134" i="17"/>
  <c r="AE134" i="17" s="1"/>
  <c r="AD350" i="17"/>
  <c r="AE350" i="17" s="1"/>
  <c r="AD578" i="17"/>
  <c r="AE578" i="17" s="1"/>
  <c r="AD579" i="17"/>
  <c r="AD423" i="17"/>
  <c r="AE423" i="17" s="1"/>
  <c r="AD206" i="17"/>
  <c r="AE206" i="17" s="1"/>
  <c r="AD70" i="17"/>
  <c r="AE70" i="17" s="1"/>
  <c r="AD74" i="17"/>
  <c r="AE74" i="17" s="1"/>
  <c r="AD42" i="17"/>
  <c r="AE42" i="17" s="1"/>
  <c r="AD362" i="17"/>
  <c r="AE362" i="17" s="1"/>
  <c r="AD260" i="17"/>
  <c r="AE260" i="17" s="1"/>
  <c r="Y624" i="17"/>
  <c r="X624" i="17"/>
  <c r="Y625" i="17"/>
  <c r="AD391" i="17"/>
  <c r="AE391" i="17" s="1"/>
  <c r="AD291" i="17"/>
  <c r="AE291" i="17" s="1"/>
  <c r="AD388" i="17"/>
  <c r="AE388" i="17" s="1"/>
  <c r="AD38" i="17"/>
  <c r="AE38" i="17" s="1"/>
  <c r="AD318" i="17"/>
  <c r="AD133" i="17"/>
  <c r="AE133" i="17" s="1"/>
  <c r="AD279" i="17"/>
  <c r="AE279" i="17" s="1"/>
  <c r="AD401" i="17"/>
  <c r="AD317" i="17"/>
  <c r="AE317" i="17" s="1"/>
  <c r="AD229" i="17"/>
  <c r="AE229" i="17" s="1"/>
  <c r="AD152" i="17"/>
  <c r="AE152" i="17" s="1"/>
  <c r="AD356" i="17"/>
  <c r="AE356" i="17" s="1"/>
  <c r="AD69" i="17"/>
  <c r="AE69" i="17" s="1"/>
  <c r="AD387" i="17"/>
  <c r="AD421" i="17"/>
  <c r="AE421" i="17" s="1"/>
  <c r="AD368" i="17"/>
  <c r="AE368" i="17" s="1"/>
  <c r="AD129" i="17" l="1"/>
  <c r="AE129" i="17" s="1"/>
  <c r="AE477" i="17"/>
  <c r="AE465" i="17"/>
  <c r="AE591" i="17"/>
  <c r="AE584" i="17"/>
  <c r="AE385" i="17"/>
  <c r="AE579" i="17"/>
  <c r="AE318" i="17"/>
  <c r="AD537" i="17"/>
  <c r="AE537" i="17" s="1"/>
  <c r="U86" i="17"/>
  <c r="AD344" i="17"/>
  <c r="AE344" i="17" s="1"/>
  <c r="AE400" i="17"/>
  <c r="AE401" i="17"/>
  <c r="U567" i="25"/>
  <c r="AD566" i="25"/>
  <c r="AE566" i="25" s="1"/>
  <c r="U570" i="25"/>
  <c r="AD569" i="25"/>
  <c r="AE569" i="25" s="1"/>
  <c r="AD521" i="25"/>
  <c r="AE521" i="25" s="1"/>
  <c r="U522" i="25"/>
  <c r="U503" i="25"/>
  <c r="AD502" i="25"/>
  <c r="AE502" i="25" s="1"/>
  <c r="U408" i="25"/>
  <c r="AD407" i="25"/>
  <c r="AE407" i="25" s="1"/>
  <c r="U391" i="25"/>
  <c r="AD390" i="25"/>
  <c r="AE390" i="25" s="1"/>
  <c r="U406" i="25"/>
  <c r="AD405" i="25"/>
  <c r="AE405" i="25" s="1"/>
  <c r="U373" i="25"/>
  <c r="AD372" i="25"/>
  <c r="AE372" i="25" s="1"/>
  <c r="U285" i="25"/>
  <c r="AD284" i="25"/>
  <c r="AE284" i="25" s="1"/>
  <c r="U234" i="25"/>
  <c r="AD233" i="25"/>
  <c r="AE233" i="25" s="1"/>
  <c r="U259" i="25"/>
  <c r="AD258" i="25"/>
  <c r="AE258" i="25" s="1"/>
  <c r="U218" i="25"/>
  <c r="AD217" i="25"/>
  <c r="AE217" i="25" s="1"/>
  <c r="U186" i="25"/>
  <c r="AD185" i="25"/>
  <c r="AE185" i="25" s="1"/>
  <c r="U154" i="25"/>
  <c r="AD153" i="25"/>
  <c r="AE153" i="25" s="1"/>
  <c r="U171" i="25"/>
  <c r="AD170" i="25"/>
  <c r="AE170" i="25" s="1"/>
  <c r="U88" i="25"/>
  <c r="AD87" i="25"/>
  <c r="AE87" i="25" s="1"/>
  <c r="U101" i="25"/>
  <c r="AD100" i="25"/>
  <c r="AE100" i="25" s="1"/>
  <c r="U197" i="25"/>
  <c r="AD196" i="25"/>
  <c r="AE196" i="25" s="1"/>
  <c r="U32" i="25"/>
  <c r="AD31" i="25"/>
  <c r="AE31" i="25" s="1"/>
  <c r="U563" i="25"/>
  <c r="AD562" i="25"/>
  <c r="AE562" i="25" s="1"/>
  <c r="U552" i="25"/>
  <c r="AD551" i="25"/>
  <c r="AE551" i="25" s="1"/>
  <c r="U422" i="25"/>
  <c r="AD421" i="25"/>
  <c r="AE421" i="25" s="1"/>
  <c r="U270" i="25"/>
  <c r="AD269" i="25"/>
  <c r="AE269" i="25" s="1"/>
  <c r="AD229" i="25"/>
  <c r="AE229" i="25" s="1"/>
  <c r="U230" i="25"/>
  <c r="U198" i="25"/>
  <c r="AD197" i="25"/>
  <c r="AE197" i="25" s="1"/>
  <c r="U166" i="25"/>
  <c r="AD165" i="25"/>
  <c r="AE165" i="25" s="1"/>
  <c r="U82" i="25"/>
  <c r="AD81" i="25"/>
  <c r="AE81" i="25" s="1"/>
  <c r="U117" i="25"/>
  <c r="AD116" i="25"/>
  <c r="AE116" i="25" s="1"/>
  <c r="U607" i="25"/>
  <c r="AD606" i="25"/>
  <c r="AE606" i="25" s="1"/>
  <c r="AD580" i="25"/>
  <c r="AE580" i="25" s="1"/>
  <c r="U581" i="25"/>
  <c r="U546" i="25"/>
  <c r="AD545" i="25"/>
  <c r="AE545" i="25" s="1"/>
  <c r="U502" i="25"/>
  <c r="AD501" i="25"/>
  <c r="AE501" i="25" s="1"/>
  <c r="U470" i="25"/>
  <c r="AD469" i="25"/>
  <c r="AE469" i="25" s="1"/>
  <c r="AD456" i="25"/>
  <c r="AE456" i="25" s="1"/>
  <c r="U457" i="25"/>
  <c r="U507" i="25"/>
  <c r="AD506" i="25"/>
  <c r="AE506" i="25" s="1"/>
  <c r="U399" i="25"/>
  <c r="AD398" i="25"/>
  <c r="AE398" i="25" s="1"/>
  <c r="U363" i="25"/>
  <c r="AD362" i="25"/>
  <c r="AE362" i="25" s="1"/>
  <c r="U350" i="25"/>
  <c r="AD349" i="25"/>
  <c r="AE349" i="25" s="1"/>
  <c r="AD268" i="25"/>
  <c r="AE268" i="25" s="1"/>
  <c r="U269" i="25"/>
  <c r="U233" i="25"/>
  <c r="AD232" i="25"/>
  <c r="AE232" i="25" s="1"/>
  <c r="U296" i="25"/>
  <c r="AD295" i="25"/>
  <c r="AE295" i="25" s="1"/>
  <c r="U183" i="25"/>
  <c r="AD182" i="25"/>
  <c r="AE182" i="25" s="1"/>
  <c r="U151" i="25"/>
  <c r="AD150" i="25"/>
  <c r="AE150" i="25" s="1"/>
  <c r="U96" i="25"/>
  <c r="AD95" i="25"/>
  <c r="AE95" i="25" s="1"/>
  <c r="U109" i="25"/>
  <c r="AD108" i="25"/>
  <c r="AE108" i="25" s="1"/>
  <c r="AD67" i="25"/>
  <c r="AE67" i="25" s="1"/>
  <c r="U68" i="25"/>
  <c r="U129" i="25"/>
  <c r="AD128" i="25"/>
  <c r="AE128" i="25" s="1"/>
  <c r="U119" i="25"/>
  <c r="AD118" i="25"/>
  <c r="AE118" i="25" s="1"/>
  <c r="U612" i="25"/>
  <c r="AD611" i="25"/>
  <c r="AE611" i="25" s="1"/>
  <c r="U370" i="25"/>
  <c r="AD369" i="25"/>
  <c r="AE369" i="25" s="1"/>
  <c r="U142" i="25"/>
  <c r="AD141" i="25"/>
  <c r="AE141" i="25" s="1"/>
  <c r="U596" i="25"/>
  <c r="AD595" i="25"/>
  <c r="AE595" i="25" s="1"/>
  <c r="AD576" i="25"/>
  <c r="AE576" i="25" s="1"/>
  <c r="U577" i="25"/>
  <c r="U526" i="25"/>
  <c r="AD525" i="25"/>
  <c r="AE525" i="25" s="1"/>
  <c r="U541" i="25"/>
  <c r="AD540" i="25"/>
  <c r="AE540" i="25" s="1"/>
  <c r="U498" i="25"/>
  <c r="AD497" i="25"/>
  <c r="AE497" i="25" s="1"/>
  <c r="U482" i="25"/>
  <c r="AD481" i="25"/>
  <c r="AE481" i="25" s="1"/>
  <c r="U437" i="25"/>
  <c r="AD436" i="25"/>
  <c r="AE436" i="25" s="1"/>
  <c r="U446" i="25"/>
  <c r="AD445" i="25"/>
  <c r="AE445" i="25" s="1"/>
  <c r="U516" i="25"/>
  <c r="AD515" i="25"/>
  <c r="AE515" i="25" s="1"/>
  <c r="U252" i="25"/>
  <c r="AD251" i="25"/>
  <c r="AE251" i="25" s="1"/>
  <c r="U313" i="25"/>
  <c r="AD312" i="25"/>
  <c r="AE312" i="25" s="1"/>
  <c r="AD139" i="25"/>
  <c r="AE139" i="25" s="1"/>
  <c r="U140" i="25"/>
  <c r="U288" i="25"/>
  <c r="AD287" i="25"/>
  <c r="AE287" i="25" s="1"/>
  <c r="AD252" i="25"/>
  <c r="AE252" i="25" s="1"/>
  <c r="U253" i="25"/>
  <c r="U78" i="25"/>
  <c r="AD77" i="25"/>
  <c r="AE77" i="25" s="1"/>
  <c r="U20" i="25"/>
  <c r="AD19" i="25"/>
  <c r="AE19" i="25" s="1"/>
  <c r="AD534" i="25"/>
  <c r="AE534" i="25" s="1"/>
  <c r="U535" i="25"/>
  <c r="U500" i="25"/>
  <c r="AD499" i="25"/>
  <c r="AE499" i="25" s="1"/>
  <c r="U361" i="25"/>
  <c r="AD360" i="25"/>
  <c r="AE360" i="25" s="1"/>
  <c r="AD261" i="25"/>
  <c r="AE261" i="25" s="1"/>
  <c r="U262" i="25"/>
  <c r="U150" i="25"/>
  <c r="AD149" i="25"/>
  <c r="AE149" i="25" s="1"/>
  <c r="AD607" i="25"/>
  <c r="AE607" i="25" s="1"/>
  <c r="U608" i="25"/>
  <c r="U595" i="25"/>
  <c r="AD594" i="25"/>
  <c r="AE594" i="25" s="1"/>
  <c r="U591" i="25"/>
  <c r="AD590" i="25"/>
  <c r="AE590" i="25" s="1"/>
  <c r="AD555" i="25"/>
  <c r="AE555" i="25" s="1"/>
  <c r="U556" i="25"/>
  <c r="U540" i="25"/>
  <c r="AD539" i="25"/>
  <c r="AE539" i="25" s="1"/>
  <c r="U566" i="25"/>
  <c r="AD565" i="25"/>
  <c r="AE565" i="25" s="1"/>
  <c r="U524" i="25"/>
  <c r="AD523" i="25"/>
  <c r="AE523" i="25" s="1"/>
  <c r="U513" i="25"/>
  <c r="AD512" i="25"/>
  <c r="AE512" i="25" s="1"/>
  <c r="U512" i="25"/>
  <c r="AD511" i="25"/>
  <c r="AE511" i="25" s="1"/>
  <c r="U496" i="25"/>
  <c r="AD495" i="25"/>
  <c r="AE495" i="25" s="1"/>
  <c r="AD479" i="25"/>
  <c r="AE479" i="25" s="1"/>
  <c r="U480" i="25"/>
  <c r="U467" i="25"/>
  <c r="AD466" i="25"/>
  <c r="AE466" i="25" s="1"/>
  <c r="U451" i="25"/>
  <c r="AD450" i="25"/>
  <c r="AE450" i="25" s="1"/>
  <c r="U435" i="25"/>
  <c r="AD434" i="25"/>
  <c r="AE434" i="25" s="1"/>
  <c r="U460" i="25"/>
  <c r="AD459" i="25"/>
  <c r="AE459" i="25" s="1"/>
  <c r="U444" i="25"/>
  <c r="AD443" i="25"/>
  <c r="AE443" i="25" s="1"/>
  <c r="AD365" i="25"/>
  <c r="AE365" i="25" s="1"/>
  <c r="U366" i="25"/>
  <c r="U392" i="25"/>
  <c r="AD391" i="25"/>
  <c r="AE391" i="25" s="1"/>
  <c r="U386" i="25"/>
  <c r="AD385" i="25"/>
  <c r="AE385" i="25" s="1"/>
  <c r="U308" i="25"/>
  <c r="AD307" i="25"/>
  <c r="AE307" i="25" s="1"/>
  <c r="U299" i="25"/>
  <c r="AD298" i="25"/>
  <c r="AE298" i="25" s="1"/>
  <c r="U505" i="25"/>
  <c r="AD504" i="25"/>
  <c r="AE504" i="25" s="1"/>
  <c r="U360" i="25"/>
  <c r="AD359" i="25"/>
  <c r="AE359" i="25" s="1"/>
  <c r="U344" i="25"/>
  <c r="AD343" i="25"/>
  <c r="AE343" i="25" s="1"/>
  <c r="AD325" i="25"/>
  <c r="AE325" i="25" s="1"/>
  <c r="U326" i="25"/>
  <c r="U303" i="25"/>
  <c r="AD302" i="25"/>
  <c r="AE302" i="25" s="1"/>
  <c r="U266" i="25"/>
  <c r="AD265" i="25"/>
  <c r="AE265" i="25" s="1"/>
  <c r="U250" i="25"/>
  <c r="AD249" i="25"/>
  <c r="AE249" i="25" s="1"/>
  <c r="U312" i="25"/>
  <c r="AD311" i="25"/>
  <c r="AE311" i="25" s="1"/>
  <c r="U202" i="25"/>
  <c r="AD201" i="25"/>
  <c r="AE201" i="25" s="1"/>
  <c r="U170" i="25"/>
  <c r="AD169" i="25"/>
  <c r="AE169" i="25" s="1"/>
  <c r="U138" i="25"/>
  <c r="AD137" i="25"/>
  <c r="AE137" i="25" s="1"/>
  <c r="U229" i="25"/>
  <c r="AD228" i="25"/>
  <c r="AE228" i="25" s="1"/>
  <c r="U203" i="25"/>
  <c r="AD202" i="25"/>
  <c r="AE202" i="25" s="1"/>
  <c r="U139" i="25"/>
  <c r="AD138" i="25"/>
  <c r="AE138" i="25" s="1"/>
  <c r="U107" i="25"/>
  <c r="AD106" i="25"/>
  <c r="AE106" i="25" s="1"/>
  <c r="U66" i="25"/>
  <c r="AD65" i="25"/>
  <c r="AE65" i="25" s="1"/>
  <c r="U65" i="25"/>
  <c r="AD64" i="25"/>
  <c r="AE64" i="25" s="1"/>
  <c r="U239" i="25"/>
  <c r="AD238" i="25"/>
  <c r="AE238" i="25" s="1"/>
  <c r="U60" i="25"/>
  <c r="AD59" i="25"/>
  <c r="AE59" i="25" s="1"/>
  <c r="U37" i="25"/>
  <c r="AD36" i="25"/>
  <c r="AE36" i="25" s="1"/>
  <c r="U42" i="25"/>
  <c r="AD41" i="25"/>
  <c r="AE41" i="25" s="1"/>
  <c r="U17" i="25"/>
  <c r="AD16" i="25"/>
  <c r="AE16" i="25" s="1"/>
  <c r="U87" i="25"/>
  <c r="AD86" i="25"/>
  <c r="AE86" i="25" s="1"/>
  <c r="U185" i="25"/>
  <c r="AD184" i="25"/>
  <c r="AE184" i="25" s="1"/>
  <c r="U590" i="25"/>
  <c r="AD589" i="25"/>
  <c r="AE589" i="25" s="1"/>
  <c r="U587" i="25"/>
  <c r="AD586" i="25"/>
  <c r="AE586" i="25" s="1"/>
  <c r="AD535" i="25"/>
  <c r="AE535" i="25" s="1"/>
  <c r="U536" i="25"/>
  <c r="U564" i="25"/>
  <c r="AD563" i="25"/>
  <c r="AE563" i="25" s="1"/>
  <c r="U508" i="25"/>
  <c r="AD507" i="25"/>
  <c r="AE507" i="25" s="1"/>
  <c r="U537" i="25"/>
  <c r="AD536" i="25"/>
  <c r="AE536" i="25" s="1"/>
  <c r="AD446" i="25"/>
  <c r="AE446" i="25" s="1"/>
  <c r="U447" i="25"/>
  <c r="U409" i="25"/>
  <c r="AD408" i="25"/>
  <c r="AE408" i="25" s="1"/>
  <c r="U424" i="25"/>
  <c r="AD423" i="25"/>
  <c r="AE423" i="25" s="1"/>
  <c r="U353" i="25"/>
  <c r="AD352" i="25"/>
  <c r="AE352" i="25" s="1"/>
  <c r="U324" i="25"/>
  <c r="AD323" i="25"/>
  <c r="AE323" i="25" s="1"/>
  <c r="U356" i="25"/>
  <c r="AD355" i="25"/>
  <c r="AE355" i="25" s="1"/>
  <c r="U134" i="25"/>
  <c r="AD133" i="25"/>
  <c r="AE133" i="25" s="1"/>
  <c r="U211" i="25"/>
  <c r="AD210" i="25"/>
  <c r="AE210" i="25" s="1"/>
  <c r="U131" i="25"/>
  <c r="AD130" i="25"/>
  <c r="AE130" i="25" s="1"/>
  <c r="U165" i="25"/>
  <c r="AD164" i="25"/>
  <c r="AE164" i="25" s="1"/>
  <c r="U23" i="25"/>
  <c r="AD22" i="25"/>
  <c r="AE22" i="25" s="1"/>
  <c r="U609" i="25"/>
  <c r="AD608" i="25"/>
  <c r="AE608" i="25" s="1"/>
  <c r="U597" i="25"/>
  <c r="AD596" i="25"/>
  <c r="AE596" i="25" s="1"/>
  <c r="U606" i="25"/>
  <c r="AD605" i="25"/>
  <c r="AE605" i="25" s="1"/>
  <c r="U584" i="25"/>
  <c r="AD583" i="25"/>
  <c r="AE583" i="25" s="1"/>
  <c r="U573" i="25"/>
  <c r="AD572" i="25"/>
  <c r="AE572" i="25" s="1"/>
  <c r="U519" i="25"/>
  <c r="AD518" i="25"/>
  <c r="AE518" i="25" s="1"/>
  <c r="U520" i="25"/>
  <c r="AD519" i="25"/>
  <c r="AE519" i="25" s="1"/>
  <c r="U486" i="25"/>
  <c r="AD485" i="25"/>
  <c r="AE485" i="25" s="1"/>
  <c r="U475" i="25"/>
  <c r="AD474" i="25"/>
  <c r="AE474" i="25" s="1"/>
  <c r="AD440" i="25"/>
  <c r="AE440" i="25" s="1"/>
  <c r="U441" i="25"/>
  <c r="U450" i="25"/>
  <c r="AD449" i="25"/>
  <c r="AE449" i="25" s="1"/>
  <c r="U434" i="25"/>
  <c r="AD433" i="25"/>
  <c r="AE433" i="25" s="1"/>
  <c r="U401" i="25"/>
  <c r="AD400" i="25"/>
  <c r="AE400" i="25" s="1"/>
  <c r="U416" i="25"/>
  <c r="AD415" i="25"/>
  <c r="AE415" i="25" s="1"/>
  <c r="AD371" i="25"/>
  <c r="AE371" i="25" s="1"/>
  <c r="U372" i="25"/>
  <c r="U377" i="25"/>
  <c r="AD376" i="25"/>
  <c r="AE376" i="25" s="1"/>
  <c r="U347" i="25"/>
  <c r="AD346" i="25"/>
  <c r="AE346" i="25" s="1"/>
  <c r="U316" i="25"/>
  <c r="AD315" i="25"/>
  <c r="AE315" i="25" s="1"/>
  <c r="U293" i="25"/>
  <c r="AD292" i="25"/>
  <c r="AE292" i="25" s="1"/>
  <c r="U307" i="25"/>
  <c r="AD306" i="25"/>
  <c r="AE306" i="25" s="1"/>
  <c r="AD333" i="25"/>
  <c r="AE333" i="25" s="1"/>
  <c r="U334" i="25"/>
  <c r="U272" i="25"/>
  <c r="AD271" i="25"/>
  <c r="AE271" i="25" s="1"/>
  <c r="AD255" i="25"/>
  <c r="AE255" i="25" s="1"/>
  <c r="U256" i="25"/>
  <c r="AD239" i="25"/>
  <c r="AE239" i="25" s="1"/>
  <c r="U240" i="25"/>
  <c r="U224" i="25"/>
  <c r="AD223" i="25"/>
  <c r="AE223" i="25" s="1"/>
  <c r="AD207" i="25"/>
  <c r="AE207" i="25" s="1"/>
  <c r="U208" i="25"/>
  <c r="AD191" i="25"/>
  <c r="AE191" i="25" s="1"/>
  <c r="U192" i="25"/>
  <c r="AD159" i="25"/>
  <c r="AE159" i="25" s="1"/>
  <c r="U160" i="25"/>
  <c r="AD143" i="25"/>
  <c r="AE143" i="25" s="1"/>
  <c r="U144" i="25"/>
  <c r="U305" i="25"/>
  <c r="AD304" i="25"/>
  <c r="AE304" i="25" s="1"/>
  <c r="U74" i="25"/>
  <c r="AD73" i="25"/>
  <c r="AE73" i="25" s="1"/>
  <c r="U35" i="25"/>
  <c r="AD34" i="25"/>
  <c r="AE34" i="25" s="1"/>
  <c r="U45" i="25"/>
  <c r="AD44" i="25"/>
  <c r="AE44" i="25" s="1"/>
  <c r="U51" i="25"/>
  <c r="AD50" i="25"/>
  <c r="AE50" i="25" s="1"/>
  <c r="AD25" i="25"/>
  <c r="AE25" i="25" s="1"/>
  <c r="U26" i="25"/>
  <c r="U137" i="25"/>
  <c r="AD136" i="25"/>
  <c r="AE136" i="25" s="1"/>
  <c r="U247" i="25"/>
  <c r="AD246" i="25"/>
  <c r="AE246" i="25" s="1"/>
  <c r="U15" i="25"/>
  <c r="AD14" i="25"/>
  <c r="AE14" i="25" s="1"/>
  <c r="U141" i="25"/>
  <c r="AD140" i="25"/>
  <c r="AE140" i="25" s="1"/>
  <c r="U531" i="25"/>
  <c r="AD530" i="25"/>
  <c r="AE530" i="25" s="1"/>
  <c r="U492" i="25"/>
  <c r="AD491" i="25"/>
  <c r="AE491" i="25" s="1"/>
  <c r="AD454" i="25"/>
  <c r="AE454" i="25" s="1"/>
  <c r="U455" i="25"/>
  <c r="U456" i="25"/>
  <c r="AD455" i="25"/>
  <c r="AE455" i="25" s="1"/>
  <c r="U369" i="25"/>
  <c r="AD368" i="25"/>
  <c r="AE368" i="25" s="1"/>
  <c r="U278" i="25"/>
  <c r="AD277" i="25"/>
  <c r="AE277" i="25" s="1"/>
  <c r="AD244" i="25"/>
  <c r="AE244" i="25" s="1"/>
  <c r="U245" i="25"/>
  <c r="U231" i="25"/>
  <c r="AD230" i="25"/>
  <c r="AE230" i="25" s="1"/>
  <c r="U147" i="25"/>
  <c r="AD146" i="25"/>
  <c r="AE146" i="25" s="1"/>
  <c r="U59" i="25"/>
  <c r="AD58" i="25"/>
  <c r="AE58" i="25" s="1"/>
  <c r="U81" i="25"/>
  <c r="AD80" i="25"/>
  <c r="AE80" i="25" s="1"/>
  <c r="AD107" i="25"/>
  <c r="AE107" i="25" s="1"/>
  <c r="U108" i="25"/>
  <c r="U95" i="25"/>
  <c r="AD94" i="25"/>
  <c r="AE94" i="25" s="1"/>
  <c r="U118" i="25"/>
  <c r="AD117" i="25"/>
  <c r="AE117" i="25" s="1"/>
  <c r="U19" i="25"/>
  <c r="AD18" i="25"/>
  <c r="AE18" i="25" s="1"/>
  <c r="U542" i="25"/>
  <c r="AD541" i="25"/>
  <c r="AE541" i="25" s="1"/>
  <c r="U574" i="25"/>
  <c r="AD573" i="25"/>
  <c r="AE573" i="25" s="1"/>
  <c r="AD514" i="25"/>
  <c r="AE514" i="25" s="1"/>
  <c r="U515" i="25"/>
  <c r="U511" i="25"/>
  <c r="AD510" i="25"/>
  <c r="AE510" i="25" s="1"/>
  <c r="U491" i="25"/>
  <c r="AD490" i="25"/>
  <c r="AE490" i="25" s="1"/>
  <c r="U462" i="25"/>
  <c r="AD461" i="25"/>
  <c r="AE461" i="25" s="1"/>
  <c r="U430" i="25"/>
  <c r="AD429" i="25"/>
  <c r="AE429" i="25" s="1"/>
  <c r="U411" i="25"/>
  <c r="AD410" i="25"/>
  <c r="AE410" i="25" s="1"/>
  <c r="U368" i="25"/>
  <c r="AD367" i="25"/>
  <c r="AE367" i="25" s="1"/>
  <c r="U393" i="25"/>
  <c r="AD392" i="25"/>
  <c r="AE392" i="25" s="1"/>
  <c r="U359" i="25"/>
  <c r="AD358" i="25"/>
  <c r="AE358" i="25" s="1"/>
  <c r="U387" i="25"/>
  <c r="AD386" i="25"/>
  <c r="AE386" i="25" s="1"/>
  <c r="U332" i="25"/>
  <c r="AD331" i="25"/>
  <c r="AE331" i="25" s="1"/>
  <c r="U309" i="25"/>
  <c r="AD308" i="25"/>
  <c r="AE308" i="25" s="1"/>
  <c r="U362" i="25"/>
  <c r="AD361" i="25"/>
  <c r="AE361" i="25" s="1"/>
  <c r="U346" i="25"/>
  <c r="AD345" i="25"/>
  <c r="AE345" i="25" s="1"/>
  <c r="U323" i="25"/>
  <c r="AD322" i="25"/>
  <c r="AE322" i="25" s="1"/>
  <c r="U282" i="25"/>
  <c r="AD281" i="25"/>
  <c r="AE281" i="25" s="1"/>
  <c r="U265" i="25"/>
  <c r="AD264" i="25"/>
  <c r="AE264" i="25" s="1"/>
  <c r="U327" i="25"/>
  <c r="AD326" i="25"/>
  <c r="AE326" i="25" s="1"/>
  <c r="U286" i="25"/>
  <c r="AD285" i="25"/>
  <c r="AE285" i="25" s="1"/>
  <c r="U236" i="25"/>
  <c r="AD235" i="25"/>
  <c r="AE235" i="25" s="1"/>
  <c r="U220" i="25"/>
  <c r="AD219" i="25"/>
  <c r="AE219" i="25" s="1"/>
  <c r="AD187" i="25"/>
  <c r="AE187" i="25" s="1"/>
  <c r="U188" i="25"/>
  <c r="AD171" i="25"/>
  <c r="AE171" i="25" s="1"/>
  <c r="U172" i="25"/>
  <c r="AD155" i="25"/>
  <c r="AE155" i="25" s="1"/>
  <c r="U156" i="25"/>
  <c r="AD123" i="25"/>
  <c r="AE123" i="25" s="1"/>
  <c r="U124" i="25"/>
  <c r="U249" i="25"/>
  <c r="AD248" i="25"/>
  <c r="AE248" i="25" s="1"/>
  <c r="U263" i="25"/>
  <c r="AD262" i="25"/>
  <c r="AE262" i="25" s="1"/>
  <c r="U207" i="25"/>
  <c r="AD206" i="25"/>
  <c r="AE206" i="25" s="1"/>
  <c r="U175" i="25"/>
  <c r="AD174" i="25"/>
  <c r="AE174" i="25" s="1"/>
  <c r="U143" i="25"/>
  <c r="AD142" i="25"/>
  <c r="AE142" i="25" s="1"/>
  <c r="U90" i="25"/>
  <c r="AD89" i="25"/>
  <c r="AE89" i="25" s="1"/>
  <c r="U67" i="25"/>
  <c r="AD66" i="25"/>
  <c r="AE66" i="25" s="1"/>
  <c r="U112" i="25"/>
  <c r="AD111" i="25"/>
  <c r="AE111" i="25" s="1"/>
  <c r="U89" i="25"/>
  <c r="AD88" i="25"/>
  <c r="AE88" i="25" s="1"/>
  <c r="U48" i="25"/>
  <c r="AD47" i="25"/>
  <c r="AE47" i="25" s="1"/>
  <c r="AD83" i="25"/>
  <c r="AE83" i="25" s="1"/>
  <c r="U84" i="25"/>
  <c r="U61" i="25"/>
  <c r="AD60" i="25"/>
  <c r="AE60" i="25" s="1"/>
  <c r="U43" i="25"/>
  <c r="AD42" i="25"/>
  <c r="AE42" i="25" s="1"/>
  <c r="U94" i="25"/>
  <c r="AD93" i="25"/>
  <c r="AE93" i="25" s="1"/>
  <c r="U79" i="25"/>
  <c r="AD78" i="25"/>
  <c r="AE78" i="25" s="1"/>
  <c r="U213" i="25"/>
  <c r="AD212" i="25"/>
  <c r="AE212" i="25" s="1"/>
  <c r="U103" i="25"/>
  <c r="AD102" i="25"/>
  <c r="AE102" i="25" s="1"/>
  <c r="U30" i="25"/>
  <c r="AD29" i="25"/>
  <c r="AE29" i="25" s="1"/>
  <c r="U217" i="25"/>
  <c r="AD216" i="25"/>
  <c r="AE216" i="25" s="1"/>
  <c r="U485" i="25"/>
  <c r="AD484" i="25"/>
  <c r="AE484" i="25" s="1"/>
  <c r="U418" i="25"/>
  <c r="AD417" i="25"/>
  <c r="AE417" i="25" s="1"/>
  <c r="U338" i="25"/>
  <c r="AD337" i="25"/>
  <c r="AE337" i="25" s="1"/>
  <c r="U214" i="25"/>
  <c r="AD213" i="25"/>
  <c r="AE213" i="25" s="1"/>
  <c r="U241" i="25"/>
  <c r="AD240" i="25"/>
  <c r="AE240" i="25" s="1"/>
  <c r="U163" i="25"/>
  <c r="AD162" i="25"/>
  <c r="AE162" i="25" s="1"/>
  <c r="U62" i="25"/>
  <c r="AD61" i="25"/>
  <c r="AE61" i="25" s="1"/>
  <c r="U33" i="25"/>
  <c r="AD32" i="25"/>
  <c r="AE32" i="25" s="1"/>
  <c r="U593" i="25"/>
  <c r="AD592" i="25"/>
  <c r="AE592" i="25" s="1"/>
  <c r="AD463" i="25"/>
  <c r="AE463" i="25" s="1"/>
  <c r="U464" i="25"/>
  <c r="U497" i="25"/>
  <c r="AD496" i="25"/>
  <c r="AE496" i="25" s="1"/>
  <c r="U357" i="25"/>
  <c r="AD356" i="25"/>
  <c r="AE356" i="25" s="1"/>
  <c r="U322" i="25"/>
  <c r="AD321" i="25"/>
  <c r="AE321" i="25" s="1"/>
  <c r="U122" i="25"/>
  <c r="AD121" i="25"/>
  <c r="AE121" i="25" s="1"/>
  <c r="U209" i="25"/>
  <c r="AD208" i="25"/>
  <c r="AE208" i="25" s="1"/>
  <c r="U102" i="25"/>
  <c r="AD101" i="25"/>
  <c r="AE101" i="25" s="1"/>
  <c r="U560" i="25"/>
  <c r="AD559" i="25"/>
  <c r="AE559" i="25" s="1"/>
  <c r="U551" i="25"/>
  <c r="AD550" i="25"/>
  <c r="AE550" i="25" s="1"/>
  <c r="U440" i="25"/>
  <c r="AD439" i="25"/>
  <c r="AE439" i="25" s="1"/>
  <c r="U413" i="25"/>
  <c r="AD412" i="25"/>
  <c r="AE412" i="25" s="1"/>
  <c r="U283" i="25"/>
  <c r="AD282" i="25"/>
  <c r="AE282" i="25" s="1"/>
  <c r="U310" i="25"/>
  <c r="AD309" i="25"/>
  <c r="AE309" i="25" s="1"/>
  <c r="U243" i="25"/>
  <c r="AD242" i="25"/>
  <c r="AE242" i="25" s="1"/>
  <c r="AD75" i="25"/>
  <c r="AE75" i="25" s="1"/>
  <c r="U76" i="25"/>
  <c r="U177" i="25"/>
  <c r="AD176" i="25"/>
  <c r="AE176" i="25" s="1"/>
  <c r="U71" i="25"/>
  <c r="AD70" i="25"/>
  <c r="AE70" i="25" s="1"/>
  <c r="AD556" i="25"/>
  <c r="AE556" i="25" s="1"/>
  <c r="U557" i="25"/>
  <c r="AD529" i="25"/>
  <c r="AE529" i="25" s="1"/>
  <c r="U530" i="25"/>
  <c r="U493" i="25"/>
  <c r="AD492" i="25"/>
  <c r="AE492" i="25" s="1"/>
  <c r="U330" i="25"/>
  <c r="AD329" i="25"/>
  <c r="AE329" i="25" s="1"/>
  <c r="U311" i="25"/>
  <c r="AD310" i="25"/>
  <c r="AE310" i="25" s="1"/>
  <c r="AD175" i="25"/>
  <c r="AE175" i="25" s="1"/>
  <c r="U176" i="25"/>
  <c r="AD127" i="25"/>
  <c r="AE127" i="25" s="1"/>
  <c r="U128" i="25"/>
  <c r="U237" i="25"/>
  <c r="AD236" i="25"/>
  <c r="AE236" i="25" s="1"/>
  <c r="U215" i="25"/>
  <c r="AD214" i="25"/>
  <c r="AE214" i="25" s="1"/>
  <c r="U115" i="25"/>
  <c r="AD114" i="25"/>
  <c r="AE114" i="25" s="1"/>
  <c r="U73" i="25"/>
  <c r="AD72" i="25"/>
  <c r="AE72" i="25" s="1"/>
  <c r="U348" i="25"/>
  <c r="AD347" i="25"/>
  <c r="AE347" i="25" s="1"/>
  <c r="U206" i="25"/>
  <c r="AD205" i="25"/>
  <c r="AE205" i="25" s="1"/>
  <c r="U610" i="25"/>
  <c r="AD609" i="25"/>
  <c r="AE609" i="25" s="1"/>
  <c r="U594" i="25"/>
  <c r="AD593" i="25"/>
  <c r="AE593" i="25" s="1"/>
  <c r="U569" i="25"/>
  <c r="AD568" i="25"/>
  <c r="AE568" i="25" s="1"/>
  <c r="AD465" i="25"/>
  <c r="AE465" i="25" s="1"/>
  <c r="U466" i="25"/>
  <c r="U453" i="25"/>
  <c r="AD452" i="25"/>
  <c r="AE452" i="25" s="1"/>
  <c r="U417" i="25"/>
  <c r="AD416" i="25"/>
  <c r="AE416" i="25" s="1"/>
  <c r="U388" i="25"/>
  <c r="AD387" i="25"/>
  <c r="AE387" i="25" s="1"/>
  <c r="U268" i="25"/>
  <c r="AD267" i="25"/>
  <c r="AE267" i="25" s="1"/>
  <c r="AD203" i="25"/>
  <c r="AE203" i="25" s="1"/>
  <c r="U204" i="25"/>
  <c r="AD462" i="25"/>
  <c r="AE462" i="25" s="1"/>
  <c r="U463" i="25"/>
  <c r="U415" i="25"/>
  <c r="AD414" i="25"/>
  <c r="AE414" i="25" s="1"/>
  <c r="U380" i="25"/>
  <c r="AD379" i="25"/>
  <c r="AE379" i="25" s="1"/>
  <c r="U292" i="25"/>
  <c r="AD291" i="25"/>
  <c r="AE291" i="25" s="1"/>
  <c r="AD274" i="25"/>
  <c r="AE274" i="25" s="1"/>
  <c r="U275" i="25"/>
  <c r="U281" i="25"/>
  <c r="AD280" i="25"/>
  <c r="AE280" i="25" s="1"/>
  <c r="U72" i="25"/>
  <c r="AD71" i="25"/>
  <c r="AE71" i="25" s="1"/>
  <c r="AD610" i="25"/>
  <c r="AE610" i="25" s="1"/>
  <c r="U611" i="25"/>
  <c r="U599" i="25"/>
  <c r="AD598" i="25"/>
  <c r="AE598" i="25" s="1"/>
  <c r="AD585" i="25"/>
  <c r="AE585" i="25" s="1"/>
  <c r="U586" i="25"/>
  <c r="U575" i="25"/>
  <c r="AD574" i="25"/>
  <c r="AE574" i="25" s="1"/>
  <c r="AD558" i="25"/>
  <c r="AE558" i="25" s="1"/>
  <c r="U559" i="25"/>
  <c r="U568" i="25"/>
  <c r="AD567" i="25"/>
  <c r="AE567" i="25" s="1"/>
  <c r="U548" i="25"/>
  <c r="AD547" i="25"/>
  <c r="AE547" i="25" s="1"/>
  <c r="U532" i="25"/>
  <c r="AD531" i="25"/>
  <c r="AE531" i="25" s="1"/>
  <c r="AD524" i="25"/>
  <c r="AE524" i="25" s="1"/>
  <c r="U525" i="25"/>
  <c r="U539" i="25"/>
  <c r="AD538" i="25"/>
  <c r="AE538" i="25" s="1"/>
  <c r="U488" i="25"/>
  <c r="AD487" i="25"/>
  <c r="AE487" i="25" s="1"/>
  <c r="AD471" i="25"/>
  <c r="AE471" i="25" s="1"/>
  <c r="U472" i="25"/>
  <c r="U501" i="25"/>
  <c r="AD500" i="25"/>
  <c r="AE500" i="25" s="1"/>
  <c r="U469" i="25"/>
  <c r="AD468" i="25"/>
  <c r="AE468" i="25" s="1"/>
  <c r="U473" i="25"/>
  <c r="AD472" i="25"/>
  <c r="AE472" i="25" s="1"/>
  <c r="U425" i="25"/>
  <c r="AD424" i="25"/>
  <c r="AE424" i="25" s="1"/>
  <c r="U419" i="25"/>
  <c r="AD418" i="25"/>
  <c r="AE418" i="25" s="1"/>
  <c r="U396" i="25"/>
  <c r="AD395" i="25"/>
  <c r="AE395" i="25" s="1"/>
  <c r="U365" i="25"/>
  <c r="AD364" i="25"/>
  <c r="AE364" i="25" s="1"/>
  <c r="U340" i="25"/>
  <c r="AD339" i="25"/>
  <c r="AE339" i="25" s="1"/>
  <c r="U331" i="25"/>
  <c r="AD330" i="25"/>
  <c r="AE330" i="25" s="1"/>
  <c r="U290" i="25"/>
  <c r="AD289" i="25"/>
  <c r="AE289" i="25" s="1"/>
  <c r="U271" i="25"/>
  <c r="AD270" i="25"/>
  <c r="AE270" i="25" s="1"/>
  <c r="U335" i="25"/>
  <c r="AD334" i="25"/>
  <c r="AE334" i="25" s="1"/>
  <c r="AD293" i="25"/>
  <c r="AE293" i="25" s="1"/>
  <c r="U294" i="25"/>
  <c r="U274" i="25"/>
  <c r="AD273" i="25"/>
  <c r="AE273" i="25" s="1"/>
  <c r="U258" i="25"/>
  <c r="AD257" i="25"/>
  <c r="AE257" i="25" s="1"/>
  <c r="U210" i="25"/>
  <c r="AD209" i="25"/>
  <c r="AE209" i="25" s="1"/>
  <c r="U194" i="25"/>
  <c r="AD193" i="25"/>
  <c r="AE193" i="25" s="1"/>
  <c r="U178" i="25"/>
  <c r="AD177" i="25"/>
  <c r="AE177" i="25" s="1"/>
  <c r="U162" i="25"/>
  <c r="AD161" i="25"/>
  <c r="AE161" i="25" s="1"/>
  <c r="U146" i="25"/>
  <c r="AD145" i="25"/>
  <c r="AE145" i="25" s="1"/>
  <c r="U130" i="25"/>
  <c r="AD129" i="25"/>
  <c r="AE129" i="25" s="1"/>
  <c r="U320" i="25"/>
  <c r="AD319" i="25"/>
  <c r="AE319" i="25" s="1"/>
  <c r="U261" i="25"/>
  <c r="AD260" i="25"/>
  <c r="AE260" i="25" s="1"/>
  <c r="U155" i="25"/>
  <c r="AD154" i="25"/>
  <c r="AE154" i="25" s="1"/>
  <c r="U123" i="25"/>
  <c r="AD122" i="25"/>
  <c r="AE122" i="25" s="1"/>
  <c r="U98" i="25"/>
  <c r="AD97" i="25"/>
  <c r="AE97" i="25" s="1"/>
  <c r="U75" i="25"/>
  <c r="AD74" i="25"/>
  <c r="AE74" i="25" s="1"/>
  <c r="U97" i="25"/>
  <c r="AD96" i="25"/>
  <c r="AE96" i="25" s="1"/>
  <c r="AD55" i="25"/>
  <c r="AE55" i="25" s="1"/>
  <c r="U56" i="25"/>
  <c r="U297" i="25"/>
  <c r="AD296" i="25"/>
  <c r="AE296" i="25" s="1"/>
  <c r="U92" i="25"/>
  <c r="AD91" i="25"/>
  <c r="AE91" i="25" s="1"/>
  <c r="U69" i="25"/>
  <c r="AD68" i="25"/>
  <c r="AE68" i="25" s="1"/>
  <c r="U39" i="25"/>
  <c r="AD38" i="25"/>
  <c r="AE38" i="25" s="1"/>
  <c r="U169" i="25"/>
  <c r="AD168" i="25"/>
  <c r="AE168" i="25" s="1"/>
  <c r="U133" i="25"/>
  <c r="AD132" i="25"/>
  <c r="AE132" i="25" s="1"/>
  <c r="U157" i="25"/>
  <c r="AD156" i="25"/>
  <c r="AE156" i="25" s="1"/>
  <c r="U603" i="25"/>
  <c r="AD602" i="25"/>
  <c r="AE602" i="25" s="1"/>
  <c r="U604" i="25"/>
  <c r="AD603" i="25"/>
  <c r="AE603" i="25" s="1"/>
  <c r="U602" i="25"/>
  <c r="AD601" i="25"/>
  <c r="AE601" i="25" s="1"/>
  <c r="AD578" i="25"/>
  <c r="AE578" i="25" s="1"/>
  <c r="U579" i="25"/>
  <c r="U571" i="25"/>
  <c r="AD570" i="25"/>
  <c r="AE570" i="25" s="1"/>
  <c r="U600" i="25"/>
  <c r="AD599" i="25"/>
  <c r="AE599" i="25" s="1"/>
  <c r="U562" i="25"/>
  <c r="AD561" i="25"/>
  <c r="AE561" i="25" s="1"/>
  <c r="U544" i="25"/>
  <c r="AD543" i="25"/>
  <c r="AE543" i="25" s="1"/>
  <c r="U572" i="25"/>
  <c r="AD571" i="25"/>
  <c r="AE571" i="25" s="1"/>
  <c r="U555" i="25"/>
  <c r="AD554" i="25"/>
  <c r="AE554" i="25" s="1"/>
  <c r="U484" i="25"/>
  <c r="AD483" i="25"/>
  <c r="AE483" i="25" s="1"/>
  <c r="AD430" i="25"/>
  <c r="AE430" i="25" s="1"/>
  <c r="U431" i="25"/>
  <c r="U448" i="25"/>
  <c r="AD447" i="25"/>
  <c r="AE447" i="25" s="1"/>
  <c r="U301" i="25"/>
  <c r="AD300" i="25"/>
  <c r="AE300" i="25" s="1"/>
  <c r="U395" i="25"/>
  <c r="AD394" i="25"/>
  <c r="AE394" i="25" s="1"/>
  <c r="U342" i="25"/>
  <c r="AD341" i="25"/>
  <c r="AE341" i="25" s="1"/>
  <c r="U287" i="25"/>
  <c r="AD286" i="25"/>
  <c r="AE286" i="25" s="1"/>
  <c r="U222" i="25"/>
  <c r="AD221" i="25"/>
  <c r="AE221" i="25" s="1"/>
  <c r="U190" i="25"/>
  <c r="AD189" i="25"/>
  <c r="AE189" i="25" s="1"/>
  <c r="U158" i="25"/>
  <c r="AD157" i="25"/>
  <c r="AE157" i="25" s="1"/>
  <c r="U304" i="25"/>
  <c r="AD303" i="25"/>
  <c r="AE303" i="25" s="1"/>
  <c r="U179" i="25"/>
  <c r="AD178" i="25"/>
  <c r="AE178" i="25" s="1"/>
  <c r="AD43" i="25"/>
  <c r="AE43" i="25" s="1"/>
  <c r="U44" i="25"/>
  <c r="U34" i="25"/>
  <c r="AD33" i="25"/>
  <c r="AE33" i="25" s="1"/>
  <c r="AD37" i="25"/>
  <c r="AE37" i="25" s="1"/>
  <c r="U38" i="25"/>
  <c r="U14" i="25"/>
  <c r="AD13" i="25"/>
  <c r="U565" i="25"/>
  <c r="AD564" i="25"/>
  <c r="AE564" i="25" s="1"/>
  <c r="U582" i="25"/>
  <c r="AD581" i="25"/>
  <c r="AE581" i="25" s="1"/>
  <c r="U554" i="25"/>
  <c r="AD553" i="25"/>
  <c r="AE553" i="25" s="1"/>
  <c r="U533" i="25"/>
  <c r="AD532" i="25"/>
  <c r="AE532" i="25" s="1"/>
  <c r="U580" i="25"/>
  <c r="AD579" i="25"/>
  <c r="AE579" i="25" s="1"/>
  <c r="U527" i="25"/>
  <c r="AD526" i="25"/>
  <c r="AE526" i="25" s="1"/>
  <c r="U510" i="25"/>
  <c r="AD509" i="25"/>
  <c r="AE509" i="25" s="1"/>
  <c r="U553" i="25"/>
  <c r="AD552" i="25"/>
  <c r="AE552" i="25" s="1"/>
  <c r="U477" i="25"/>
  <c r="AD476" i="25"/>
  <c r="AE476" i="25" s="1"/>
  <c r="U495" i="25"/>
  <c r="AD494" i="25"/>
  <c r="AE494" i="25" s="1"/>
  <c r="AD448" i="25"/>
  <c r="AE448" i="25" s="1"/>
  <c r="U449" i="25"/>
  <c r="U479" i="25"/>
  <c r="AD478" i="25"/>
  <c r="AE478" i="25" s="1"/>
  <c r="U489" i="25"/>
  <c r="AD488" i="25"/>
  <c r="AE488" i="25" s="1"/>
  <c r="U410" i="25"/>
  <c r="AD409" i="25"/>
  <c r="AE409" i="25" s="1"/>
  <c r="U483" i="25"/>
  <c r="AD482" i="25"/>
  <c r="AE482" i="25" s="1"/>
  <c r="U428" i="25"/>
  <c r="AD427" i="25"/>
  <c r="AE427" i="25" s="1"/>
  <c r="AD426" i="25"/>
  <c r="AE426" i="25" s="1"/>
  <c r="U427" i="25"/>
  <c r="U404" i="25"/>
  <c r="AD403" i="25"/>
  <c r="AE403" i="25" s="1"/>
  <c r="U414" i="25"/>
  <c r="AD413" i="25"/>
  <c r="AE413" i="25" s="1"/>
  <c r="U390" i="25"/>
  <c r="AD389" i="25"/>
  <c r="AE389" i="25" s="1"/>
  <c r="U405" i="25"/>
  <c r="AD404" i="25"/>
  <c r="AE404" i="25" s="1"/>
  <c r="U381" i="25"/>
  <c r="AD380" i="25"/>
  <c r="AE380" i="25" s="1"/>
  <c r="U371" i="25"/>
  <c r="AD370" i="25"/>
  <c r="AE370" i="25" s="1"/>
  <c r="AD357" i="25"/>
  <c r="AE357" i="25" s="1"/>
  <c r="U358" i="25"/>
  <c r="U298" i="25"/>
  <c r="AD297" i="25"/>
  <c r="AE297" i="25" s="1"/>
  <c r="AD276" i="25"/>
  <c r="AE276" i="25" s="1"/>
  <c r="U277" i="25"/>
  <c r="U343" i="25"/>
  <c r="AD342" i="25"/>
  <c r="AE342" i="25" s="1"/>
  <c r="U279" i="25"/>
  <c r="AD278" i="25"/>
  <c r="AE278" i="25" s="1"/>
  <c r="AD247" i="25"/>
  <c r="AE247" i="25" s="1"/>
  <c r="U248" i="25"/>
  <c r="U235" i="25"/>
  <c r="AD234" i="25"/>
  <c r="AE234" i="25" s="1"/>
  <c r="AD215" i="25"/>
  <c r="AE215" i="25" s="1"/>
  <c r="U216" i="25"/>
  <c r="AD183" i="25"/>
  <c r="AE183" i="25" s="1"/>
  <c r="U184" i="25"/>
  <c r="AD151" i="25"/>
  <c r="AE151" i="25" s="1"/>
  <c r="U152" i="25"/>
  <c r="AD119" i="25"/>
  <c r="AE119" i="25" s="1"/>
  <c r="U120" i="25"/>
  <c r="U106" i="25"/>
  <c r="AD105" i="25"/>
  <c r="AE105" i="25" s="1"/>
  <c r="U83" i="25"/>
  <c r="AD82" i="25"/>
  <c r="AE82" i="25" s="1"/>
  <c r="U255" i="25"/>
  <c r="AD254" i="25"/>
  <c r="AE254" i="25" s="1"/>
  <c r="U64" i="25"/>
  <c r="AD63" i="25"/>
  <c r="AE63" i="25" s="1"/>
  <c r="U100" i="25"/>
  <c r="AD99" i="25"/>
  <c r="AE99" i="25" s="1"/>
  <c r="U77" i="25"/>
  <c r="AD76" i="25"/>
  <c r="AE76" i="25" s="1"/>
  <c r="U36" i="25"/>
  <c r="AD35" i="25"/>
  <c r="AE35" i="25" s="1"/>
  <c r="U63" i="25"/>
  <c r="AD62" i="25"/>
  <c r="AE62" i="25" s="1"/>
  <c r="U16" i="25"/>
  <c r="AD15" i="25"/>
  <c r="AE15" i="25" s="1"/>
  <c r="U46" i="25"/>
  <c r="AD45" i="25"/>
  <c r="AE45" i="25" s="1"/>
  <c r="U181" i="25"/>
  <c r="AD180" i="25"/>
  <c r="AE180" i="25" s="1"/>
  <c r="U25" i="25"/>
  <c r="AD24" i="25"/>
  <c r="AE24" i="25" s="1"/>
  <c r="U153" i="25"/>
  <c r="AD152" i="25"/>
  <c r="AE152" i="25" s="1"/>
  <c r="U549" i="25"/>
  <c r="AD548" i="25"/>
  <c r="AE548" i="25" s="1"/>
  <c r="U499" i="25"/>
  <c r="AD498" i="25"/>
  <c r="AE498" i="25" s="1"/>
  <c r="U432" i="25"/>
  <c r="AD431" i="25"/>
  <c r="AE431" i="25" s="1"/>
  <c r="AD402" i="25"/>
  <c r="AE402" i="25" s="1"/>
  <c r="U403" i="25"/>
  <c r="U375" i="25"/>
  <c r="AD374" i="25"/>
  <c r="AE374" i="25" s="1"/>
  <c r="U345" i="25"/>
  <c r="AD344" i="25"/>
  <c r="AE344" i="25" s="1"/>
  <c r="AD266" i="25"/>
  <c r="AE266" i="25" s="1"/>
  <c r="U267" i="25"/>
  <c r="U289" i="25"/>
  <c r="AD288" i="25"/>
  <c r="AE288" i="25" s="1"/>
  <c r="U195" i="25"/>
  <c r="AD194" i="25"/>
  <c r="AE194" i="25" s="1"/>
  <c r="U104" i="25"/>
  <c r="AD103" i="25"/>
  <c r="AE103" i="25" s="1"/>
  <c r="U121" i="25"/>
  <c r="AD120" i="25"/>
  <c r="AE120" i="25" s="1"/>
  <c r="U189" i="25"/>
  <c r="AD188" i="25"/>
  <c r="AE188" i="25" s="1"/>
  <c r="U21" i="25"/>
  <c r="AD20" i="25"/>
  <c r="AE20" i="25" s="1"/>
  <c r="U601" i="25"/>
  <c r="AD600" i="25"/>
  <c r="AE600" i="25" s="1"/>
  <c r="U585" i="25"/>
  <c r="AD584" i="25"/>
  <c r="AE584" i="25" s="1"/>
  <c r="U561" i="25"/>
  <c r="AD560" i="25"/>
  <c r="AE560" i="25" s="1"/>
  <c r="U534" i="25"/>
  <c r="AD533" i="25"/>
  <c r="AE533" i="25" s="1"/>
  <c r="U543" i="25"/>
  <c r="AD542" i="25"/>
  <c r="AE542" i="25" s="1"/>
  <c r="U523" i="25"/>
  <c r="AD522" i="25"/>
  <c r="AE522" i="25" s="1"/>
  <c r="U506" i="25"/>
  <c r="AD505" i="25"/>
  <c r="AE505" i="25" s="1"/>
  <c r="AD473" i="25"/>
  <c r="AE473" i="25" s="1"/>
  <c r="U474" i="25"/>
  <c r="U518" i="25"/>
  <c r="AD517" i="25"/>
  <c r="AE517" i="25" s="1"/>
  <c r="U509" i="25"/>
  <c r="AD508" i="25"/>
  <c r="AE508" i="25" s="1"/>
  <c r="U461" i="25"/>
  <c r="AD460" i="25"/>
  <c r="AE460" i="25" s="1"/>
  <c r="U445" i="25"/>
  <c r="AD444" i="25"/>
  <c r="AE444" i="25" s="1"/>
  <c r="U429" i="25"/>
  <c r="AD428" i="25"/>
  <c r="AE428" i="25" s="1"/>
  <c r="U438" i="25"/>
  <c r="AD437" i="25"/>
  <c r="AE437" i="25" s="1"/>
  <c r="U426" i="25"/>
  <c r="AD425" i="25"/>
  <c r="AE425" i="25" s="1"/>
  <c r="U423" i="25"/>
  <c r="AD422" i="25"/>
  <c r="AE422" i="25" s="1"/>
  <c r="U420" i="25"/>
  <c r="AD419" i="25"/>
  <c r="AE419" i="25" s="1"/>
  <c r="U383" i="25"/>
  <c r="AD382" i="25"/>
  <c r="AE382" i="25" s="1"/>
  <c r="U421" i="25"/>
  <c r="AD420" i="25"/>
  <c r="AE420" i="25" s="1"/>
  <c r="U300" i="25"/>
  <c r="AD299" i="25"/>
  <c r="AE299" i="25" s="1"/>
  <c r="U378" i="25"/>
  <c r="AD377" i="25"/>
  <c r="AE377" i="25" s="1"/>
  <c r="U291" i="25"/>
  <c r="AD290" i="25"/>
  <c r="AE290" i="25" s="1"/>
  <c r="U273" i="25"/>
  <c r="AD272" i="25"/>
  <c r="AE272" i="25" s="1"/>
  <c r="U318" i="25"/>
  <c r="AD317" i="25"/>
  <c r="AE317" i="25" s="1"/>
  <c r="U276" i="25"/>
  <c r="AD275" i="25"/>
  <c r="AE275" i="25" s="1"/>
  <c r="U251" i="25"/>
  <c r="AD250" i="25"/>
  <c r="AE250" i="25" s="1"/>
  <c r="AD195" i="25"/>
  <c r="AE195" i="25" s="1"/>
  <c r="U196" i="25"/>
  <c r="AD163" i="25"/>
  <c r="AE163" i="25" s="1"/>
  <c r="U164" i="25"/>
  <c r="AD131" i="25"/>
  <c r="AE131" i="25" s="1"/>
  <c r="U132" i="25"/>
  <c r="U321" i="25"/>
  <c r="AD320" i="25"/>
  <c r="AE320" i="25" s="1"/>
  <c r="U221" i="25"/>
  <c r="AD220" i="25"/>
  <c r="AE220" i="25" s="1"/>
  <c r="U191" i="25"/>
  <c r="AD190" i="25"/>
  <c r="AE190" i="25" s="1"/>
  <c r="U159" i="25"/>
  <c r="AD158" i="25"/>
  <c r="AE158" i="25" s="1"/>
  <c r="U127" i="25"/>
  <c r="AD126" i="25"/>
  <c r="AE126" i="25" s="1"/>
  <c r="U58" i="25"/>
  <c r="AD57" i="25"/>
  <c r="AE57" i="25" s="1"/>
  <c r="U223" i="25"/>
  <c r="AD222" i="25"/>
  <c r="AE222" i="25" s="1"/>
  <c r="U80" i="25"/>
  <c r="AD79" i="25"/>
  <c r="AE79" i="25" s="1"/>
  <c r="U57" i="25"/>
  <c r="AD56" i="25"/>
  <c r="AE56" i="25" s="1"/>
  <c r="U328" i="25"/>
  <c r="AD327" i="25"/>
  <c r="AE327" i="25" s="1"/>
  <c r="AD115" i="25"/>
  <c r="AE115" i="25" s="1"/>
  <c r="U116" i="25"/>
  <c r="U29" i="25"/>
  <c r="AD28" i="25"/>
  <c r="AE28" i="25" s="1"/>
  <c r="U201" i="25"/>
  <c r="AD200" i="25"/>
  <c r="AE200" i="25" s="1"/>
  <c r="U31" i="25"/>
  <c r="AD30" i="25"/>
  <c r="AE30" i="25" s="1"/>
  <c r="U22" i="25"/>
  <c r="AD21" i="25"/>
  <c r="AE21" i="25" s="1"/>
  <c r="U70" i="25"/>
  <c r="AD69" i="25"/>
  <c r="AE69" i="25" s="1"/>
  <c r="U18" i="25"/>
  <c r="AD17" i="25"/>
  <c r="AE17" i="25" s="1"/>
  <c r="U385" i="25"/>
  <c r="AD384" i="25"/>
  <c r="AE384" i="25" s="1"/>
  <c r="U379" i="25"/>
  <c r="AD378" i="25"/>
  <c r="AE378" i="25" s="1"/>
  <c r="AD237" i="25"/>
  <c r="AE237" i="25" s="1"/>
  <c r="U238" i="25"/>
  <c r="U182" i="25"/>
  <c r="AD181" i="25"/>
  <c r="AE181" i="25" s="1"/>
  <c r="U126" i="25"/>
  <c r="AD125" i="25"/>
  <c r="AE125" i="25" s="1"/>
  <c r="U53" i="25"/>
  <c r="AD52" i="25"/>
  <c r="AE52" i="25" s="1"/>
  <c r="U110" i="25"/>
  <c r="AD109" i="25"/>
  <c r="AE109" i="25" s="1"/>
  <c r="U583" i="25"/>
  <c r="AD582" i="25"/>
  <c r="AE582" i="25" s="1"/>
  <c r="AD577" i="25"/>
  <c r="AE577" i="25" s="1"/>
  <c r="U578" i="25"/>
  <c r="U521" i="25"/>
  <c r="AD520" i="25"/>
  <c r="AE520" i="25" s="1"/>
  <c r="U504" i="25"/>
  <c r="AD503" i="25"/>
  <c r="AE503" i="25" s="1"/>
  <c r="U459" i="25"/>
  <c r="AD458" i="25"/>
  <c r="AE458" i="25" s="1"/>
  <c r="U443" i="25"/>
  <c r="AD442" i="25"/>
  <c r="AE442" i="25" s="1"/>
  <c r="U471" i="25"/>
  <c r="AD470" i="25"/>
  <c r="AE470" i="25" s="1"/>
  <c r="U452" i="25"/>
  <c r="AD451" i="25"/>
  <c r="AE451" i="25" s="1"/>
  <c r="U436" i="25"/>
  <c r="AD435" i="25"/>
  <c r="AE435" i="25" s="1"/>
  <c r="U402" i="25"/>
  <c r="AD401" i="25"/>
  <c r="AE401" i="25" s="1"/>
  <c r="U465" i="25"/>
  <c r="AD464" i="25"/>
  <c r="AE464" i="25" s="1"/>
  <c r="U481" i="25"/>
  <c r="AD480" i="25"/>
  <c r="AE480" i="25" s="1"/>
  <c r="U400" i="25"/>
  <c r="AD399" i="25"/>
  <c r="AE399" i="25" s="1"/>
  <c r="U382" i="25"/>
  <c r="AD381" i="25"/>
  <c r="AE381" i="25" s="1"/>
  <c r="AD373" i="25"/>
  <c r="AE373" i="25" s="1"/>
  <c r="U374" i="25"/>
  <c r="U349" i="25"/>
  <c r="AD348" i="25"/>
  <c r="AE348" i="25" s="1"/>
  <c r="U317" i="25"/>
  <c r="AD316" i="25"/>
  <c r="AE316" i="25" s="1"/>
  <c r="U352" i="25"/>
  <c r="AD351" i="25"/>
  <c r="AE351" i="25" s="1"/>
  <c r="U242" i="25"/>
  <c r="AD241" i="25"/>
  <c r="AE241" i="25" s="1"/>
  <c r="U226" i="25"/>
  <c r="AD225" i="25"/>
  <c r="AE225" i="25" s="1"/>
  <c r="U227" i="25"/>
  <c r="AD226" i="25"/>
  <c r="AE226" i="25" s="1"/>
  <c r="U257" i="25"/>
  <c r="AD256" i="25"/>
  <c r="AE256" i="25" s="1"/>
  <c r="U219" i="25"/>
  <c r="AD218" i="25"/>
  <c r="AE218" i="25" s="1"/>
  <c r="U187" i="25"/>
  <c r="AD186" i="25"/>
  <c r="AE186" i="25" s="1"/>
  <c r="U50" i="25"/>
  <c r="AD49" i="25"/>
  <c r="AE49" i="25" s="1"/>
  <c r="AD27" i="25"/>
  <c r="AE27" i="25" s="1"/>
  <c r="U28" i="25"/>
  <c r="U145" i="25"/>
  <c r="AD144" i="25"/>
  <c r="AE144" i="25" s="1"/>
  <c r="U54" i="25"/>
  <c r="AD53" i="25"/>
  <c r="AE53" i="25" s="1"/>
  <c r="U47" i="25"/>
  <c r="AD46" i="25"/>
  <c r="AE46" i="25" s="1"/>
  <c r="U598" i="25"/>
  <c r="AD597" i="25"/>
  <c r="AE597" i="25" s="1"/>
  <c r="AD527" i="25"/>
  <c r="AE527" i="25" s="1"/>
  <c r="U528" i="25"/>
  <c r="U529" i="25"/>
  <c r="AD528" i="25"/>
  <c r="AE528" i="25" s="1"/>
  <c r="U398" i="25"/>
  <c r="AD397" i="25"/>
  <c r="AE397" i="25" s="1"/>
  <c r="AD375" i="25"/>
  <c r="AE375" i="25" s="1"/>
  <c r="U376" i="25"/>
  <c r="AD253" i="25"/>
  <c r="AE253" i="25" s="1"/>
  <c r="U254" i="25"/>
  <c r="U114" i="25"/>
  <c r="AD113" i="25"/>
  <c r="AE113" i="25" s="1"/>
  <c r="U85" i="25"/>
  <c r="AD84" i="25"/>
  <c r="AE84" i="25" s="1"/>
  <c r="U24" i="25"/>
  <c r="AD23" i="25"/>
  <c r="AE23" i="25" s="1"/>
  <c r="U225" i="25"/>
  <c r="AD224" i="25"/>
  <c r="AE224" i="25" s="1"/>
  <c r="U125" i="25"/>
  <c r="AD124" i="25"/>
  <c r="AE124" i="25" s="1"/>
  <c r="U605" i="25"/>
  <c r="AD604" i="25"/>
  <c r="AE604" i="25" s="1"/>
  <c r="U589" i="25"/>
  <c r="AD588" i="25"/>
  <c r="AE588" i="25" s="1"/>
  <c r="U592" i="25"/>
  <c r="AD591" i="25"/>
  <c r="AE591" i="25" s="1"/>
  <c r="U538" i="25"/>
  <c r="AD537" i="25"/>
  <c r="AE537" i="25" s="1"/>
  <c r="U558" i="25"/>
  <c r="AD557" i="25"/>
  <c r="AE557" i="25" s="1"/>
  <c r="U494" i="25"/>
  <c r="AD493" i="25"/>
  <c r="AE493" i="25" s="1"/>
  <c r="U478" i="25"/>
  <c r="AD477" i="25"/>
  <c r="AE477" i="25" s="1"/>
  <c r="AD432" i="25"/>
  <c r="AE432" i="25" s="1"/>
  <c r="U433" i="25"/>
  <c r="U458" i="25"/>
  <c r="AD457" i="25"/>
  <c r="AE457" i="25" s="1"/>
  <c r="U442" i="25"/>
  <c r="AD441" i="25"/>
  <c r="AE441" i="25" s="1"/>
  <c r="U407" i="25"/>
  <c r="AD406" i="25"/>
  <c r="AE406" i="25" s="1"/>
  <c r="U355" i="25"/>
  <c r="AD354" i="25"/>
  <c r="AE354" i="25" s="1"/>
  <c r="U325" i="25"/>
  <c r="AD324" i="25"/>
  <c r="AE324" i="25" s="1"/>
  <c r="U284" i="25"/>
  <c r="AD283" i="25"/>
  <c r="AE283" i="25" s="1"/>
  <c r="U339" i="25"/>
  <c r="AD338" i="25"/>
  <c r="AE338" i="25" s="1"/>
  <c r="AD301" i="25"/>
  <c r="AE301" i="25" s="1"/>
  <c r="U302" i="25"/>
  <c r="U264" i="25"/>
  <c r="AD263" i="25"/>
  <c r="AE263" i="25" s="1"/>
  <c r="AD231" i="25"/>
  <c r="AE231" i="25" s="1"/>
  <c r="U232" i="25"/>
  <c r="AD199" i="25"/>
  <c r="AE199" i="25" s="1"/>
  <c r="U200" i="25"/>
  <c r="AD167" i="25"/>
  <c r="AE167" i="25" s="1"/>
  <c r="U168" i="25"/>
  <c r="AD135" i="25"/>
  <c r="AE135" i="25" s="1"/>
  <c r="U136" i="25"/>
  <c r="U199" i="25"/>
  <c r="AD198" i="25"/>
  <c r="AE198" i="25" s="1"/>
  <c r="U167" i="25"/>
  <c r="AD166" i="25"/>
  <c r="AE166" i="25" s="1"/>
  <c r="U135" i="25"/>
  <c r="AD134" i="25"/>
  <c r="AE134" i="25" s="1"/>
  <c r="U105" i="25"/>
  <c r="AD104" i="25"/>
  <c r="AE104" i="25" s="1"/>
  <c r="U41" i="25"/>
  <c r="AD40" i="25"/>
  <c r="AE40" i="25" s="1"/>
  <c r="U193" i="25"/>
  <c r="AD192" i="25"/>
  <c r="AE192" i="25" s="1"/>
  <c r="U86" i="25"/>
  <c r="AD85" i="25"/>
  <c r="AE85" i="25" s="1"/>
  <c r="U205" i="25"/>
  <c r="AD204" i="25"/>
  <c r="AE204" i="25" s="1"/>
  <c r="U27" i="25"/>
  <c r="AD26" i="25"/>
  <c r="AE26" i="25" s="1"/>
  <c r="AD516" i="25"/>
  <c r="AE516" i="25" s="1"/>
  <c r="U517" i="25"/>
  <c r="U468" i="25"/>
  <c r="AD467" i="25"/>
  <c r="AE467" i="25" s="1"/>
  <c r="U487" i="25"/>
  <c r="AD486" i="25"/>
  <c r="AE486" i="25" s="1"/>
  <c r="U389" i="25"/>
  <c r="AD388" i="25"/>
  <c r="AE388" i="25" s="1"/>
  <c r="U315" i="25"/>
  <c r="AD314" i="25"/>
  <c r="AE314" i="25" s="1"/>
  <c r="U319" i="25"/>
  <c r="AD318" i="25"/>
  <c r="AE318" i="25" s="1"/>
  <c r="AD245" i="25"/>
  <c r="AE245" i="25" s="1"/>
  <c r="U246" i="25"/>
  <c r="U174" i="25"/>
  <c r="AD173" i="25"/>
  <c r="AE173" i="25" s="1"/>
  <c r="U337" i="25"/>
  <c r="AD336" i="25"/>
  <c r="AE336" i="25" s="1"/>
  <c r="U49" i="25"/>
  <c r="AD48" i="25"/>
  <c r="AE48" i="25" s="1"/>
  <c r="AD613" i="25"/>
  <c r="AE613" i="25" s="1"/>
  <c r="U613" i="25"/>
  <c r="AD612" i="25"/>
  <c r="AE612" i="25" s="1"/>
  <c r="U588" i="25"/>
  <c r="AD587" i="25"/>
  <c r="AE587" i="25" s="1"/>
  <c r="U576" i="25"/>
  <c r="AD575" i="25"/>
  <c r="AE575" i="25" s="1"/>
  <c r="U550" i="25"/>
  <c r="AD549" i="25"/>
  <c r="AE549" i="25" s="1"/>
  <c r="U547" i="25"/>
  <c r="AD546" i="25"/>
  <c r="AE546" i="25" s="1"/>
  <c r="U490" i="25"/>
  <c r="AD489" i="25"/>
  <c r="AE489" i="25" s="1"/>
  <c r="AD513" i="25"/>
  <c r="AE513" i="25" s="1"/>
  <c r="U514" i="25"/>
  <c r="U454" i="25"/>
  <c r="AD453" i="25"/>
  <c r="AE453" i="25" s="1"/>
  <c r="U397" i="25"/>
  <c r="AD396" i="25"/>
  <c r="AE396" i="25" s="1"/>
  <c r="U384" i="25"/>
  <c r="AD383" i="25"/>
  <c r="AE383" i="25" s="1"/>
  <c r="U367" i="25"/>
  <c r="AD366" i="25"/>
  <c r="AE366" i="25" s="1"/>
  <c r="U351" i="25"/>
  <c r="AD350" i="25"/>
  <c r="AE350" i="25" s="1"/>
  <c r="U341" i="25"/>
  <c r="AD340" i="25"/>
  <c r="AE340" i="25" s="1"/>
  <c r="AD353" i="25"/>
  <c r="AE353" i="25" s="1"/>
  <c r="U354" i="25"/>
  <c r="U314" i="25"/>
  <c r="AD313" i="25"/>
  <c r="AE313" i="25" s="1"/>
  <c r="U394" i="25"/>
  <c r="AD393" i="25"/>
  <c r="AE393" i="25" s="1"/>
  <c r="U295" i="25"/>
  <c r="AD294" i="25"/>
  <c r="AE294" i="25" s="1"/>
  <c r="U260" i="25"/>
  <c r="AD259" i="25"/>
  <c r="AE259" i="25" s="1"/>
  <c r="U244" i="25"/>
  <c r="AD243" i="25"/>
  <c r="AE243" i="25" s="1"/>
  <c r="U228" i="25"/>
  <c r="AD227" i="25"/>
  <c r="AE227" i="25" s="1"/>
  <c r="U280" i="25"/>
  <c r="AD279" i="25"/>
  <c r="AE279" i="25" s="1"/>
  <c r="AD211" i="25"/>
  <c r="AE211" i="25" s="1"/>
  <c r="U212" i="25"/>
  <c r="AD179" i="25"/>
  <c r="AE179" i="25" s="1"/>
  <c r="U180" i="25"/>
  <c r="AD147" i="25"/>
  <c r="AE147" i="25" s="1"/>
  <c r="U148" i="25"/>
  <c r="U336" i="25"/>
  <c r="AD335" i="25"/>
  <c r="AE335" i="25" s="1"/>
  <c r="U99" i="25"/>
  <c r="AD98" i="25"/>
  <c r="AE98" i="25" s="1"/>
  <c r="U93" i="25"/>
  <c r="AD92" i="25"/>
  <c r="AE92" i="25" s="1"/>
  <c r="AD51" i="25"/>
  <c r="AE51" i="25" s="1"/>
  <c r="U52" i="25"/>
  <c r="U161" i="25"/>
  <c r="AD160" i="25"/>
  <c r="AE160" i="25" s="1"/>
  <c r="U149" i="25"/>
  <c r="AD148" i="25"/>
  <c r="AE148" i="25" s="1"/>
  <c r="U55" i="25"/>
  <c r="AD54" i="25"/>
  <c r="AE54" i="25" s="1"/>
  <c r="U173" i="25"/>
  <c r="AD172" i="25"/>
  <c r="AE172" i="25" s="1"/>
  <c r="U545" i="25"/>
  <c r="AD544" i="25"/>
  <c r="AE544" i="25" s="1"/>
  <c r="U476" i="25"/>
  <c r="AD475" i="25"/>
  <c r="AE475" i="25" s="1"/>
  <c r="AD438" i="25"/>
  <c r="AE438" i="25" s="1"/>
  <c r="U439" i="25"/>
  <c r="U412" i="25"/>
  <c r="AD411" i="25"/>
  <c r="AE411" i="25" s="1"/>
  <c r="U333" i="25"/>
  <c r="AD332" i="25"/>
  <c r="AE332" i="25" s="1"/>
  <c r="U306" i="25"/>
  <c r="AD305" i="25"/>
  <c r="AE305" i="25" s="1"/>
  <c r="AD363" i="25"/>
  <c r="AE363" i="25" s="1"/>
  <c r="U364" i="25"/>
  <c r="U91" i="25"/>
  <c r="AD90" i="25"/>
  <c r="AE90" i="25" s="1"/>
  <c r="U113" i="25"/>
  <c r="AD112" i="25"/>
  <c r="AE112" i="25" s="1"/>
  <c r="U40" i="25"/>
  <c r="AD39" i="25"/>
  <c r="AE39" i="25" s="1"/>
  <c r="U329" i="25"/>
  <c r="AD328" i="25"/>
  <c r="AE328" i="25" s="1"/>
  <c r="U111" i="25"/>
  <c r="AD110" i="25"/>
  <c r="AE110" i="25" s="1"/>
  <c r="AE387" i="17"/>
  <c r="AE535" i="17"/>
  <c r="AE416" i="17"/>
  <c r="AE426" i="17"/>
  <c r="AD128" i="17"/>
  <c r="AE128" i="17" s="1"/>
  <c r="AD297" i="17"/>
  <c r="AE297" i="17" s="1"/>
  <c r="AD62" i="17"/>
  <c r="AE62" i="17" s="1"/>
  <c r="AD533" i="17"/>
  <c r="AE533" i="17" s="1"/>
  <c r="AD520" i="17"/>
  <c r="AE520" i="17" s="1"/>
  <c r="AD35" i="17"/>
  <c r="AE35" i="17" s="1"/>
  <c r="AD93" i="17"/>
  <c r="AE93" i="17" s="1"/>
  <c r="AD199" i="17"/>
  <c r="AE199" i="17" s="1"/>
  <c r="AD175" i="17"/>
  <c r="AE175" i="17" s="1"/>
  <c r="AD534" i="17"/>
  <c r="AE534" i="17" s="1"/>
  <c r="AD200" i="17"/>
  <c r="AE200" i="17" s="1"/>
  <c r="AD190" i="17"/>
  <c r="AE190" i="17" s="1"/>
  <c r="AD270" i="17"/>
  <c r="AE270" i="17" s="1"/>
  <c r="AD82" i="17"/>
  <c r="AE82" i="17" s="1"/>
  <c r="AD538" i="17"/>
  <c r="AE538" i="17" s="1"/>
  <c r="AD302" i="17"/>
  <c r="AE302" i="17" s="1"/>
  <c r="AD355" i="17"/>
  <c r="AE355" i="17" s="1"/>
  <c r="AD52" i="17"/>
  <c r="AE52" i="17" s="1"/>
  <c r="AD219" i="17"/>
  <c r="AE219" i="17" s="1"/>
  <c r="AD334" i="17"/>
  <c r="AE334" i="17" s="1"/>
  <c r="AD137" i="17"/>
  <c r="AE137" i="17" s="1"/>
  <c r="AD325" i="17"/>
  <c r="AE325" i="17" s="1"/>
  <c r="AD360" i="17"/>
  <c r="AE360" i="17" s="1"/>
  <c r="AD283" i="17"/>
  <c r="AE283" i="17" s="1"/>
  <c r="AD63" i="17"/>
  <c r="AE63" i="17" s="1"/>
  <c r="AD326" i="17"/>
  <c r="AE326" i="17" s="1"/>
  <c r="AD576" i="17"/>
  <c r="AE576" i="17" s="1"/>
  <c r="AD593" i="17"/>
  <c r="AE593" i="17" s="1"/>
  <c r="AD592" i="17"/>
  <c r="AE592" i="17" s="1"/>
  <c r="AD316" i="17"/>
  <c r="AE316" i="17" s="1"/>
  <c r="AD101" i="17"/>
  <c r="AE101" i="17" s="1"/>
  <c r="AD90" i="17"/>
  <c r="AE90" i="17" s="1"/>
  <c r="AD410" i="17"/>
  <c r="AE410" i="17" s="1"/>
  <c r="AD294" i="17"/>
  <c r="AE294" i="17" s="1"/>
  <c r="AD413" i="17"/>
  <c r="AE413" i="17" s="1"/>
  <c r="AD234" i="17"/>
  <c r="AE234" i="17" s="1"/>
  <c r="AD58" i="17"/>
  <c r="AE58" i="17" s="1"/>
  <c r="AD233" i="17"/>
  <c r="AE233" i="17" s="1"/>
  <c r="AD459" i="17"/>
  <c r="AE459" i="17" s="1"/>
  <c r="AD590" i="17"/>
  <c r="AE590" i="17" s="1"/>
  <c r="AD405" i="17"/>
  <c r="AE405" i="17" s="1"/>
  <c r="AD92" i="17"/>
  <c r="AE92" i="17" s="1"/>
  <c r="AD453" i="17"/>
  <c r="AE453" i="17" s="1"/>
  <c r="AD259" i="17"/>
  <c r="AE259" i="17" s="1"/>
  <c r="AD132" i="17"/>
  <c r="AE132" i="17" s="1"/>
  <c r="AD482" i="17"/>
  <c r="AE482" i="17" s="1"/>
  <c r="AD457" i="17"/>
  <c r="AE457" i="17" s="1"/>
  <c r="AD146" i="17"/>
  <c r="AE146" i="17" s="1"/>
  <c r="AD135" i="17"/>
  <c r="AE135" i="17" s="1"/>
  <c r="AD266" i="17"/>
  <c r="AE266" i="17" s="1"/>
  <c r="AD99" i="17"/>
  <c r="AE99" i="17" s="1"/>
  <c r="AD205" i="17"/>
  <c r="AE205" i="17" s="1"/>
  <c r="AD213" i="17"/>
  <c r="AE213" i="17" s="1"/>
  <c r="AD469" i="17"/>
  <c r="AE469" i="17" s="1"/>
  <c r="AD397" i="17"/>
  <c r="AE397" i="17" s="1"/>
  <c r="AD156" i="17"/>
  <c r="AE156" i="17" s="1"/>
  <c r="AD569" i="17"/>
  <c r="AE569" i="17" s="1"/>
  <c r="AD288" i="17"/>
  <c r="AE288" i="17" s="1"/>
  <c r="AD122" i="17"/>
  <c r="AE122" i="17" s="1"/>
  <c r="AD145" i="17"/>
  <c r="AE145" i="17" s="1"/>
  <c r="AD470" i="17"/>
  <c r="AE470" i="17" s="1"/>
  <c r="AD37" i="17"/>
  <c r="AE37" i="17" s="1"/>
  <c r="AD585" i="17"/>
  <c r="AE585" i="17" s="1"/>
  <c r="AD464" i="17"/>
  <c r="AE464" i="17" s="1"/>
  <c r="AD393" i="17"/>
  <c r="AE393" i="17" s="1"/>
  <c r="AD211" i="17"/>
  <c r="AE211" i="17" s="1"/>
  <c r="AD501" i="17"/>
  <c r="AE501" i="17" s="1"/>
  <c r="AD380" i="17"/>
  <c r="AE380" i="17" s="1"/>
  <c r="AD309" i="17"/>
  <c r="AE309" i="17" s="1"/>
  <c r="AD512" i="17"/>
  <c r="AE512" i="17" s="1"/>
  <c r="AD241" i="17"/>
  <c r="AE241" i="17" s="1"/>
  <c r="AD123" i="17"/>
  <c r="AE123" i="17" s="1"/>
  <c r="AD540" i="17"/>
  <c r="AE540" i="17" s="1"/>
  <c r="AD448" i="17"/>
  <c r="AE448" i="17" s="1"/>
  <c r="AD500" i="17"/>
  <c r="AE500" i="17" s="1"/>
  <c r="AD499" i="17"/>
  <c r="AE499" i="17" s="1"/>
  <c r="AD483" i="17"/>
  <c r="AE483" i="17" s="1"/>
  <c r="U130" i="17"/>
  <c r="AD597" i="17"/>
  <c r="AE597" i="17" s="1"/>
  <c r="AD166" i="17"/>
  <c r="AE166" i="17" s="1"/>
  <c r="AD442" i="17"/>
  <c r="AE442" i="17" s="1"/>
  <c r="AD67" i="17"/>
  <c r="AE67" i="17" s="1"/>
  <c r="AD411" i="17"/>
  <c r="AE411" i="17" s="1"/>
  <c r="AD329" i="17"/>
  <c r="AE329" i="17" s="1"/>
  <c r="AD255" i="17"/>
  <c r="AE255" i="17" s="1"/>
  <c r="AD289" i="17"/>
  <c r="AE289" i="17" s="1"/>
  <c r="AD484" i="17"/>
  <c r="AE484" i="17" s="1"/>
  <c r="AD607" i="17"/>
  <c r="AE607" i="17" s="1"/>
  <c r="AD26" i="17"/>
  <c r="AE26" i="17" s="1"/>
  <c r="AD203" i="17"/>
  <c r="AE203" i="17" s="1"/>
  <c r="AD348" i="17"/>
  <c r="AE348" i="17" s="1"/>
  <c r="AD253" i="17"/>
  <c r="AE253" i="17" s="1"/>
  <c r="AD97" i="17"/>
  <c r="AE97" i="17" s="1"/>
  <c r="AD55" i="17"/>
  <c r="AE55" i="17" s="1"/>
  <c r="AD515" i="17"/>
  <c r="AE515" i="17" s="1"/>
  <c r="AD265" i="17"/>
  <c r="AE265" i="17" s="1"/>
  <c r="AD278" i="17"/>
  <c r="AE278" i="17" s="1"/>
  <c r="AD277" i="17"/>
  <c r="AE277" i="17" s="1"/>
  <c r="AD354" i="17"/>
  <c r="AE354" i="17" s="1"/>
  <c r="AD15" i="17"/>
  <c r="AE15" i="17" s="1"/>
  <c r="AD158" i="17"/>
  <c r="AE158" i="17" s="1"/>
  <c r="AD290" i="17"/>
  <c r="AE290" i="17" s="1"/>
  <c r="AD319" i="17"/>
  <c r="AE319" i="17" s="1"/>
  <c r="AD109" i="17"/>
  <c r="AE109" i="17" s="1"/>
  <c r="AD193" i="17"/>
  <c r="AE193" i="17" s="1"/>
  <c r="AD235" i="17"/>
  <c r="AE235" i="17" s="1"/>
  <c r="AD115" i="17"/>
  <c r="AE115" i="17" s="1"/>
  <c r="AD120" i="17"/>
  <c r="AE120" i="17" s="1"/>
  <c r="AD528" i="17"/>
  <c r="AE528" i="17" s="1"/>
  <c r="AD61" i="17"/>
  <c r="AE61" i="17" s="1"/>
  <c r="AD460" i="17"/>
  <c r="AE460" i="17" s="1"/>
  <c r="AD548" i="17"/>
  <c r="AE548" i="17" s="1"/>
  <c r="AD121" i="17"/>
  <c r="AE121" i="17" s="1"/>
  <c r="AD286" i="17"/>
  <c r="AE286" i="17" s="1"/>
  <c r="AD566" i="17"/>
  <c r="AE566" i="17" s="1"/>
  <c r="AD439" i="17"/>
  <c r="AE439" i="17" s="1"/>
  <c r="AD71" i="17"/>
  <c r="AE71" i="17" s="1"/>
  <c r="AD307" i="17"/>
  <c r="AE307" i="17" s="1"/>
  <c r="AD299" i="17"/>
  <c r="AE299" i="17" s="1"/>
  <c r="AD609" i="17"/>
  <c r="AE609" i="17" s="1"/>
  <c r="AD162" i="17"/>
  <c r="AE162" i="17" s="1"/>
  <c r="AD320" i="17"/>
  <c r="AE320" i="17" s="1"/>
  <c r="AD487" i="17"/>
  <c r="AE487" i="17" s="1"/>
  <c r="AD516" i="17"/>
  <c r="AE516" i="17" s="1"/>
  <c r="AD359" i="17"/>
  <c r="AE359" i="17" s="1"/>
  <c r="AD20" i="17"/>
  <c r="AE20" i="17" s="1"/>
  <c r="AD186" i="17"/>
  <c r="AE186" i="17" s="1"/>
  <c r="AD59" i="17"/>
  <c r="AE59" i="17" s="1"/>
  <c r="AD357" i="17"/>
  <c r="AE357" i="17" s="1"/>
  <c r="AD107" i="17"/>
  <c r="AE107" i="17" s="1"/>
  <c r="AD184" i="17"/>
  <c r="AE184" i="17" s="1"/>
  <c r="AD66" i="17"/>
  <c r="AE66" i="17" s="1"/>
  <c r="AD300" i="17"/>
  <c r="AE300" i="17" s="1"/>
  <c r="AD284" i="17"/>
  <c r="AE284" i="17" s="1"/>
  <c r="AD508" i="17"/>
  <c r="AE508" i="17" s="1"/>
  <c r="AD554" i="17"/>
  <c r="AE554" i="17" s="1"/>
  <c r="AD412" i="17"/>
  <c r="AE412" i="17" s="1"/>
  <c r="AD375" i="17"/>
  <c r="AE375" i="17" s="1"/>
  <c r="AD293" i="17"/>
  <c r="AE293" i="17" s="1"/>
  <c r="AD441" i="17"/>
  <c r="AE441" i="17" s="1"/>
  <c r="AD440" i="17"/>
  <c r="AE440" i="17" s="1"/>
  <c r="AD494" i="17"/>
  <c r="AE494" i="17" s="1"/>
  <c r="AD49" i="17"/>
  <c r="AE49" i="17" s="1"/>
  <c r="AD308" i="17"/>
  <c r="AE308" i="17" s="1"/>
  <c r="AD225" i="17"/>
  <c r="AE225" i="17" s="1"/>
  <c r="AD436" i="17"/>
  <c r="AE436" i="17" s="1"/>
  <c r="AD351" i="17"/>
  <c r="AE351" i="17" s="1"/>
  <c r="AD224" i="17"/>
  <c r="AE224" i="17" s="1"/>
  <c r="AD418" i="17"/>
  <c r="AE418" i="17" s="1"/>
  <c r="AD415" i="17"/>
  <c r="AE415" i="17" s="1"/>
  <c r="AD565" i="17"/>
  <c r="AE565" i="17" s="1"/>
  <c r="AD574" i="17"/>
  <c r="AE574" i="17" s="1"/>
  <c r="AD496" i="17"/>
  <c r="AE496" i="17" s="1"/>
  <c r="AD563" i="17"/>
  <c r="AE563" i="17" s="1"/>
  <c r="AD251" i="17"/>
  <c r="AE251" i="17" s="1"/>
  <c r="AD57" i="17"/>
  <c r="AE57" i="17" s="1"/>
  <c r="AD139" i="17"/>
  <c r="AE139" i="17" s="1"/>
  <c r="AD349" i="17"/>
  <c r="AE349" i="17" s="1"/>
  <c r="AD72" i="17"/>
  <c r="AE72" i="17" s="1"/>
  <c r="AD539" i="17"/>
  <c r="AE539" i="17" s="1"/>
  <c r="AD567" i="17"/>
  <c r="AE567" i="17" s="1"/>
  <c r="AD419" i="17"/>
  <c r="AE419" i="17" s="1"/>
  <c r="AD555" i="17"/>
  <c r="AE555" i="17" s="1"/>
  <c r="AD147" i="17"/>
  <c r="AE147" i="17" s="1"/>
  <c r="U293" i="17"/>
  <c r="AD340" i="17"/>
  <c r="AE340" i="17" s="1"/>
  <c r="AD517" i="17"/>
  <c r="AE517" i="17" s="1"/>
  <c r="AD389" i="17"/>
  <c r="AE389" i="17" s="1"/>
  <c r="AD337" i="17"/>
  <c r="AE337" i="17" s="1"/>
  <c r="AD148" i="17"/>
  <c r="AE148" i="17" s="1"/>
  <c r="AD94" i="17"/>
  <c r="AE94" i="17" s="1"/>
  <c r="AD323" i="17"/>
  <c r="AE323" i="17" s="1"/>
  <c r="AD287" i="17"/>
  <c r="AE287" i="17" s="1"/>
  <c r="AD23" i="17"/>
  <c r="AE23" i="17" s="1"/>
  <c r="AD130" i="17"/>
  <c r="AE130" i="17" s="1"/>
  <c r="AD185" i="17"/>
  <c r="AE185" i="17" s="1"/>
  <c r="AD174" i="17"/>
  <c r="AE174" i="17" s="1"/>
  <c r="AD187" i="17"/>
  <c r="AE187" i="17" s="1"/>
  <c r="AD196" i="17"/>
  <c r="AE196" i="17" s="1"/>
  <c r="AD345" i="17"/>
  <c r="AE345" i="17" s="1"/>
  <c r="AD370" i="17"/>
  <c r="AE370" i="17" s="1"/>
  <c r="AD564" i="17"/>
  <c r="AE564" i="17" s="1"/>
  <c r="AD575" i="17"/>
  <c r="AE575" i="17" s="1"/>
  <c r="AD433" i="17"/>
  <c r="AE433" i="17" s="1"/>
  <c r="AD530" i="17"/>
  <c r="AE530" i="17" s="1"/>
  <c r="AD435" i="17"/>
  <c r="AE435" i="17" s="1"/>
  <c r="AD189" i="17"/>
  <c r="AE189" i="17" s="1"/>
  <c r="AD589" i="17"/>
  <c r="AE589" i="17" s="1"/>
  <c r="AD173" i="17"/>
  <c r="AE173" i="17" s="1"/>
  <c r="AD13" i="17"/>
  <c r="AE13" i="17" s="1"/>
  <c r="AD481" i="17"/>
  <c r="AE481" i="17" s="1"/>
  <c r="AD402" i="17"/>
  <c r="AE402" i="17" s="1"/>
  <c r="AD599" i="17"/>
  <c r="AE599" i="17" s="1"/>
  <c r="AD495" i="17"/>
  <c r="AE495" i="17" s="1"/>
  <c r="AD314" i="17"/>
  <c r="AE314" i="17" s="1"/>
  <c r="AD258" i="17"/>
  <c r="AE258" i="17" s="1"/>
  <c r="AD431" i="17"/>
  <c r="AE431" i="17" s="1"/>
  <c r="AD472" i="17"/>
  <c r="AE472" i="17" s="1"/>
  <c r="AD280" i="17"/>
  <c r="AE280" i="17" s="1"/>
  <c r="AD274" i="17"/>
  <c r="AE274" i="17" s="1"/>
  <c r="AD471" i="17"/>
  <c r="AE471" i="17" s="1"/>
  <c r="AD369" i="17"/>
  <c r="AE369" i="17" s="1"/>
  <c r="AD527" i="17"/>
  <c r="AE527" i="17" s="1"/>
  <c r="AD454" i="17"/>
  <c r="AE454" i="17" s="1"/>
  <c r="AD315" i="17"/>
  <c r="AE315" i="17" s="1"/>
  <c r="AD429" i="17"/>
  <c r="AE429" i="17" s="1"/>
  <c r="AD17" i="17"/>
  <c r="AE17" i="17" s="1"/>
  <c r="AD414" i="17"/>
  <c r="AE414" i="17" s="1"/>
  <c r="AD324" i="17"/>
  <c r="AE324" i="17" s="1"/>
  <c r="AD392" i="17"/>
  <c r="AE392" i="17" s="1"/>
  <c r="AD149" i="17"/>
  <c r="AE149" i="17" s="1"/>
  <c r="AD124" i="17"/>
  <c r="AE124" i="17" s="1"/>
  <c r="AD24" i="17"/>
  <c r="AE24" i="17" s="1"/>
  <c r="AD404" i="17"/>
  <c r="AE404" i="17" s="1"/>
  <c r="AD598" i="17"/>
  <c r="AE598" i="17" s="1"/>
  <c r="AD612" i="17"/>
  <c r="AE612" i="17" s="1"/>
  <c r="AD498" i="17"/>
  <c r="AE498" i="17" s="1"/>
  <c r="AD212" i="17"/>
  <c r="AE212" i="17" s="1"/>
  <c r="AD568" i="17"/>
  <c r="AE568" i="17" s="1"/>
  <c r="AD582" i="17"/>
  <c r="AE582" i="17" s="1"/>
  <c r="AD25" i="17"/>
  <c r="AE25" i="17" s="1"/>
  <c r="AD172" i="17"/>
  <c r="AE172" i="17" s="1"/>
  <c r="AD506" i="17"/>
  <c r="AE506" i="17" s="1"/>
  <c r="AD553" i="17"/>
  <c r="AE553" i="17" s="1"/>
  <c r="AD56" i="17"/>
  <c r="AE56" i="17" s="1"/>
  <c r="AD562" i="17"/>
  <c r="AE562" i="17" s="1"/>
  <c r="AD22" i="17"/>
  <c r="AE22" i="17" s="1"/>
  <c r="AD505" i="17"/>
  <c r="AE505" i="17" s="1"/>
  <c r="AD113" i="17"/>
  <c r="AE113" i="17" s="1"/>
  <c r="AD138" i="17"/>
  <c r="AE138" i="17" s="1"/>
  <c r="AD34" i="17"/>
  <c r="AE34" i="17" s="1"/>
  <c r="AD310" i="17"/>
  <c r="AE310" i="17" s="1"/>
  <c r="AD267" i="17"/>
  <c r="AE267" i="17" s="1"/>
  <c r="AD492" i="17"/>
  <c r="AE492" i="17" s="1"/>
  <c r="AD281" i="17"/>
  <c r="AE281" i="17" s="1"/>
  <c r="AD254" i="17"/>
  <c r="AE254" i="17" s="1"/>
  <c r="AD250" i="17"/>
  <c r="AE250" i="17" s="1"/>
  <c r="AD432" i="17"/>
  <c r="AE432" i="17" s="1"/>
  <c r="AD236" i="17"/>
  <c r="AE236" i="17" s="1"/>
  <c r="AD198" i="17"/>
  <c r="AE198" i="17" s="1"/>
  <c r="AD144" i="17"/>
  <c r="AE144" i="17" s="1"/>
  <c r="AD526" i="17"/>
  <c r="AE526" i="17" s="1"/>
  <c r="AD552" i="17"/>
  <c r="AE552" i="17" s="1"/>
  <c r="AD321" i="17"/>
  <c r="AE321" i="17" s="1"/>
  <c r="AD428" i="17"/>
  <c r="AE428" i="17" s="1"/>
  <c r="AD338" i="17"/>
  <c r="AE338" i="17" s="1"/>
  <c r="AD497" i="17"/>
  <c r="AE497" i="17" s="1"/>
  <c r="AD458" i="17"/>
  <c r="AE458" i="17" s="1"/>
  <c r="AD600" i="17"/>
  <c r="AE600" i="17" s="1"/>
  <c r="AD303" i="17"/>
  <c r="AE303" i="17" s="1"/>
  <c r="AD232" i="17"/>
  <c r="AE232" i="17" s="1"/>
  <c r="AD427" i="17"/>
  <c r="AE427" i="17" s="1"/>
  <c r="AD493" i="17"/>
  <c r="AE493" i="17" s="1"/>
  <c r="AD304" i="17"/>
  <c r="AE304" i="17" s="1"/>
  <c r="AD322" i="17"/>
  <c r="AE322" i="17" s="1"/>
  <c r="AD81" i="17"/>
  <c r="AE81" i="17" s="1"/>
  <c r="AD514" i="17"/>
  <c r="AE514" i="17" s="1"/>
  <c r="AD390" i="17"/>
  <c r="AE390" i="17" s="1"/>
  <c r="AD570" i="17"/>
  <c r="AE570" i="17" s="1"/>
  <c r="AD48" i="17"/>
  <c r="AE48" i="17" s="1"/>
  <c r="AD46" i="17"/>
  <c r="AE46" i="17" s="1"/>
  <c r="AD102" i="17"/>
  <c r="AE102" i="17" s="1"/>
  <c r="AD217" i="17"/>
  <c r="AE217" i="17" s="1"/>
  <c r="AD275" i="17"/>
  <c r="AE275" i="17" s="1"/>
  <c r="AD394" i="17"/>
  <c r="AE394" i="17" s="1"/>
  <c r="AD420" i="17"/>
  <c r="AE420" i="17" s="1"/>
  <c r="AD161" i="17"/>
  <c r="AE161" i="17" s="1"/>
  <c r="AD228" i="17"/>
  <c r="AE228" i="17" s="1"/>
  <c r="AD54" i="17"/>
  <c r="AE54" i="17" s="1"/>
  <c r="AD610" i="17"/>
  <c r="AE610" i="17" s="1"/>
  <c r="AD502" i="17"/>
  <c r="AE502" i="17" s="1"/>
  <c r="AD50" i="17"/>
  <c r="AE50" i="17" s="1"/>
  <c r="AD529" i="17"/>
  <c r="AE529" i="17" s="1"/>
  <c r="AD381" i="17"/>
  <c r="AE381" i="17" s="1"/>
  <c r="AD19" i="17"/>
  <c r="AE19" i="17" s="1"/>
  <c r="AD545" i="17"/>
  <c r="AE545" i="17" s="1"/>
  <c r="AD136" i="17"/>
  <c r="AE136" i="17" s="1"/>
  <c r="AD204" i="17"/>
  <c r="AE204" i="17" s="1"/>
  <c r="AD358" i="17"/>
  <c r="AE358" i="17" s="1"/>
  <c r="AD446" i="17"/>
  <c r="AE446" i="17" s="1"/>
  <c r="AD489" i="17"/>
  <c r="AE489" i="17" s="1"/>
  <c r="AD572" i="17"/>
  <c r="AE572" i="17" s="1"/>
  <c r="AD14" i="17"/>
  <c r="AE14" i="17" s="1"/>
  <c r="AD100" i="17"/>
  <c r="AE100" i="17" s="1"/>
  <c r="AD245" i="17"/>
  <c r="AE245" i="17" s="1"/>
  <c r="AD76" i="17"/>
  <c r="AE76" i="17" s="1"/>
  <c r="AD463" i="17"/>
  <c r="AE463" i="17" s="1"/>
  <c r="AD531" i="17"/>
  <c r="AE531" i="17" s="1"/>
  <c r="AD194" i="17"/>
  <c r="AE194" i="17" s="1"/>
  <c r="AD79" i="17"/>
  <c r="AE79" i="17" s="1"/>
  <c r="AD242" i="17"/>
  <c r="AE242" i="17" s="1"/>
  <c r="AD332" i="17"/>
  <c r="AE332" i="17" s="1"/>
  <c r="AD550" i="17"/>
  <c r="AE550" i="17" s="1"/>
  <c r="AD89" i="17"/>
  <c r="AE89" i="17" s="1"/>
  <c r="AD330" i="17"/>
  <c r="AE330" i="17" s="1"/>
  <c r="AD36" i="17"/>
  <c r="AE36" i="17" s="1"/>
  <c r="AD571" i="17"/>
  <c r="AE571" i="17" s="1"/>
  <c r="AD587" i="17"/>
  <c r="AE587" i="17" s="1"/>
  <c r="AD301" i="17"/>
  <c r="AE301" i="17" s="1"/>
  <c r="AD305" i="17"/>
  <c r="AE305" i="17" s="1"/>
  <c r="AD231" i="17"/>
  <c r="AE231" i="17" s="1"/>
  <c r="AD525" i="17"/>
  <c r="AE525" i="17" s="1"/>
  <c r="AD32" i="17"/>
  <c r="AE32" i="17" s="1"/>
  <c r="AD544" i="17"/>
  <c r="AE544" i="17" s="1"/>
  <c r="AD218" i="17"/>
  <c r="AE218" i="17" s="1"/>
  <c r="AD462" i="17"/>
  <c r="AE462" i="17" s="1"/>
  <c r="AD33" i="17"/>
  <c r="AE33" i="17" s="1"/>
  <c r="AD75" i="17"/>
  <c r="AE75" i="17" s="1"/>
  <c r="AD84" i="17"/>
  <c r="AE84" i="17" s="1"/>
  <c r="AD461" i="17"/>
  <c r="AE461" i="17" s="1"/>
  <c r="AD169" i="17"/>
  <c r="AE169" i="17" s="1"/>
  <c r="AD366" i="17"/>
  <c r="AE366" i="17" s="1"/>
  <c r="AD31" i="17"/>
  <c r="AE31" i="17" s="1"/>
  <c r="AD573" i="17"/>
  <c r="AE573" i="17" s="1"/>
  <c r="AD154" i="17"/>
  <c r="AE154" i="17" s="1"/>
  <c r="AD346" i="17"/>
  <c r="AE346" i="17" s="1"/>
  <c r="AD507" i="17"/>
  <c r="AE507" i="17" s="1"/>
  <c r="AD382" i="17"/>
  <c r="AE382" i="17" s="1"/>
  <c r="AD596" i="17"/>
  <c r="AE596" i="17" s="1"/>
  <c r="AD18" i="17"/>
  <c r="AE18" i="17" s="1"/>
  <c r="AD155" i="17"/>
  <c r="AE155" i="17" s="1"/>
  <c r="AD95" i="17"/>
  <c r="AE95" i="17" s="1"/>
  <c r="AD125" i="17"/>
  <c r="AE125" i="17" s="1"/>
  <c r="AD549" i="17"/>
  <c r="AE549" i="17" s="1"/>
  <c r="AD541" i="17"/>
  <c r="AE541" i="17" s="1"/>
  <c r="AD179" i="17"/>
  <c r="AE179" i="17" s="1"/>
  <c r="AD197" i="17"/>
  <c r="AE197" i="17" s="1"/>
  <c r="AD606" i="17"/>
  <c r="AE606" i="17" s="1"/>
  <c r="AD108" i="17"/>
  <c r="AE108" i="17" s="1"/>
  <c r="AD395" i="17"/>
  <c r="AE395" i="17" s="1"/>
  <c r="AD444" i="17"/>
  <c r="AE444" i="17" s="1"/>
  <c r="AD588" i="17"/>
  <c r="AE588" i="17" s="1"/>
  <c r="AD51" i="17"/>
  <c r="AE51" i="17" s="1"/>
  <c r="AD532" i="17"/>
  <c r="AE532" i="17" s="1"/>
  <c r="AD167" i="17"/>
  <c r="AE167" i="17" s="1"/>
  <c r="AD240" i="17"/>
  <c r="AE240" i="17" s="1"/>
  <c r="AD168" i="17"/>
  <c r="AE168" i="17" s="1"/>
  <c r="AD246" i="17"/>
  <c r="AE246" i="17" s="1"/>
  <c r="AD195" i="17"/>
  <c r="AE195" i="17" s="1"/>
  <c r="AD170" i="17"/>
  <c r="AE170" i="17" s="1"/>
  <c r="AD551" i="17"/>
  <c r="AE551" i="17" s="1"/>
  <c r="AD488" i="17"/>
  <c r="AE488" i="17" s="1"/>
  <c r="AD114" i="17"/>
  <c r="AE114" i="17" s="1"/>
  <c r="AD85" i="17"/>
  <c r="AE85" i="17" s="1"/>
  <c r="AD374" i="17"/>
  <c r="AE374" i="17" s="1"/>
  <c r="AD409" i="17"/>
  <c r="AE409" i="17" s="1"/>
  <c r="AD601" i="17"/>
  <c r="AE601" i="17" s="1"/>
  <c r="AD262" i="17"/>
  <c r="AE262" i="17" s="1"/>
  <c r="AD222" i="17"/>
  <c r="AE222" i="17" s="1"/>
  <c r="AD248" i="17"/>
  <c r="AE248" i="17" s="1"/>
  <c r="AD157" i="17"/>
  <c r="AE157" i="17" s="1"/>
  <c r="AD273" i="17"/>
  <c r="AE273" i="17" s="1"/>
  <c r="AD408" i="17"/>
  <c r="AE408" i="17" s="1"/>
  <c r="AD559" i="17"/>
  <c r="AE559" i="17" s="1"/>
  <c r="AD105" i="17"/>
  <c r="AE105" i="17" s="1"/>
  <c r="AD511" i="17"/>
  <c r="AE511" i="17" s="1"/>
  <c r="AD223" i="17"/>
  <c r="AE223" i="17" s="1"/>
  <c r="AD181" i="17"/>
  <c r="AE181" i="17" s="1"/>
  <c r="AD455" i="17"/>
  <c r="AE455" i="17" s="1"/>
  <c r="AD29" i="17"/>
  <c r="AE29" i="17" s="1"/>
  <c r="AD244" i="17"/>
  <c r="AE244" i="17" s="1"/>
  <c r="AD611" i="17"/>
  <c r="AE611" i="17" s="1"/>
  <c r="AD473" i="17"/>
  <c r="AE473" i="17" s="1"/>
  <c r="AD83" i="17"/>
  <c r="AE83" i="17" s="1"/>
  <c r="AD227" i="17"/>
  <c r="AE227" i="17" s="1"/>
  <c r="AD510" i="17"/>
  <c r="AE510" i="17" s="1"/>
  <c r="AD272" i="17"/>
  <c r="AE272" i="17" s="1"/>
  <c r="AD479" i="17"/>
  <c r="AE479" i="17" s="1"/>
  <c r="AD353" i="17"/>
  <c r="AE353" i="17" s="1"/>
  <c r="AD226" i="17"/>
  <c r="AE226" i="17" s="1"/>
  <c r="AD474" i="17"/>
  <c r="AE474" i="17" s="1"/>
  <c r="AD243" i="17"/>
  <c r="AE243" i="17" s="1"/>
  <c r="AD456" i="17"/>
  <c r="AE456" i="17" s="1"/>
  <c r="AD180" i="17"/>
  <c r="AE180" i="17" s="1"/>
  <c r="AD352" i="17"/>
  <c r="AE352" i="17" s="1"/>
  <c r="AD261" i="17"/>
  <c r="AE261" i="17" s="1"/>
  <c r="AD542" i="17"/>
  <c r="AE542" i="17" s="1"/>
  <c r="AD478" i="17"/>
  <c r="AE478" i="17" s="1"/>
  <c r="AD543" i="17"/>
  <c r="AE543" i="17" s="1"/>
  <c r="AD285" i="17"/>
  <c r="AE285" i="17" s="1"/>
  <c r="AD249" i="17"/>
  <c r="AE249" i="17" s="1"/>
  <c r="AD605" i="17"/>
  <c r="AE605" i="17" s="1"/>
  <c r="AD247" i="17"/>
  <c r="AE247" i="17" s="1"/>
  <c r="AD221" i="17"/>
  <c r="AE221" i="17" s="1"/>
  <c r="AD602" i="17"/>
  <c r="AE602" i="17" s="1"/>
  <c r="AD80" i="17"/>
  <c r="AE80" i="17" s="1"/>
  <c r="AD331" i="17"/>
  <c r="AE331" i="17" s="1"/>
  <c r="AD201" i="17"/>
  <c r="AE201" i="17" s="1"/>
  <c r="AD268" i="17"/>
  <c r="AE268" i="17" s="1"/>
  <c r="AD521" i="17"/>
  <c r="AE521" i="17" s="1"/>
  <c r="AD87" i="17"/>
  <c r="AE87" i="17" s="1"/>
  <c r="AD522" i="17"/>
  <c r="AE522" i="17" s="1"/>
  <c r="AD480" i="17"/>
  <c r="AE480" i="17" s="1"/>
  <c r="AD557" i="17"/>
  <c r="AE557" i="17" s="1"/>
  <c r="AD447" i="17"/>
  <c r="AE447" i="17" s="1"/>
  <c r="AD141" i="17"/>
  <c r="AE141" i="17" s="1"/>
  <c r="AD425" i="17"/>
  <c r="AE425" i="17" s="1"/>
  <c r="AD30" i="17"/>
  <c r="AE30" i="17" s="1"/>
  <c r="AD430" i="17"/>
  <c r="AE430" i="17" s="1"/>
  <c r="AD142" i="17"/>
  <c r="AE142" i="17" s="1"/>
  <c r="AD103" i="17"/>
  <c r="AE103" i="17" s="1"/>
  <c r="AD177" i="17"/>
  <c r="AE177" i="17" s="1"/>
  <c r="AD608" i="17"/>
  <c r="AE608" i="17" s="1"/>
  <c r="AD518" i="17"/>
  <c r="AE518" i="17" s="1"/>
  <c r="AD524" i="17"/>
  <c r="AE524" i="17" s="1"/>
  <c r="AD96" i="17"/>
  <c r="AE96" i="17" s="1"/>
  <c r="AD264" i="17"/>
  <c r="AE264" i="17" s="1"/>
  <c r="AD191" i="17"/>
  <c r="AE191" i="17" s="1"/>
  <c r="AD581" i="17"/>
  <c r="AE581" i="17" s="1"/>
  <c r="AD339" i="17"/>
  <c r="AE339" i="17" s="1"/>
  <c r="AD547" i="17"/>
  <c r="AE547" i="17" s="1"/>
  <c r="AD371" i="17"/>
  <c r="AE371" i="17" s="1"/>
  <c r="AD347" i="17"/>
  <c r="AE347" i="17" s="1"/>
  <c r="AD372" i="17"/>
  <c r="AE372" i="17" s="1"/>
  <c r="AD16" i="17"/>
  <c r="AE16" i="17" s="1"/>
  <c r="AD47" i="17"/>
  <c r="AE47" i="17" s="1"/>
  <c r="AD445" i="17"/>
  <c r="AE445" i="17" s="1"/>
  <c r="U117" i="17"/>
  <c r="AD580" i="17"/>
  <c r="AE580" i="17" s="1"/>
  <c r="AD202" i="17"/>
  <c r="AE202" i="17" s="1"/>
  <c r="AD558" i="17"/>
  <c r="AE558" i="17" s="1"/>
  <c r="AD210" i="17"/>
  <c r="AE210" i="17" s="1"/>
  <c r="AD523" i="17"/>
  <c r="AE523" i="17" s="1"/>
  <c r="AD504" i="17"/>
  <c r="AE504" i="17" s="1"/>
  <c r="AD452" i="17"/>
  <c r="AE452" i="17" s="1"/>
  <c r="AD160" i="17"/>
  <c r="AE160" i="17" s="1"/>
  <c r="AD398" i="17"/>
  <c r="AE398" i="17" s="1"/>
  <c r="AD88" i="17"/>
  <c r="AE88" i="17" s="1"/>
  <c r="AD164" i="17"/>
  <c r="AE164" i="17" s="1"/>
  <c r="AD159" i="17"/>
  <c r="AE159" i="17" s="1"/>
  <c r="AD165" i="17"/>
  <c r="AE165" i="17" s="1"/>
  <c r="AD486" i="17"/>
  <c r="AE486" i="17" s="1"/>
  <c r="AD467" i="17"/>
  <c r="AE467" i="17" s="1"/>
  <c r="AD546" i="17"/>
  <c r="AE546" i="17" s="1"/>
  <c r="AD335" i="17"/>
  <c r="AE335" i="17" s="1"/>
  <c r="AD192" i="17"/>
  <c r="AE192" i="17" s="1"/>
  <c r="AD118" i="17"/>
  <c r="AE118" i="17" s="1"/>
  <c r="AD178" i="17"/>
  <c r="AE178" i="17" s="1"/>
  <c r="AD45" i="17"/>
  <c r="AE45" i="17" s="1"/>
  <c r="AD595" i="17"/>
  <c r="AE595" i="17" s="1"/>
  <c r="AD443" i="17"/>
  <c r="AE443" i="17" s="1"/>
  <c r="AD399" i="17"/>
  <c r="AE399" i="17" s="1"/>
  <c r="AD586" i="17"/>
  <c r="AE586" i="17" s="1"/>
  <c r="AD143" i="17"/>
  <c r="AE143" i="17" s="1"/>
  <c r="AD263" i="17"/>
  <c r="AE263" i="17" s="1"/>
  <c r="AD327" i="17"/>
  <c r="AE327" i="17" s="1"/>
  <c r="AD403" i="17"/>
  <c r="AE403" i="17" s="1"/>
  <c r="AD176" i="17"/>
  <c r="AE176" i="17" s="1"/>
  <c r="AD44" i="17"/>
  <c r="AE44" i="17" s="1"/>
  <c r="AD378" i="17"/>
  <c r="AE378" i="17" s="1"/>
  <c r="AD28" i="17"/>
  <c r="AE28" i="17" s="1"/>
  <c r="AD256" i="17"/>
  <c r="AE256" i="17" s="1"/>
  <c r="AD257" i="17"/>
  <c r="AE257" i="17" s="1"/>
  <c r="AD485" i="17"/>
  <c r="AE485" i="17" s="1"/>
  <c r="AD328" i="17"/>
  <c r="AE328" i="17" s="1"/>
  <c r="AD451" i="17"/>
  <c r="AE451" i="17" s="1"/>
  <c r="AD556" i="17"/>
  <c r="AE556" i="17" s="1"/>
  <c r="AD295" i="17"/>
  <c r="AE295" i="17" s="1"/>
  <c r="AD450" i="17"/>
  <c r="AE450" i="17" s="1"/>
  <c r="AD313" i="17"/>
  <c r="AE313" i="17" s="1"/>
  <c r="AD43" i="17"/>
  <c r="AE43" i="17" s="1"/>
  <c r="AD209" i="17"/>
  <c r="AE209" i="17" s="1"/>
  <c r="AD377" i="17"/>
  <c r="AE377" i="17" s="1"/>
  <c r="AD476" i="17"/>
  <c r="AE476" i="17" s="1"/>
  <c r="AD131" i="17"/>
  <c r="AE131" i="17" s="1"/>
  <c r="AD60" i="17"/>
  <c r="AE60" i="17" s="1"/>
  <c r="AD64" i="17"/>
  <c r="AE64" i="17" s="1"/>
  <c r="AD216" i="17"/>
  <c r="AE216" i="17" s="1"/>
  <c r="AD119" i="17"/>
  <c r="AE119" i="17" s="1"/>
  <c r="AD424" i="17"/>
  <c r="AE424" i="17" s="1"/>
  <c r="AD215" i="17"/>
  <c r="AE215" i="17" s="1"/>
  <c r="AD117" i="17"/>
  <c r="AE117" i="17" s="1"/>
  <c r="AD65" i="17"/>
  <c r="AE65" i="17" s="1"/>
  <c r="AD509" i="17"/>
  <c r="AE509" i="17" s="1"/>
  <c r="AD53" i="17"/>
  <c r="AE53" i="17" s="1"/>
  <c r="AD519" i="17"/>
  <c r="AE519" i="17" s="1"/>
  <c r="AD365" i="17"/>
  <c r="AE365" i="17" s="1"/>
  <c r="AD336" i="17"/>
  <c r="AE336" i="17" s="1"/>
  <c r="AD364" i="17"/>
  <c r="AE364" i="17" s="1"/>
  <c r="AD126" i="17"/>
  <c r="AE126" i="17" s="1"/>
  <c r="AD312" i="17"/>
  <c r="AE312" i="17" s="1"/>
  <c r="AD104" i="17"/>
  <c r="AE104" i="17" s="1"/>
  <c r="AD106" i="17"/>
  <c r="AE106" i="17" s="1"/>
  <c r="AD127" i="17"/>
  <c r="AE127" i="17" s="1"/>
  <c r="AD376" i="17"/>
  <c r="AE376" i="17" s="1"/>
  <c r="AD503" i="17"/>
  <c r="AE503" i="17" s="1"/>
  <c r="AD296" i="17"/>
  <c r="AE296" i="17" s="1"/>
  <c r="AD140" i="17"/>
  <c r="AE140" i="17" s="1"/>
  <c r="AD475" i="17"/>
  <c r="AE475" i="17" s="1"/>
  <c r="AD276" i="17"/>
  <c r="AE276" i="17" s="1"/>
  <c r="AD466" i="17"/>
  <c r="AE466" i="17" s="1"/>
  <c r="AD27" i="17"/>
  <c r="AE27" i="17" s="1"/>
  <c r="AD342" i="17"/>
  <c r="AE342" i="17" s="1"/>
  <c r="AD341" i="17"/>
  <c r="AE341" i="17" s="1"/>
  <c r="AD449" i="17"/>
  <c r="AE449" i="17" s="1"/>
  <c r="AD269" i="17"/>
  <c r="AE269" i="17" s="1"/>
  <c r="AB625" i="17"/>
  <c r="AE7" i="25" l="1"/>
  <c r="Q4" i="25" s="1"/>
  <c r="AE13" i="25"/>
  <c r="AE9" i="25" s="1"/>
  <c r="Q5" i="25" s="1"/>
  <c r="AE9" i="17"/>
  <c r="Q5" i="17" s="1"/>
  <c r="AE7" i="17"/>
  <c r="Q4" i="17" s="1"/>
  <c r="B365" i="2" l="1"/>
  <c r="A365" i="2"/>
  <c r="B366" i="2"/>
  <c r="A366" i="2"/>
  <c r="A640" i="25"/>
  <c r="A617" i="25"/>
  <c r="A639" i="25"/>
  <c r="A639" i="17"/>
  <c r="A640" i="17"/>
  <c r="A617" i="17"/>
  <c r="F617" i="17" s="1"/>
  <c r="D365" i="2"/>
  <c r="H617" i="25" l="1"/>
  <c r="G617" i="25"/>
  <c r="G617" i="17"/>
  <c r="H617" i="17"/>
  <c r="O617" i="25"/>
  <c r="P617" i="25"/>
  <c r="A618" i="25"/>
  <c r="A619" i="25" s="1"/>
  <c r="L617" i="25"/>
  <c r="D617" i="25"/>
  <c r="K617" i="25"/>
  <c r="C617" i="25"/>
  <c r="M617" i="25"/>
  <c r="I617" i="25"/>
  <c r="E617" i="25"/>
  <c r="J617" i="25"/>
  <c r="N617" i="25"/>
  <c r="F617" i="25"/>
  <c r="K617" i="17"/>
  <c r="N617" i="17"/>
  <c r="P617" i="17"/>
  <c r="L617" i="17"/>
  <c r="M617" i="17"/>
  <c r="J617" i="17"/>
  <c r="E617" i="17"/>
  <c r="O617" i="17"/>
  <c r="D617" i="17"/>
  <c r="A618" i="17"/>
  <c r="A619" i="17" s="1"/>
  <c r="C617" i="17"/>
  <c r="I617" i="17"/>
  <c r="X617" i="25" l="1"/>
  <c r="Q617" i="25"/>
  <c r="AA617" i="25"/>
  <c r="Y617" i="25"/>
  <c r="AB617" i="25"/>
  <c r="R617" i="25"/>
  <c r="X617" i="17"/>
  <c r="AB617" i="17"/>
  <c r="R617" i="17"/>
  <c r="R620" i="17" s="1"/>
  <c r="Y617" i="17"/>
  <c r="AA617" i="17"/>
  <c r="Q617" i="17"/>
  <c r="S617" i="25" l="1"/>
  <c r="R620" i="25"/>
  <c r="S617"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Timothy Hegarty</author>
    <author>Hegarty, Timothy</author>
    <author>BDATSC</author>
  </authors>
  <commentList>
    <comment ref="A3" authorId="0" shapeId="0" xr:uid="{00000000-0006-0000-0000-000001000000}">
      <text>
        <r>
          <rPr>
            <b/>
            <sz val="12"/>
            <color indexed="10"/>
            <rFont val="Tahoma"/>
            <family val="2"/>
          </rPr>
          <t>Welcome to the LM(2)5143/-Q1 Quickstart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LM(2)5143/-Q1 dual-channel / multi-phase synchronous buck controller</t>
        </r>
        <r>
          <rPr>
            <sz val="9"/>
            <color indexed="81"/>
            <rFont val="Tahoma"/>
            <family val="2"/>
          </rPr>
          <t xml:space="preserve">. As such, the user can expeditiously arrive at an optimized design by virtue of the following:
- Determine curretn sense resistances, buck inductances and input and output capacitances
- Select components to set switching frequency, soft-start, hiccup time and dither
- Optimize compensation values and pole/zero placement in terms of control loop stability using crossover frequency as a performance metric (for both dual-channel and two-phase interleaved)
- Inspect regulator efficiency and component power dissipations vs. line and load
- Analyze efficiency based on selected MOSFET parameters
- Configure the controller for dual-output or single-output (2/3/4-phase) configurations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notationsense resistance,  is used throughout.
</t>
        </r>
        <r>
          <rPr>
            <u/>
            <sz val="9"/>
            <color indexed="12"/>
            <rFont val="Tahoma"/>
            <family val="2"/>
          </rPr>
          <t>http://www.ti.com/widevin/</t>
        </r>
        <r>
          <rPr>
            <sz val="9"/>
            <color indexed="81"/>
            <rFont val="Tahoma"/>
            <family val="2"/>
          </rPr>
          <t xml:space="preserve">
</t>
        </r>
        <r>
          <rPr>
            <b/>
            <sz val="9"/>
            <color indexed="81"/>
            <rFont val="Tahoma"/>
            <family val="2"/>
          </rPr>
          <t xml:space="preserve">
Rev B, Timothy Hegarty, Texas Instruments, Inc.</t>
        </r>
      </text>
    </comment>
    <comment ref="O3" authorId="0" shapeId="0" xr:uid="{00000000-0006-0000-00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LM(2)5143/-Q1 product datasheet and EVM user's guide for more details.
</t>
        </r>
        <r>
          <rPr>
            <b/>
            <sz val="9"/>
            <color indexed="81"/>
            <rFont val="Tahoma"/>
            <family val="2"/>
          </rPr>
          <t>Rev B, Timothy Hegarty, Texas Instruments, Inc.</t>
        </r>
      </text>
    </comment>
    <comment ref="F7" authorId="0" shapeId="0" xr:uid="{00000000-0006-0000-0000-000003000000}">
      <text>
        <r>
          <rPr>
            <b/>
            <u/>
            <sz val="9"/>
            <color indexed="81"/>
            <rFont val="Tahoma"/>
            <family val="2"/>
          </rPr>
          <t>Minimum Input Voltage</t>
        </r>
        <r>
          <rPr>
            <b/>
            <sz val="9"/>
            <color indexed="81"/>
            <rFont val="Tahoma"/>
            <family val="2"/>
          </rPr>
          <t>:</t>
        </r>
        <r>
          <rPr>
            <sz val="9"/>
            <color indexed="81"/>
            <rFont val="Tahoma"/>
            <family val="2"/>
          </rPr>
          <t xml:space="preserve">
Enter the minimum operating input voltage.
The LM(2)5143-Q1 input voltage operating range is 3.5V to (42V)65V.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(42V)65V</t>
        </r>
        <r>
          <rPr>
            <sz val="9"/>
            <color indexed="81"/>
            <rFont val="Tahoma"/>
            <family val="2"/>
          </rPr>
          <t xml:space="preserve">
-The input voltage is below </t>
        </r>
        <r>
          <rPr>
            <b/>
            <sz val="9"/>
            <color indexed="10"/>
            <rFont val="Tahoma"/>
            <family val="2"/>
          </rPr>
          <t>3.5V</t>
        </r>
      </text>
    </comment>
    <comment ref="F8" authorId="0" shapeId="0" xr:uid="{00000000-0006-0000-0000-000004000000}">
      <text>
        <r>
          <rPr>
            <b/>
            <u/>
            <sz val="9"/>
            <color indexed="81"/>
            <rFont val="Tahoma"/>
            <family val="2"/>
          </rPr>
          <t>Nominal Input Voltage</t>
        </r>
        <r>
          <rPr>
            <b/>
            <sz val="9"/>
            <color indexed="81"/>
            <rFont val="Tahoma"/>
            <family val="2"/>
          </rPr>
          <t>:</t>
        </r>
        <r>
          <rPr>
            <sz val="9"/>
            <color indexed="81"/>
            <rFont val="Tahoma"/>
            <family val="2"/>
          </rPr>
          <t xml:space="preserve">
Enter the nominal operating input voltage.
The LM(2)5143-Q1 input voltage operating range is 3.5V to (42V)65V.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V</t>
        </r>
        <r>
          <rPr>
            <b/>
            <vertAlign val="subscript"/>
            <sz val="9"/>
            <color indexed="10"/>
            <rFont val="Tahoma"/>
            <family val="2"/>
          </rPr>
          <t>IN(max)</t>
        </r>
        <r>
          <rPr>
            <sz val="9"/>
            <color indexed="81"/>
            <rFont val="Tahoma"/>
            <family val="2"/>
          </rPr>
          <t xml:space="preserve">
-The input voltage is below </t>
        </r>
        <r>
          <rPr>
            <b/>
            <sz val="9"/>
            <color indexed="10"/>
            <rFont val="Tahoma"/>
            <family val="2"/>
          </rPr>
          <t>V</t>
        </r>
        <r>
          <rPr>
            <b/>
            <vertAlign val="subscript"/>
            <sz val="9"/>
            <color indexed="10"/>
            <rFont val="Tahoma"/>
            <family val="2"/>
          </rPr>
          <t>IN(min)</t>
        </r>
      </text>
    </comment>
    <comment ref="F9" authorId="0" shapeId="0" xr:uid="{00000000-0006-0000-0000-000005000000}">
      <text>
        <r>
          <rPr>
            <b/>
            <u/>
            <sz val="9"/>
            <color indexed="81"/>
            <rFont val="Tahoma"/>
            <family val="2"/>
          </rPr>
          <t>Maximum Input Voltage</t>
        </r>
        <r>
          <rPr>
            <b/>
            <sz val="9"/>
            <color indexed="81"/>
            <rFont val="Tahoma"/>
            <family val="2"/>
          </rPr>
          <t>:</t>
        </r>
        <r>
          <rPr>
            <sz val="9"/>
            <color indexed="81"/>
            <rFont val="Tahoma"/>
            <family val="2"/>
          </rPr>
          <t xml:space="preserve">
Enter the maximum operating input voltage.
The LM(2)5143/-Q1 input voltage operating range is 3.5V to (42V)65V.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(42V)65V</t>
        </r>
        <r>
          <rPr>
            <sz val="9"/>
            <color indexed="81"/>
            <rFont val="Tahoma"/>
            <family val="2"/>
          </rPr>
          <t xml:space="preserve">
-The input voltage is below </t>
        </r>
        <r>
          <rPr>
            <b/>
            <sz val="9"/>
            <color indexed="10"/>
            <rFont val="Tahoma"/>
            <family val="2"/>
          </rPr>
          <t>3.5V</t>
        </r>
      </text>
    </comment>
    <comment ref="F10" authorId="0" shapeId="0" xr:uid="{00000000-0006-0000-0000-000006000000}">
      <text>
        <r>
          <rPr>
            <b/>
            <u/>
            <sz val="9"/>
            <color indexed="81"/>
            <rFont val="Tahoma"/>
            <family val="2"/>
          </rPr>
          <t>Output Voltage</t>
        </r>
        <r>
          <rPr>
            <b/>
            <sz val="9"/>
            <color indexed="81"/>
            <rFont val="Tahoma"/>
            <family val="2"/>
          </rPr>
          <t xml:space="preserve">:
</t>
        </r>
        <r>
          <rPr>
            <sz val="9"/>
            <color indexed="81"/>
            <rFont val="Tahoma"/>
            <family val="2"/>
          </rPr>
          <t>Enter the desired output voltage.</t>
        </r>
        <r>
          <rPr>
            <b/>
            <sz val="9"/>
            <color indexed="81"/>
            <rFont val="Tahoma"/>
            <family val="2"/>
          </rPr>
          <t xml:space="preserve">
The text in the cell is flagged red if:
</t>
        </r>
        <r>
          <rPr>
            <b/>
            <sz val="9"/>
            <color indexed="10"/>
            <rFont val="Tahoma"/>
            <family val="2"/>
          </rPr>
          <t>-The output voltage is above 55V (LM5143) or 36V (LM25143) 
-The output voltage is below 0.6V</t>
        </r>
      </text>
    </comment>
    <comment ref="F12" authorId="0" shapeId="0" xr:uid="{00000000-0006-0000-0000-000007000000}">
      <text>
        <r>
          <rPr>
            <b/>
            <u/>
            <sz val="9"/>
            <color indexed="81"/>
            <rFont val="Tahoma"/>
            <family val="2"/>
          </rPr>
          <t>Operating Frequency</t>
        </r>
        <r>
          <rPr>
            <b/>
            <sz val="9"/>
            <color indexed="81"/>
            <rFont val="Tahoma"/>
            <family val="2"/>
          </rPr>
          <t xml:space="preserve"> (set by R</t>
        </r>
        <r>
          <rPr>
            <b/>
            <vertAlign val="subscript"/>
            <sz val="9"/>
            <color indexed="81"/>
            <rFont val="Tahoma"/>
            <family val="2"/>
          </rPr>
          <t>T</t>
        </r>
        <r>
          <rPr>
            <b/>
            <sz val="9"/>
            <color indexed="81"/>
            <rFont val="Tahoma"/>
            <family val="2"/>
          </rPr>
          <t>):</t>
        </r>
        <r>
          <rPr>
            <sz val="9"/>
            <color indexed="81"/>
            <rFont val="Tahoma"/>
            <family val="2"/>
          </rPr>
          <t xml:space="preserve">
This cell defines the switching frequency set by the R</t>
        </r>
        <r>
          <rPr>
            <vertAlign val="subscript"/>
            <sz val="9"/>
            <color indexed="81"/>
            <rFont val="Tahoma"/>
            <family val="2"/>
          </rPr>
          <t>T</t>
        </r>
        <r>
          <rPr>
            <sz val="9"/>
            <color indexed="81"/>
            <rFont val="Tahoma"/>
            <family val="2"/>
          </rPr>
          <t xml:space="preserve"> resistor or SYNCIN. The max frequency set by RT is 2.2MHz, but SYNCIN can be as high as 2.5MHz.
</t>
        </r>
        <r>
          <rPr>
            <b/>
            <sz val="9"/>
            <color indexed="81"/>
            <rFont val="Tahoma"/>
            <family val="2"/>
          </rPr>
          <t xml:space="preserve">The text in the cell is flagged red if:
</t>
        </r>
        <r>
          <rPr>
            <b/>
            <sz val="9"/>
            <color indexed="10"/>
            <rFont val="Tahoma"/>
            <family val="2"/>
          </rPr>
          <t>-The frequency is below 100 kHz
-The frequency is above 2.5 MHz</t>
        </r>
        <r>
          <rPr>
            <sz val="11"/>
            <color indexed="81"/>
            <rFont val="Tahoma"/>
            <family val="2"/>
          </rPr>
          <t xml:space="preserve">
</t>
        </r>
      </text>
    </comment>
    <comment ref="F17" authorId="0" shapeId="0" xr:uid="{00000000-0006-0000-0000-000008000000}">
      <text>
        <r>
          <rPr>
            <b/>
            <u/>
            <sz val="9"/>
            <color indexed="81"/>
            <rFont val="Tahoma"/>
            <family val="2"/>
          </rPr>
          <t>OCP Setpoint</t>
        </r>
        <r>
          <rPr>
            <b/>
            <sz val="9"/>
            <color indexed="81"/>
            <rFont val="Tahoma"/>
            <family val="2"/>
          </rPr>
          <t xml:space="preserve">:
</t>
        </r>
        <r>
          <rPr>
            <sz val="9"/>
            <color indexed="81"/>
            <rFont val="Tahoma"/>
            <family val="2"/>
          </rPr>
          <t>Enter the required overcurrent protection (OCP) setpoint based on the total output current requirement. A typical level is 140% of full load current.</t>
        </r>
      </text>
    </comment>
    <comment ref="F18" authorId="0" shapeId="0" xr:uid="{00000000-0006-0000-0000-000009000000}">
      <text>
        <r>
          <rPr>
            <b/>
            <u/>
            <sz val="9"/>
            <color indexed="81"/>
            <rFont val="Tahoma"/>
            <family val="2"/>
          </rPr>
          <t>Sense Resistance</t>
        </r>
        <r>
          <rPr>
            <b/>
            <sz val="9"/>
            <color indexed="81"/>
            <rFont val="Tahoma"/>
            <family val="2"/>
          </rPr>
          <t>:</t>
        </r>
        <r>
          <rPr>
            <sz val="9"/>
            <color indexed="81"/>
            <rFont val="Tahoma"/>
            <family val="2"/>
          </rPr>
          <t xml:space="preserve">
Use this resistor to sense current and set the cycle-by-cycle overcurrent protection. As such, the calculation takes the required current limit setpoint and the inductor ripple current amplitude to calculate </t>
        </r>
        <r>
          <rPr>
            <b/>
            <sz val="9"/>
            <color indexed="81"/>
            <rFont val="Tahoma"/>
            <family val="2"/>
          </rPr>
          <t>R</t>
        </r>
        <r>
          <rPr>
            <b/>
            <vertAlign val="subscript"/>
            <sz val="9"/>
            <color indexed="81"/>
            <rFont val="Tahoma"/>
            <family val="2"/>
          </rPr>
          <t>SENSE</t>
        </r>
        <r>
          <rPr>
            <sz val="9"/>
            <color indexed="81"/>
            <rFont val="Tahoma"/>
            <family val="2"/>
          </rPr>
          <t xml:space="preserve">.
</t>
        </r>
        <r>
          <rPr>
            <sz val="9"/>
            <color indexed="81"/>
            <rFont val="Tahoma"/>
            <family val="2"/>
          </rPr>
          <t xml:space="preserve">The resistances of </t>
        </r>
        <r>
          <rPr>
            <b/>
            <sz val="9"/>
            <color indexed="81"/>
            <rFont val="Tahoma"/>
            <family val="2"/>
          </rPr>
          <t>R</t>
        </r>
        <r>
          <rPr>
            <b/>
            <vertAlign val="subscript"/>
            <sz val="9"/>
            <color indexed="81"/>
            <rFont val="Tahoma"/>
            <family val="2"/>
          </rPr>
          <t>CS1</t>
        </r>
        <r>
          <rPr>
            <sz val="9"/>
            <color indexed="81"/>
            <rFont val="Tahoma"/>
            <family val="2"/>
          </rPr>
          <t xml:space="preserve"> and </t>
        </r>
        <r>
          <rPr>
            <b/>
            <sz val="9"/>
            <color indexed="81"/>
            <rFont val="Tahoma"/>
            <family val="2"/>
          </rPr>
          <t>R</t>
        </r>
        <r>
          <rPr>
            <b/>
            <vertAlign val="subscript"/>
            <sz val="9"/>
            <color indexed="81"/>
            <rFont val="Tahoma"/>
            <family val="2"/>
          </rPr>
          <t>CS2</t>
        </r>
        <r>
          <rPr>
            <sz val="9"/>
            <color indexed="81"/>
            <rFont val="Tahoma"/>
            <family val="2"/>
          </rPr>
          <t xml:space="preserve"> are equal for balanced common-mode filtering to the CS and VOUT pins.</t>
        </r>
      </text>
    </comment>
    <comment ref="F20" authorId="0" shapeId="0" xr:uid="{00000000-0006-0000-0000-00000A000000}">
      <text>
        <r>
          <rPr>
            <b/>
            <u/>
            <sz val="9"/>
            <color indexed="81"/>
            <rFont val="Tahoma"/>
            <family val="2"/>
          </rPr>
          <t>Minimum Inductor Saturation Current</t>
        </r>
        <r>
          <rPr>
            <b/>
            <sz val="9"/>
            <color indexed="81"/>
            <rFont val="Tahoma"/>
            <family val="2"/>
          </rPr>
          <t>:</t>
        </r>
        <r>
          <rPr>
            <sz val="9"/>
            <color indexed="81"/>
            <rFont val="Tahoma"/>
            <family val="2"/>
          </rPr>
          <t xml:space="preserve">
Maximum peak current in the inductor. The result corresponds to onset of current limit and is intended as a guide to inductor selection as it relates to saturation current level.</t>
        </r>
      </text>
    </comment>
    <comment ref="F21" authorId="0" shapeId="0" xr:uid="{00000000-0006-0000-0000-00000B000000}">
      <text>
        <r>
          <rPr>
            <b/>
            <u/>
            <sz val="9"/>
            <color indexed="81"/>
            <rFont val="Tahoma"/>
            <family val="2"/>
          </rPr>
          <t>Max Shunt Dissipation</t>
        </r>
        <r>
          <rPr>
            <b/>
            <sz val="9"/>
            <color indexed="81"/>
            <rFont val="Tahoma"/>
            <family val="2"/>
          </rPr>
          <t>:</t>
        </r>
        <r>
          <rPr>
            <sz val="9"/>
            <color indexed="81"/>
            <rFont val="Tahoma"/>
            <family val="2"/>
          </rPr>
          <t xml:space="preserve">
Maximum power loss in the shunt resistor occurs at V</t>
        </r>
        <r>
          <rPr>
            <vertAlign val="subscript"/>
            <sz val="9"/>
            <color indexed="81"/>
            <rFont val="Tahoma"/>
            <family val="2"/>
          </rPr>
          <t>IN(min)</t>
        </r>
        <r>
          <rPr>
            <sz val="9"/>
            <color indexed="81"/>
            <rFont val="Tahoma"/>
            <family val="2"/>
          </rPr>
          <t xml:space="preserve">. The result is provided at the load current corresponding to the onset of OCP.
</t>
        </r>
      </text>
    </comment>
    <comment ref="F22" authorId="0" shapeId="0" xr:uid="{00000000-0006-0000-0000-00000C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minimum input voltage</t>
        </r>
        <r>
          <rPr>
            <sz val="9"/>
            <color indexed="81"/>
            <rFont val="Tahoma"/>
            <family val="2"/>
          </rPr>
          <t>.</t>
        </r>
      </text>
    </comment>
    <comment ref="F23" authorId="0" shapeId="0" xr:uid="{00000000-0006-0000-0000-00000D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nominal input voltage</t>
        </r>
        <r>
          <rPr>
            <sz val="9"/>
            <color indexed="81"/>
            <rFont val="Tahoma"/>
            <family val="2"/>
          </rPr>
          <t>.</t>
        </r>
      </text>
    </comment>
    <comment ref="F24" authorId="0" shapeId="0" xr:uid="{00000000-0006-0000-0000-00000E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maximum input voltage</t>
        </r>
        <r>
          <rPr>
            <sz val="9"/>
            <color indexed="81"/>
            <rFont val="Tahoma"/>
            <family val="2"/>
          </rPr>
          <t>.</t>
        </r>
      </text>
    </comment>
    <comment ref="F27" authorId="1" shapeId="0" xr:uid="{00000000-0006-0000-0000-00000F000000}">
      <text>
        <r>
          <rPr>
            <b/>
            <sz val="9"/>
            <color indexed="81"/>
            <rFont val="Tahoma"/>
            <family val="2"/>
          </rPr>
          <t>Recommended inductance:</t>
        </r>
        <r>
          <rPr>
            <sz val="9"/>
            <color indexed="81"/>
            <rFont val="Tahoma"/>
            <family val="2"/>
          </rPr>
          <t xml:space="preserve">
This is the nominal inductance that sets the inductor current downslope di/dt equal to the slope compensation contribution.</t>
        </r>
      </text>
    </comment>
    <comment ref="F28" authorId="0" shapeId="0" xr:uid="{00000000-0006-0000-0000-000010000000}">
      <text>
        <r>
          <rPr>
            <b/>
            <u/>
            <sz val="9"/>
            <color indexed="81"/>
            <rFont val="Tahoma"/>
            <family val="2"/>
          </rPr>
          <t>Buck Inductance</t>
        </r>
        <r>
          <rPr>
            <b/>
            <sz val="9"/>
            <color indexed="81"/>
            <rFont val="Tahoma"/>
            <family val="2"/>
          </rPr>
          <t xml:space="preserve">:
</t>
        </r>
        <r>
          <rPr>
            <sz val="9"/>
            <color indexed="81"/>
            <rFont val="Tahoma"/>
            <family val="2"/>
          </rPr>
          <t>Enter the buck inductance here.
Target inductor (peak-to-peak) ripple currrent is 30-40% of the DC full load current at nominal input voltage.
Setting the inductance equal to the recommended value gives ideal (one times inductor current downlope) slope compensation. As 0.5 times inductor current downslope is the absolute minimum slope comp requirement, do not choose an inductance less than half the recommended.</t>
        </r>
      </text>
    </comment>
    <comment ref="F29" authorId="0" shapeId="0" xr:uid="{00000000-0006-0000-0000-000011000000}">
      <text>
        <r>
          <rPr>
            <b/>
            <u/>
            <sz val="9"/>
            <color indexed="81"/>
            <rFont val="Tahoma"/>
            <family val="2"/>
          </rPr>
          <t>Inductor DCR</t>
        </r>
        <r>
          <rPr>
            <b/>
            <sz val="9"/>
            <color indexed="81"/>
            <rFont val="Tahoma"/>
            <family val="2"/>
          </rPr>
          <t xml:space="preserve">:
</t>
        </r>
        <r>
          <rPr>
            <sz val="9"/>
            <color indexed="81"/>
            <rFont val="Tahoma"/>
            <family val="2"/>
          </rPr>
          <t>Enter the inductor DC resistance here. This is typically specified in the inductor datasheet at 25°C copper temperature.</t>
        </r>
      </text>
    </comment>
    <comment ref="F33" authorId="0" shapeId="0" xr:uid="{00000000-0006-0000-0000-000012000000}">
      <text>
        <r>
          <rPr>
            <b/>
            <u/>
            <sz val="9"/>
            <color indexed="81"/>
            <rFont val="Tahoma"/>
            <family val="2"/>
          </rPr>
          <t>Output Voltage Ripple</t>
        </r>
        <r>
          <rPr>
            <b/>
            <sz val="9"/>
            <color indexed="81"/>
            <rFont val="Tahoma"/>
            <family val="2"/>
          </rPr>
          <t xml:space="preserve">:
</t>
        </r>
        <r>
          <rPr>
            <sz val="9"/>
            <color indexed="81"/>
            <rFont val="Tahoma"/>
            <family val="2"/>
          </rPr>
          <t xml:space="preserve">Enter the desired maximum peak-to-peak output voltage ripple here. This will set the ideal output capacitance value.
</t>
        </r>
        <r>
          <rPr>
            <b/>
            <sz val="9"/>
            <color indexed="81"/>
            <rFont val="Tahoma"/>
            <family val="2"/>
          </rPr>
          <t xml:space="preserve">
The text in the cell is flagged red if:
</t>
        </r>
        <r>
          <rPr>
            <b/>
            <sz val="9"/>
            <color indexed="10"/>
            <rFont val="Tahoma"/>
            <family val="2"/>
          </rPr>
          <t>-The output voltage ripple is zero.</t>
        </r>
      </text>
    </comment>
    <comment ref="F35" authorId="0" shapeId="0" xr:uid="{00000000-0006-0000-0000-000013000000}">
      <text>
        <r>
          <rPr>
            <b/>
            <u/>
            <sz val="9"/>
            <color indexed="81"/>
            <rFont val="Tahoma"/>
            <family val="2"/>
          </rPr>
          <t>Output Capacitance</t>
        </r>
        <r>
          <rPr>
            <b/>
            <sz val="9"/>
            <color indexed="81"/>
            <rFont val="Tahoma"/>
            <family val="2"/>
          </rPr>
          <t>:</t>
        </r>
        <r>
          <rPr>
            <sz val="9"/>
            <color indexed="81"/>
            <rFont val="Tahoma"/>
            <family val="2"/>
          </rPr>
          <t xml:space="preserve">
Enter the output capacitance here based on the minimum calculated result. Make sure that the nominal capacitance is appropriately derated for applied voltage, particularly with </t>
        </r>
        <r>
          <rPr>
            <sz val="9"/>
            <color indexed="39"/>
            <rFont val="Tahoma"/>
            <family val="2"/>
          </rPr>
          <t>ceramics</t>
        </r>
        <r>
          <rPr>
            <sz val="9"/>
            <color indexed="81"/>
            <rFont val="Tahoma"/>
            <family val="2"/>
          </rPr>
          <t xml:space="preserve">.
</t>
        </r>
        <r>
          <rPr>
            <b/>
            <sz val="9"/>
            <color indexed="81"/>
            <rFont val="Tahoma"/>
            <family val="2"/>
          </rPr>
          <t>The text in the cell is flagged red if:</t>
        </r>
        <r>
          <rPr>
            <sz val="9"/>
            <color indexed="81"/>
            <rFont val="Tahoma"/>
            <family val="2"/>
          </rPr>
          <t xml:space="preserve">
</t>
        </r>
        <r>
          <rPr>
            <b/>
            <sz val="9"/>
            <color indexed="10"/>
            <rFont val="Tahoma"/>
            <family val="2"/>
          </rPr>
          <t>-The chosen output capacitor is smaller than the minimum ideal capacitance.</t>
        </r>
      </text>
    </comment>
    <comment ref="F37" authorId="0" shapeId="0" xr:uid="{00000000-0006-0000-0000-000014000000}">
      <text>
        <r>
          <rPr>
            <b/>
            <u/>
            <sz val="9"/>
            <color indexed="81"/>
            <rFont val="Tahoma"/>
            <family val="2"/>
          </rPr>
          <t>Output Capacitor ESR</t>
        </r>
        <r>
          <rPr>
            <b/>
            <sz val="9"/>
            <color indexed="81"/>
            <rFont val="Tahoma"/>
            <family val="2"/>
          </rPr>
          <t xml:space="preserve">:
</t>
        </r>
        <r>
          <rPr>
            <sz val="9"/>
            <color indexed="81"/>
            <rFont val="Tahoma"/>
            <family val="2"/>
          </rPr>
          <t>Enter the output capacitor ESR here based on the maximum allowed output capacitor ESR to meet the voltage ripple specification.</t>
        </r>
        <r>
          <rPr>
            <b/>
            <sz val="9"/>
            <color indexed="81"/>
            <rFont val="Tahoma"/>
            <family val="2"/>
          </rPr>
          <t xml:space="preserve">
The text in the cell is flagged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text>
    </comment>
    <comment ref="F42" authorId="0" shapeId="0" xr:uid="{00000000-0006-0000-0000-000015000000}">
      <text>
        <r>
          <rPr>
            <b/>
            <u/>
            <sz val="9"/>
            <color indexed="81"/>
            <rFont val="Tahoma"/>
            <family val="2"/>
          </rPr>
          <t>Input Voltage Ripple</t>
        </r>
        <r>
          <rPr>
            <b/>
            <sz val="9"/>
            <color indexed="81"/>
            <rFont val="Tahoma"/>
            <family val="2"/>
          </rPr>
          <t xml:space="preserve">:
</t>
        </r>
        <r>
          <rPr>
            <sz val="9"/>
            <color indexed="81"/>
            <rFont val="Tahoma"/>
            <family val="2"/>
          </rPr>
          <t>Enter the desired maximum peak-to-peak input voltage ripple here. This will set the ideal input capacitance requirement.</t>
        </r>
        <r>
          <rPr>
            <b/>
            <sz val="9"/>
            <color indexed="81"/>
            <rFont val="Tahoma"/>
            <family val="2"/>
          </rPr>
          <t xml:space="preserve">
The text in thiecell is </t>
        </r>
        <r>
          <rPr>
            <b/>
            <sz val="9"/>
            <color indexed="10"/>
            <rFont val="Tahoma"/>
            <family val="2"/>
          </rPr>
          <t>red</t>
        </r>
        <r>
          <rPr>
            <b/>
            <sz val="9"/>
            <color indexed="81"/>
            <rFont val="Tahoma"/>
            <family val="2"/>
          </rPr>
          <t xml:space="preserve"> if:
</t>
        </r>
        <r>
          <rPr>
            <b/>
            <sz val="9"/>
            <color indexed="10"/>
            <rFont val="Tahoma"/>
            <family val="2"/>
          </rPr>
          <t>-The input voltage ripple is zero.</t>
        </r>
      </text>
    </comment>
    <comment ref="F44" authorId="0" shapeId="0" xr:uid="{00000000-0006-0000-0000-000016000000}">
      <text>
        <r>
          <rPr>
            <b/>
            <u/>
            <sz val="9"/>
            <color indexed="81"/>
            <rFont val="Tahoma"/>
            <family val="2"/>
          </rPr>
          <t>Input Capacitance</t>
        </r>
        <r>
          <rPr>
            <b/>
            <sz val="9"/>
            <color indexed="81"/>
            <rFont val="Tahoma"/>
            <family val="2"/>
          </rPr>
          <t xml:space="preserve">:
</t>
        </r>
        <r>
          <rPr>
            <sz val="9"/>
            <color indexed="81"/>
            <rFont val="Tahoma"/>
            <family val="2"/>
          </rPr>
          <t xml:space="preserve">Enter the input capacitance here based on the minimum calculated result. Make sure that the nominal capacitance is appropriately derated for applied voltage.
</t>
        </r>
        <r>
          <rPr>
            <b/>
            <sz val="9"/>
            <color indexed="81"/>
            <rFont val="Tahoma"/>
            <family val="2"/>
          </rPr>
          <t xml:space="preserve">The text in the cell is flagged </t>
        </r>
        <r>
          <rPr>
            <b/>
            <sz val="9"/>
            <color indexed="10"/>
            <rFont val="Tahoma"/>
            <family val="2"/>
          </rPr>
          <t>red</t>
        </r>
        <r>
          <rPr>
            <b/>
            <sz val="9"/>
            <color indexed="81"/>
            <rFont val="Tahoma"/>
            <family val="2"/>
          </rPr>
          <t xml:space="preserve"> if:
</t>
        </r>
        <r>
          <rPr>
            <b/>
            <sz val="9"/>
            <color indexed="10"/>
            <rFont val="Tahoma"/>
            <family val="2"/>
          </rPr>
          <t>-The chosen input capacitor is smaller than the minimum ideal capacitance.</t>
        </r>
      </text>
    </comment>
    <comment ref="F46" authorId="0" shapeId="0" xr:uid="{00000000-0006-0000-0000-000017000000}">
      <text>
        <r>
          <rPr>
            <b/>
            <u/>
            <sz val="9"/>
            <color indexed="81"/>
            <rFont val="Tahoma"/>
            <family val="2"/>
          </rPr>
          <t>Input Capacitor ESR</t>
        </r>
        <r>
          <rPr>
            <b/>
            <sz val="9"/>
            <color indexed="81"/>
            <rFont val="Tahoma"/>
            <family val="2"/>
          </rPr>
          <t xml:space="preserve">:
</t>
        </r>
        <r>
          <rPr>
            <sz val="9"/>
            <color indexed="81"/>
            <rFont val="Tahoma"/>
            <family val="2"/>
          </rPr>
          <t>Enter the input capacitor ESR here based on the maximum allowed input capacitor ESR to meet the ripple voltage specification.</t>
        </r>
        <r>
          <rPr>
            <b/>
            <sz val="9"/>
            <color indexed="81"/>
            <rFont val="Tahoma"/>
            <family val="2"/>
          </rPr>
          <t xml:space="preserve">
The text in the cell is flagged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r>
          <rPr>
            <sz val="11"/>
            <color indexed="81"/>
            <rFont val="Tahoma"/>
            <family val="2"/>
          </rPr>
          <t xml:space="preserve">
</t>
        </r>
      </text>
    </comment>
    <comment ref="F51" authorId="0" shapeId="0" xr:uid="{00000000-0006-0000-0000-000018000000}">
      <text>
        <r>
          <rPr>
            <b/>
            <u/>
            <sz val="8"/>
            <color indexed="81"/>
            <rFont val="Tahoma"/>
            <family val="2"/>
          </rPr>
          <t>Soft-Start Time</t>
        </r>
        <r>
          <rPr>
            <b/>
            <sz val="8"/>
            <color indexed="81"/>
            <rFont val="Tahoma"/>
            <family val="2"/>
          </rPr>
          <t xml:space="preserve">:
</t>
        </r>
        <r>
          <rPr>
            <sz val="8"/>
            <color indexed="81"/>
            <rFont val="Tahoma"/>
            <family val="2"/>
          </rPr>
          <t xml:space="preserve">Enter the desired soft-start time here.
</t>
        </r>
        <r>
          <rPr>
            <b/>
            <sz val="8"/>
            <color indexed="81"/>
            <rFont val="Tahoma"/>
            <family val="2"/>
          </rPr>
          <t xml:space="preserve">
The text in this cell is flagged red if:</t>
        </r>
        <r>
          <rPr>
            <sz val="8"/>
            <color indexed="81"/>
            <rFont val="Tahoma"/>
            <family val="2"/>
          </rPr>
          <t xml:space="preserve">
</t>
        </r>
        <r>
          <rPr>
            <b/>
            <sz val="8"/>
            <color indexed="10"/>
            <rFont val="Tahoma"/>
            <family val="2"/>
          </rPr>
          <t>-The specified soft-start time is less than 0.1 ms.</t>
        </r>
      </text>
    </comment>
    <comment ref="F53" authorId="0" shapeId="0" xr:uid="{00000000-0006-0000-0000-000019000000}">
      <text>
        <r>
          <rPr>
            <b/>
            <u/>
            <sz val="8"/>
            <color indexed="81"/>
            <rFont val="Tahoma"/>
            <family val="2"/>
          </rPr>
          <t>Soft-Start Time</t>
        </r>
        <r>
          <rPr>
            <b/>
            <sz val="8"/>
            <color indexed="81"/>
            <rFont val="Tahoma"/>
            <family val="2"/>
          </rPr>
          <t xml:space="preserve">:
</t>
        </r>
        <r>
          <rPr>
            <sz val="8"/>
            <color indexed="81"/>
            <rFont val="Tahoma"/>
            <family val="2"/>
          </rPr>
          <t xml:space="preserve">Enter the desired hiccup time here
</t>
        </r>
        <r>
          <rPr>
            <b/>
            <sz val="8"/>
            <color indexed="81"/>
            <rFont val="Tahoma"/>
            <family val="2"/>
          </rPr>
          <t xml:space="preserve">
The text in this cell is flagged red if:</t>
        </r>
        <r>
          <rPr>
            <sz val="8"/>
            <color indexed="81"/>
            <rFont val="Tahoma"/>
            <family val="2"/>
          </rPr>
          <t xml:space="preserve">
</t>
        </r>
        <r>
          <rPr>
            <b/>
            <sz val="8"/>
            <color indexed="10"/>
            <rFont val="Tahoma"/>
            <family val="2"/>
          </rPr>
          <t>-The specified soft-start time is less than 0 ms.</t>
        </r>
      </text>
    </comment>
    <comment ref="F55" authorId="0" shapeId="0" xr:uid="{00000000-0006-0000-0000-00001A000000}">
      <text>
        <r>
          <rPr>
            <b/>
            <u/>
            <sz val="9"/>
            <color indexed="81"/>
            <rFont val="Tahoma"/>
            <family val="2"/>
          </rPr>
          <t>Dither Low Frequency Modulation</t>
        </r>
        <r>
          <rPr>
            <b/>
            <sz val="9"/>
            <color indexed="81"/>
            <rFont val="Tahoma"/>
            <family val="2"/>
          </rPr>
          <t>:</t>
        </r>
        <r>
          <rPr>
            <sz val="9"/>
            <color indexed="81"/>
            <rFont val="Tahoma"/>
            <family val="2"/>
          </rPr>
          <t xml:space="preserve">
Enter the desired dither low-frequency modulation rate. The dither capacitor charges and discharges in triangular fashion between 95% and 105% of the 1.2V bandgap, i.e. 120mV amplitude, and sets up a ±5% modulation of the nominal oscillator frequency.
Note that the LM5143-Q1 does not perform dither if the SYNC function is used.
</t>
        </r>
        <r>
          <rPr>
            <b/>
            <sz val="9"/>
            <color indexed="39"/>
            <rFont val="Tahoma"/>
            <family val="2"/>
          </rPr>
          <t xml:space="preserve">
If the dither feature is not required, the DITH pin should be tied to VDDA.</t>
        </r>
        <r>
          <rPr>
            <sz val="9"/>
            <color indexed="81"/>
            <rFont val="Tahoma"/>
            <family val="2"/>
          </rPr>
          <t xml:space="preserve">
</t>
        </r>
      </text>
    </comment>
    <comment ref="F63" authorId="0" shapeId="0" xr:uid="{00000000-0006-0000-0000-00001B000000}">
      <text>
        <r>
          <rPr>
            <b/>
            <u/>
            <sz val="9"/>
            <color indexed="81"/>
            <rFont val="Tahoma"/>
            <family val="2"/>
          </rPr>
          <t>Crossover Frequency</t>
        </r>
        <r>
          <rPr>
            <b/>
            <sz val="9"/>
            <color indexed="81"/>
            <rFont val="Tahoma"/>
            <family val="2"/>
          </rPr>
          <t>:</t>
        </r>
        <r>
          <rPr>
            <sz val="9"/>
            <color indexed="81"/>
            <rFont val="Tahoma"/>
            <family val="2"/>
          </rPr>
          <t xml:space="preserve">
Enter the desired crossover frequency (usually between 10% and 15% of switching frequency, up to a max of ~100kHz). This feedback compensation components are determined based on this target performance metric.</t>
        </r>
      </text>
    </comment>
    <comment ref="F65" authorId="0" shapeId="0" xr:uid="{00000000-0006-0000-0000-00001C000000}">
      <text>
        <r>
          <rPr>
            <b/>
            <sz val="9"/>
            <color indexed="81"/>
            <rFont val="Tahoma"/>
            <family val="2"/>
          </rPr>
          <t>R</t>
        </r>
        <r>
          <rPr>
            <b/>
            <vertAlign val="subscript"/>
            <sz val="9"/>
            <color indexed="81"/>
            <rFont val="Tahoma"/>
            <family val="2"/>
          </rPr>
          <t>FB1</t>
        </r>
        <r>
          <rPr>
            <b/>
            <sz val="9"/>
            <color indexed="81"/>
            <rFont val="Tahoma"/>
            <family val="2"/>
          </rPr>
          <t>:</t>
        </r>
        <r>
          <rPr>
            <sz val="9"/>
            <color indexed="81"/>
            <rFont val="Tahoma"/>
            <family val="2"/>
          </rPr>
          <t xml:space="preserve">
This is the upper feedback resistor that sets the output voltage. A recommended starting value of </t>
        </r>
        <r>
          <rPr>
            <b/>
            <sz val="9"/>
            <color indexed="81"/>
            <rFont val="Tahoma"/>
            <family val="2"/>
          </rPr>
          <t>R</t>
        </r>
        <r>
          <rPr>
            <b/>
            <vertAlign val="subscript"/>
            <sz val="9"/>
            <color indexed="81"/>
            <rFont val="Tahoma"/>
            <family val="2"/>
          </rPr>
          <t>FB1</t>
        </r>
        <r>
          <rPr>
            <sz val="9"/>
            <color indexed="81"/>
            <rFont val="Tahoma"/>
            <family val="2"/>
          </rPr>
          <t xml:space="preserve"> is 100kΩ.</t>
        </r>
      </text>
    </comment>
    <comment ref="E69" authorId="0" shapeId="0" xr:uid="{00000000-0006-0000-0000-00001D000000}">
      <text>
        <r>
          <rPr>
            <b/>
            <u/>
            <sz val="9"/>
            <color indexed="81"/>
            <rFont val="Tahoma"/>
            <family val="2"/>
          </rPr>
          <t>Selected Compensation Components</t>
        </r>
        <r>
          <rPr>
            <b/>
            <sz val="9"/>
            <color indexed="81"/>
            <rFont val="Tahoma"/>
            <family val="2"/>
          </rPr>
          <t>:</t>
        </r>
        <r>
          <rPr>
            <sz val="9"/>
            <color indexed="81"/>
            <rFont val="Tahoma"/>
            <family val="2"/>
          </rPr>
          <t xml:space="preserve">
</t>
        </r>
        <r>
          <rPr>
            <b/>
            <sz val="9"/>
            <color indexed="14"/>
            <rFont val="Tahoma"/>
            <family val="2"/>
          </rPr>
          <t>Note:</t>
        </r>
        <r>
          <rPr>
            <sz val="9"/>
            <color indexed="81"/>
            <rFont val="Tahoma"/>
            <family val="2"/>
          </rPr>
          <t xml:space="preserve">
</t>
        </r>
        <r>
          <rPr>
            <b/>
            <sz val="9"/>
            <color indexed="81"/>
            <rFont val="Tahoma"/>
            <family val="2"/>
          </rPr>
          <t>Compensation components are calculated based on the desired crossover frequency from Step 7.</t>
        </r>
        <r>
          <rPr>
            <sz val="9"/>
            <color indexed="81"/>
            <rFont val="Tahoma"/>
            <family val="2"/>
          </rPr>
          <t xml:space="preserve">
</t>
        </r>
        <r>
          <rPr>
            <b/>
            <sz val="9"/>
            <color indexed="14"/>
            <rFont val="Tahoma"/>
            <family val="2"/>
          </rPr>
          <t>Important:</t>
        </r>
        <r>
          <rPr>
            <sz val="9"/>
            <color indexed="81"/>
            <rFont val="Tahoma"/>
            <family val="2"/>
          </rPr>
          <t xml:space="preserve">
</t>
        </r>
        <r>
          <rPr>
            <b/>
            <sz val="9"/>
            <color indexed="39"/>
            <rFont val="Tahoma"/>
            <family val="2"/>
          </rPr>
          <t>1. Fix the compensation values by clicking the FIX VALUES button.</t>
        </r>
        <r>
          <rPr>
            <b/>
            <sz val="9"/>
            <color indexed="10"/>
            <rFont val="Tahoma"/>
            <family val="2"/>
          </rPr>
          <t xml:space="preserve">
</t>
        </r>
        <r>
          <rPr>
            <b/>
            <sz val="9"/>
            <color indexed="39"/>
            <rFont val="Tahoma"/>
            <family val="2"/>
          </rPr>
          <t>2. Click on RESET VALUES such that thee compensation values update with change of components or crossover frequency.</t>
        </r>
      </text>
    </comment>
    <comment ref="E83" authorId="2" shapeId="0" xr:uid="{00000000-0006-0000-0000-00001E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(at the appropriate gate drive level, typically 5V). High current designs (&gt;5A) can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F83" authorId="2" shapeId="0" xr:uid="{00000000-0006-0000-0000-00001F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low-side MOSFET here  (at the appropriate gate drive level, typically 5V). High current designs (&gt;5A) can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E84" authorId="2" shapeId="0" xr:uid="{00000000-0006-0000-0000-000020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 (at the appropriate gate drive voltage level, typically 5V).</t>
        </r>
      </text>
    </comment>
    <comment ref="F84" authorId="2" shapeId="0" xr:uid="{00000000-0006-0000-0000-000021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low-side MOSFET here (at the appropriate gate drive level, typically 5V)</t>
        </r>
      </text>
    </comment>
    <comment ref="E85" authorId="2" shapeId="0" xr:uid="{00000000-0006-0000-0000-000022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affects the turn-on and-off transition times. Slow transition times result in a decrease in efficiency, especially at higher input voltages.</t>
        </r>
      </text>
    </comment>
    <comment ref="F85" authorId="2" shapeId="0" xr:uid="{00000000-0006-0000-0000-000023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low-side MOSFET here.</t>
        </r>
      </text>
    </comment>
    <comment ref="E86" authorId="2" shapeId="0" xr:uid="{00000000-0006-0000-0000-000024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high-side MOSFET gate-source charge here. </t>
        </r>
      </text>
    </comment>
    <comment ref="F86" authorId="2" shapeId="0" xr:uid="{00000000-0006-0000-0000-000025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low-side MOSFET gate-source charge here. </t>
        </r>
      </text>
    </comment>
    <comment ref="F87" authorId="2" shapeId="0" xr:uid="{00000000-0006-0000-0000-000026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low-side MOSFET output charge here. </t>
        </r>
      </text>
    </comment>
    <comment ref="E88" authorId="2" shapeId="0" xr:uid="{00000000-0006-0000-0000-000027000000}">
      <text>
        <r>
          <rPr>
            <b/>
            <sz val="10"/>
            <color indexed="81"/>
            <rFont val="Tahoma"/>
            <family val="2"/>
          </rPr>
          <t>Output Charge (C</t>
        </r>
        <r>
          <rPr>
            <b/>
            <vertAlign val="subscript"/>
            <sz val="10"/>
            <color indexed="81"/>
            <rFont val="Tahoma"/>
            <family val="2"/>
          </rPr>
          <t>OSS</t>
        </r>
        <r>
          <rPr>
            <b/>
            <sz val="10"/>
            <color indexed="81"/>
            <rFont val="Tahoma"/>
            <family val="2"/>
          </rPr>
          <t xml:space="preserve">):
</t>
        </r>
        <r>
          <rPr>
            <sz val="10"/>
            <color indexed="81"/>
            <rFont val="Tahoma"/>
            <family val="2"/>
          </rPr>
          <t xml:space="preserve">Enter the high-side MOSFET output capacitance at nominal VIN here. </t>
        </r>
      </text>
    </comment>
    <comment ref="F88" authorId="2" shapeId="0" xr:uid="{00000000-0006-0000-0000-000028000000}">
      <text>
        <r>
          <rPr>
            <b/>
            <sz val="10"/>
            <color indexed="81"/>
            <rFont val="Tahoma"/>
            <family val="2"/>
          </rPr>
          <t>Drain-Source Capacitance (C</t>
        </r>
        <r>
          <rPr>
            <b/>
            <vertAlign val="subscript"/>
            <sz val="10"/>
            <color indexed="81"/>
            <rFont val="Tahoma"/>
            <family val="2"/>
          </rPr>
          <t>OSS</t>
        </r>
        <r>
          <rPr>
            <b/>
            <sz val="10"/>
            <color indexed="81"/>
            <rFont val="Tahoma"/>
            <family val="2"/>
          </rPr>
          <t xml:space="preserve">):
</t>
        </r>
        <r>
          <rPr>
            <sz val="10"/>
            <color indexed="81"/>
            <rFont val="Tahoma"/>
            <family val="2"/>
          </rPr>
          <t xml:space="preserve">Enter the low-side MOSFET output capacitance at nominal VIN here. </t>
        </r>
      </text>
    </comment>
    <comment ref="E89" authorId="2" shapeId="0" xr:uid="{00000000-0006-0000-0000-000029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F89" authorId="2" shapeId="0" xr:uid="{00000000-0006-0000-0000-00002A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low-side MOSFET gate resistance here. </t>
        </r>
      </text>
    </comment>
    <comment ref="E90" authorId="2" shapeId="0" xr:uid="{00000000-0006-0000-0000-00002B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F90" authorId="2" shapeId="0" xr:uid="{00000000-0006-0000-0000-00002C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low-side MOSFET here.</t>
        </r>
      </text>
    </comment>
    <comment ref="E91" authorId="2" shapeId="0" xr:uid="{00000000-0006-0000-0000-00002D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F91" authorId="2" shapeId="0" xr:uid="{00000000-0006-0000-0000-00002E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92" authorId="2" shapeId="0" xr:uid="{00000000-0006-0000-0000-00002F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F92" authorId="2" shapeId="0" xr:uid="{00000000-0006-0000-0000-000030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low-side MOSFET body diode contributes power loss related to both conduction and reverse recovery losses.</t>
        </r>
      </text>
    </comment>
    <comment ref="F93" authorId="2" shapeId="0" xr:uid="{00000000-0006-0000-0000-000031000000}">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low-side MOSFET body diode here. </t>
        </r>
      </text>
    </comment>
    <comment ref="E94" authorId="2" shapeId="0" xr:uid="{00000000-0006-0000-0000-000032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F94" authorId="2" shapeId="0" xr:uid="{00000000-0006-0000-0000-000033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G97" authorId="1" shapeId="0" xr:uid="{00000000-0006-0000-0000-000034000000}">
      <text>
        <r>
          <rPr>
            <b/>
            <sz val="9"/>
            <color indexed="81"/>
            <rFont val="Tahoma"/>
            <family val="2"/>
          </rPr>
          <t xml:space="preserve">Schottky Diode Forward Voltage:
</t>
        </r>
        <r>
          <rPr>
            <sz val="9"/>
            <color indexed="81"/>
            <rFont val="Tahoma"/>
            <family val="2"/>
          </rPr>
          <t xml:space="preserve">If an antiparallel Schottky diode is used across the low-side FET, enter the forward voltage at the rated current here. If a Schottky diode is not used, enter "0" into this cell.
</t>
        </r>
      </text>
    </comment>
    <comment ref="G98" authorId="1" shapeId="0" xr:uid="{00000000-0006-0000-0000-000035000000}">
      <text>
        <r>
          <rPr>
            <b/>
            <sz val="9"/>
            <color indexed="81"/>
            <rFont val="Tahoma"/>
            <family val="2"/>
          </rPr>
          <t>Schottky Diode Reverse Recovery Charge:</t>
        </r>
        <r>
          <rPr>
            <sz val="9"/>
            <color indexed="81"/>
            <rFont val="Tahoma"/>
            <family val="2"/>
          </rPr>
          <t xml:space="preserve">
Enter the diode reverse recovery charge here.
If a Schottky diode is not used, enter "0" into this cell.</t>
        </r>
      </text>
    </comment>
    <comment ref="F103" authorId="1" shapeId="0" xr:uid="{00000000-0006-0000-0000-000036000000}">
      <text>
        <r>
          <rPr>
            <b/>
            <sz val="9"/>
            <color indexed="81"/>
            <rFont val="Tahoma"/>
            <family val="2"/>
          </rPr>
          <t>IC Power Loss:</t>
        </r>
        <r>
          <rPr>
            <sz val="9"/>
            <color indexed="81"/>
            <rFont val="Tahoma"/>
            <family val="2"/>
          </rPr>
          <t xml:space="preserve">
IC power loss estimate based on nominal input voltage and MOSFET gate drive requirements.</t>
        </r>
      </text>
    </comment>
    <comment ref="F104" authorId="1" shapeId="0" xr:uid="{00000000-0006-0000-0000-000037000000}">
      <text>
        <r>
          <rPr>
            <b/>
            <sz val="9"/>
            <color indexed="81"/>
            <rFont val="Tahoma"/>
            <family val="2"/>
          </rPr>
          <t>IC Junction Temperature:</t>
        </r>
        <r>
          <rPr>
            <sz val="9"/>
            <color indexed="81"/>
            <rFont val="Tahoma"/>
            <family val="2"/>
          </rPr>
          <t xml:space="preserve">
IC junction temperature based on specified ambient temperature and power loss estimate.</t>
        </r>
      </text>
    </comment>
  </commentList>
</comments>
</file>

<file path=xl/sharedStrings.xml><?xml version="1.0" encoding="utf-8"?>
<sst xmlns="http://schemas.openxmlformats.org/spreadsheetml/2006/main" count="1964" uniqueCount="864">
  <si>
    <t>V</t>
  </si>
  <si>
    <t>A</t>
  </si>
  <si>
    <t>kHz</t>
  </si>
  <si>
    <t>Vin</t>
  </si>
  <si>
    <t>Vout</t>
  </si>
  <si>
    <t>Iout</t>
  </si>
  <si>
    <t>Fsw</t>
  </si>
  <si>
    <t>Value</t>
  </si>
  <si>
    <t>STD Units</t>
  </si>
  <si>
    <t>Hz</t>
  </si>
  <si>
    <t>uH</t>
  </si>
  <si>
    <t>Rdcr</t>
  </si>
  <si>
    <t>Notes</t>
  </si>
  <si>
    <t>Nominal input voltage</t>
  </si>
  <si>
    <t>Don1</t>
  </si>
  <si>
    <t>Doff1</t>
  </si>
  <si>
    <t>Don2</t>
  </si>
  <si>
    <t>Doff2</t>
  </si>
  <si>
    <t>index</t>
  </si>
  <si>
    <t>H</t>
  </si>
  <si>
    <t>Ohms</t>
  </si>
  <si>
    <t>Vripple1</t>
  </si>
  <si>
    <t>Coutmin</t>
  </si>
  <si>
    <t>uF</t>
  </si>
  <si>
    <t>F</t>
  </si>
  <si>
    <t>Cout</t>
  </si>
  <si>
    <t>Fesr</t>
  </si>
  <si>
    <t>Q</t>
  </si>
  <si>
    <t>V/V</t>
  </si>
  <si>
    <t>Rfb1</t>
  </si>
  <si>
    <t>pF</t>
  </si>
  <si>
    <t>Cc1ea</t>
  </si>
  <si>
    <t>Cc2ea</t>
  </si>
  <si>
    <t>Rcea1</t>
  </si>
  <si>
    <t>Rcea1_u</t>
  </si>
  <si>
    <t>Cc1ea_u</t>
  </si>
  <si>
    <t>Cc2ea_u</t>
  </si>
  <si>
    <t>Fz1</t>
  </si>
  <si>
    <t>Pi</t>
  </si>
  <si>
    <t>Vp-p</t>
  </si>
  <si>
    <t>Rfb2</t>
  </si>
  <si>
    <t>Vref</t>
  </si>
  <si>
    <t>Ro</t>
  </si>
  <si>
    <t>xover</t>
  </si>
  <si>
    <t>phase margin</t>
  </si>
  <si>
    <t>Total</t>
  </si>
  <si>
    <t>XOVER SEARCH</t>
  </si>
  <si>
    <t>Variable Name</t>
  </si>
  <si>
    <t>Resrmax</t>
  </si>
  <si>
    <t>mΩ</t>
  </si>
  <si>
    <t>kΩ</t>
  </si>
  <si>
    <t>TERMS OF USE</t>
  </si>
  <si>
    <t>IQ</t>
  </si>
  <si>
    <t>Step</t>
  </si>
  <si>
    <t>Total Loss</t>
  </si>
  <si>
    <t>Design</t>
  </si>
  <si>
    <t>L</t>
  </si>
  <si>
    <t>Cin</t>
  </si>
  <si>
    <t>Components</t>
  </si>
  <si>
    <t>Top FET</t>
  </si>
  <si>
    <t>RdsonDRB</t>
  </si>
  <si>
    <t>RdsonDRT</t>
  </si>
  <si>
    <t>Deadtime</t>
  </si>
  <si>
    <t>mOhms</t>
  </si>
  <si>
    <t>mA</t>
  </si>
  <si>
    <t>nC</t>
  </si>
  <si>
    <t>S</t>
  </si>
  <si>
    <t>QgBot</t>
  </si>
  <si>
    <t>RdsonBot</t>
  </si>
  <si>
    <t>GfsTop</t>
  </si>
  <si>
    <t>QgTop</t>
  </si>
  <si>
    <t>RdsonTop</t>
  </si>
  <si>
    <t>VsdBot</t>
  </si>
  <si>
    <t>QrrBot</t>
  </si>
  <si>
    <t>TrrBot</t>
  </si>
  <si>
    <t>ns</t>
  </si>
  <si>
    <t>Units</t>
  </si>
  <si>
    <t>Outputs</t>
  </si>
  <si>
    <t>Dprime</t>
  </si>
  <si>
    <t>RdsonTopTc</t>
  </si>
  <si>
    <t>RdsonBotTc</t>
  </si>
  <si>
    <t>ppm</t>
  </si>
  <si>
    <t>LTc</t>
  </si>
  <si>
    <t>Ta</t>
  </si>
  <si>
    <t>Irms</t>
  </si>
  <si>
    <t>RCoutEsr</t>
  </si>
  <si>
    <t>RCinEsr</t>
  </si>
  <si>
    <t>DCR    Loss</t>
  </si>
  <si>
    <t>Tr</t>
  </si>
  <si>
    <t>Tf</t>
  </si>
  <si>
    <t>RGateTop</t>
  </si>
  <si>
    <t>RGateBot</t>
  </si>
  <si>
    <t>VthTop</t>
  </si>
  <si>
    <t>Reverse Recovery Loss</t>
  </si>
  <si>
    <t>Switching Frequency</t>
  </si>
  <si>
    <t>Max Output Current</t>
  </si>
  <si>
    <t>Ambient Temperature</t>
  </si>
  <si>
    <t>Inductor Series Resistance Temp Co</t>
  </si>
  <si>
    <t>Total Deadtime</t>
  </si>
  <si>
    <t>Gate Charge Of Top FET</t>
  </si>
  <si>
    <t>Gate Resistance</t>
  </si>
  <si>
    <t>Transconductance of Top FET</t>
  </si>
  <si>
    <t>Threshold Voltage of Top FET</t>
  </si>
  <si>
    <t>Junction to Ambient Resistance</t>
  </si>
  <si>
    <t>Drain To Source Resitance Temp Co</t>
  </si>
  <si>
    <t>Diode Forward Voltage of Bottom FET Body Diode</t>
  </si>
  <si>
    <t>Reverse Recovery Time of Body Diode</t>
  </si>
  <si>
    <t>Description</t>
  </si>
  <si>
    <t>Input Parameters</t>
  </si>
  <si>
    <t>Drain to Source Resistance Temp Co</t>
  </si>
  <si>
    <t>Reverse Recovery Charge of Body Diode</t>
  </si>
  <si>
    <t>Input Value</t>
  </si>
  <si>
    <t>Top Driver</t>
  </si>
  <si>
    <t>Bottom Driver</t>
  </si>
  <si>
    <t>Part Power</t>
  </si>
  <si>
    <t>Power Dis</t>
  </si>
  <si>
    <t>W</t>
  </si>
  <si>
    <t>Controller</t>
  </si>
  <si>
    <t>Theta Ja</t>
  </si>
  <si>
    <t>Temp rise</t>
  </si>
  <si>
    <t>QgdTop</t>
  </si>
  <si>
    <t>Gate to Drain Charge</t>
  </si>
  <si>
    <t>Qg</t>
  </si>
  <si>
    <t>VspTop</t>
  </si>
  <si>
    <t>QgsTop</t>
  </si>
  <si>
    <t>RdsonDRB2</t>
  </si>
  <si>
    <t>RdsonDRT2</t>
  </si>
  <si>
    <t>Efficiency</t>
  </si>
  <si>
    <t xml:space="preserve">IQ </t>
  </si>
  <si>
    <t>ThetaCa</t>
  </si>
  <si>
    <t>Core to Ambient Thermal Resistance</t>
  </si>
  <si>
    <t>Quiescent Current Of Controller (Not Switching!)</t>
  </si>
  <si>
    <t>This pole cancels the zero from the Output Cap ESR</t>
  </si>
  <si>
    <t>s</t>
  </si>
  <si>
    <t>C</t>
  </si>
  <si>
    <t>Switching Current Loss</t>
  </si>
  <si>
    <t>Rfb2_u</t>
  </si>
  <si>
    <t>CoutEsr</t>
  </si>
  <si>
    <t>Ω</t>
  </si>
  <si>
    <t>Step 4: Output Capacitor</t>
  </si>
  <si>
    <t>Step 5: Input Capacitor</t>
  </si>
  <si>
    <t>nF</t>
  </si>
  <si>
    <t>R1</t>
  </si>
  <si>
    <t>R2</t>
  </si>
  <si>
    <t>VIN</t>
  </si>
  <si>
    <t>A (rms)</t>
  </si>
  <si>
    <t>= Input Box</t>
  </si>
  <si>
    <t>Input capacitance</t>
  </si>
  <si>
    <t>Step 1: Operational Specs</t>
  </si>
  <si>
    <t>ms</t>
  </si>
  <si>
    <t>Tss</t>
  </si>
  <si>
    <t>Iss</t>
  </si>
  <si>
    <t>Css</t>
  </si>
  <si>
    <t>C1</t>
  </si>
  <si>
    <t>C2</t>
  </si>
  <si>
    <t>Ripple I</t>
  </si>
  <si>
    <t>%</t>
  </si>
  <si>
    <t xml:space="preserve">I1 </t>
  </si>
  <si>
    <t xml:space="preserve">I2 </t>
  </si>
  <si>
    <t>Part Number</t>
  </si>
  <si>
    <t>Capacitors</t>
  </si>
  <si>
    <t>(pF)</t>
  </si>
  <si>
    <t>Standard Result</t>
  </si>
  <si>
    <t>Inputs</t>
  </si>
  <si>
    <t>Css_u</t>
  </si>
  <si>
    <t>Resistors</t>
  </si>
  <si>
    <t>inputs</t>
  </si>
  <si>
    <t>Rs</t>
  </si>
  <si>
    <t xml:space="preserve">                </t>
  </si>
  <si>
    <t>Cc1</t>
  </si>
  <si>
    <t>Cc2</t>
  </si>
  <si>
    <t>Rc1</t>
  </si>
  <si>
    <t>Other Input Variables</t>
  </si>
  <si>
    <t>Rfets</t>
  </si>
  <si>
    <t>cap loss eq res</t>
  </si>
  <si>
    <t>Fet loss eq res</t>
  </si>
  <si>
    <t>Diode loss eq res</t>
  </si>
  <si>
    <t>Sw cap</t>
  </si>
  <si>
    <t xml:space="preserve"> </t>
  </si>
  <si>
    <t>Rc1ea</t>
  </si>
  <si>
    <t>Frequency of Ringing</t>
  </si>
  <si>
    <t>MHz</t>
  </si>
  <si>
    <t>STD UNITS</t>
  </si>
  <si>
    <t>UNITS</t>
  </si>
  <si>
    <t>SW capacitance</t>
  </si>
  <si>
    <t>Csnub</t>
  </si>
  <si>
    <t>Lpar</t>
  </si>
  <si>
    <t>nH</t>
  </si>
  <si>
    <t>Rsnub</t>
  </si>
  <si>
    <t>Rset</t>
  </si>
  <si>
    <t>Blank out</t>
  </si>
  <si>
    <t>Input from user =</t>
  </si>
  <si>
    <t>Constant</t>
  </si>
  <si>
    <t>Step 8: Efficiency</t>
  </si>
  <si>
    <t>Vripple</t>
  </si>
  <si>
    <t>VfdSky</t>
  </si>
  <si>
    <t>QrrSky</t>
  </si>
  <si>
    <t>Ireverse</t>
  </si>
  <si>
    <t>Diode Forward Voltage</t>
  </si>
  <si>
    <t>Diode Reverse Recovery Charge</t>
  </si>
  <si>
    <t>Reverse Leakage Current</t>
  </si>
  <si>
    <t>External Diode</t>
  </si>
  <si>
    <t xml:space="preserve">Dead Time Loss </t>
  </si>
  <si>
    <t>VsdTop</t>
  </si>
  <si>
    <t>Switching Current Diss</t>
  </si>
  <si>
    <t>°C/W</t>
  </si>
  <si>
    <t>SCHEMATIC LABELS</t>
  </si>
  <si>
    <t>OUTPUT CURRENT</t>
  </si>
  <si>
    <t>Dmax</t>
  </si>
  <si>
    <t>Ipp</t>
  </si>
  <si>
    <t>Current (switching)</t>
  </si>
  <si>
    <t>Qrr Current</t>
  </si>
  <si>
    <t>Diode Current</t>
  </si>
  <si>
    <t>Std Units</t>
  </si>
  <si>
    <t>Total Application Switching IQ</t>
  </si>
  <si>
    <t>CIN</t>
  </si>
  <si>
    <t>DCR at hot</t>
  </si>
  <si>
    <t>µH</t>
  </si>
  <si>
    <t>µF</t>
  </si>
  <si>
    <t>Cinmin</t>
  </si>
  <si>
    <t>Vinripple1</t>
  </si>
  <si>
    <t>CinEsrMax</t>
  </si>
  <si>
    <t>Vinripple2</t>
  </si>
  <si>
    <t>Output =</t>
  </si>
  <si>
    <t>Bottom Schottky</t>
  </si>
  <si>
    <t>Step 1: Operating Specifications</t>
  </si>
  <si>
    <t>°C</t>
  </si>
  <si>
    <t>Std Values</t>
  </si>
  <si>
    <t>Compensation Components</t>
  </si>
  <si>
    <t>Actual P/Z Frequencies</t>
  </si>
  <si>
    <r>
      <t>mV</t>
    </r>
    <r>
      <rPr>
        <b/>
        <vertAlign val="subscript"/>
        <sz val="10"/>
        <rFont val="Arial"/>
        <family val="2"/>
      </rPr>
      <t>pk-pk</t>
    </r>
  </si>
  <si>
    <r>
      <t>C</t>
    </r>
    <r>
      <rPr>
        <b/>
        <vertAlign val="subscript"/>
        <sz val="10"/>
        <rFont val="Arial"/>
        <family val="2"/>
      </rPr>
      <t>C1</t>
    </r>
  </si>
  <si>
    <r>
      <t>C</t>
    </r>
    <r>
      <rPr>
        <b/>
        <vertAlign val="subscript"/>
        <sz val="10"/>
        <rFont val="Arial"/>
        <family val="2"/>
      </rPr>
      <t>C2</t>
    </r>
  </si>
  <si>
    <r>
      <t>mV</t>
    </r>
    <r>
      <rPr>
        <vertAlign val="subscript"/>
        <sz val="10"/>
        <rFont val="Arial"/>
        <family val="2"/>
      </rPr>
      <t>pk-pk</t>
    </r>
  </si>
  <si>
    <t>Efficiency / Power Loss Analyzer</t>
  </si>
  <si>
    <t>Step 7: Compensation Design</t>
  </si>
  <si>
    <t>Calculated /</t>
  </si>
  <si>
    <t>About</t>
  </si>
  <si>
    <t>xx</t>
  </si>
  <si>
    <t>Max ESR before ripple exceeds Vripple1</t>
  </si>
  <si>
    <t>Chosen ESR</t>
  </si>
  <si>
    <t>Input capacitance series resistance (ESR)</t>
  </si>
  <si>
    <t>kΩ</t>
  </si>
  <si>
    <t>Size</t>
  </si>
  <si>
    <t>MFR</t>
  </si>
  <si>
    <t>Std</t>
  </si>
  <si>
    <t>See description</t>
  </si>
  <si>
    <t>TI</t>
  </si>
  <si>
    <t>0603</t>
  </si>
  <si>
    <r>
      <t>C</t>
    </r>
    <r>
      <rPr>
        <vertAlign val="subscript"/>
        <sz val="10"/>
        <rFont val="Arial"/>
        <family val="2"/>
      </rPr>
      <t>C1</t>
    </r>
  </si>
  <si>
    <r>
      <t>C</t>
    </r>
    <r>
      <rPr>
        <vertAlign val="subscript"/>
        <sz val="10"/>
        <rFont val="Arial"/>
        <family val="2"/>
      </rPr>
      <t>C2</t>
    </r>
  </si>
  <si>
    <r>
      <t>C</t>
    </r>
    <r>
      <rPr>
        <vertAlign val="subscript"/>
        <sz val="10"/>
        <rFont val="Arial"/>
        <family val="2"/>
      </rPr>
      <t>IN</t>
    </r>
  </si>
  <si>
    <r>
      <t>C</t>
    </r>
    <r>
      <rPr>
        <vertAlign val="subscript"/>
        <sz val="10"/>
        <rFont val="Arial"/>
        <family val="2"/>
      </rPr>
      <t>OUT</t>
    </r>
  </si>
  <si>
    <t>Ref Des</t>
  </si>
  <si>
    <t>Count</t>
  </si>
  <si>
    <t>Various</t>
  </si>
  <si>
    <t>-</t>
  </si>
  <si>
    <r>
      <t>R</t>
    </r>
    <r>
      <rPr>
        <vertAlign val="subscript"/>
        <sz val="10"/>
        <rFont val="Arial"/>
        <family val="2"/>
      </rPr>
      <t>C1</t>
    </r>
  </si>
  <si>
    <r>
      <t>R</t>
    </r>
    <r>
      <rPr>
        <vertAlign val="subscript"/>
        <sz val="10"/>
        <rFont val="Arial"/>
        <family val="2"/>
      </rPr>
      <t>VIN</t>
    </r>
  </si>
  <si>
    <r>
      <t>R</t>
    </r>
    <r>
      <rPr>
        <vertAlign val="subscript"/>
        <sz val="10"/>
        <rFont val="Arial"/>
        <family val="2"/>
      </rPr>
      <t>FB1</t>
    </r>
  </si>
  <si>
    <r>
      <t>R</t>
    </r>
    <r>
      <rPr>
        <vertAlign val="subscript"/>
        <sz val="10"/>
        <rFont val="Arial"/>
        <family val="2"/>
      </rPr>
      <t>FB2</t>
    </r>
  </si>
  <si>
    <r>
      <t>U</t>
    </r>
    <r>
      <rPr>
        <b/>
        <vertAlign val="subscript"/>
        <sz val="10"/>
        <rFont val="Arial"/>
        <family val="2"/>
      </rPr>
      <t>1</t>
    </r>
  </si>
  <si>
    <t>Rpgood</t>
  </si>
  <si>
    <t>20kΩ</t>
  </si>
  <si>
    <t># of input caps</t>
  </si>
  <si>
    <t>Capacitance per component (Cin)</t>
  </si>
  <si>
    <t>Capacitance per component (Cout)</t>
  </si>
  <si>
    <t># of output caps</t>
  </si>
  <si>
    <t>Ω</t>
  </si>
  <si>
    <r>
      <rPr>
        <b/>
        <u/>
        <sz val="10"/>
        <rFont val="Arial"/>
        <family val="2"/>
      </rPr>
      <t>NOTES</t>
    </r>
    <r>
      <rPr>
        <b/>
        <sz val="10"/>
        <rFont val="Arial"/>
        <family val="2"/>
      </rPr>
      <t>:</t>
    </r>
  </si>
  <si>
    <t>Series resistance due to FETs</t>
  </si>
  <si>
    <t>Output Resistance</t>
  </si>
  <si>
    <r>
      <t>On-State Resistance, R</t>
    </r>
    <r>
      <rPr>
        <b/>
        <vertAlign val="subscript"/>
        <sz val="10"/>
        <rFont val="Arial"/>
        <family val="2"/>
      </rPr>
      <t>DS(on)</t>
    </r>
    <r>
      <rPr>
        <b/>
        <sz val="10"/>
        <rFont val="Arial"/>
        <family val="2"/>
      </rPr>
      <t xml:space="preserve"> </t>
    </r>
  </si>
  <si>
    <r>
      <t>Total Gate Charge, Q</t>
    </r>
    <r>
      <rPr>
        <b/>
        <vertAlign val="subscript"/>
        <sz val="10"/>
        <rFont val="Arial"/>
        <family val="2"/>
      </rPr>
      <t>G</t>
    </r>
    <r>
      <rPr>
        <b/>
        <sz val="10"/>
        <rFont val="Arial"/>
        <family val="2"/>
      </rPr>
      <t xml:space="preserve"> </t>
    </r>
  </si>
  <si>
    <r>
      <t>Gate-Drain Charge, Q</t>
    </r>
    <r>
      <rPr>
        <b/>
        <vertAlign val="subscript"/>
        <sz val="10"/>
        <rFont val="Arial"/>
        <family val="2"/>
      </rPr>
      <t>GD</t>
    </r>
    <r>
      <rPr>
        <b/>
        <sz val="10"/>
        <rFont val="Arial"/>
        <family val="2"/>
      </rPr>
      <t xml:space="preserve"> </t>
    </r>
  </si>
  <si>
    <r>
      <t>Gate-Source Charge, Q</t>
    </r>
    <r>
      <rPr>
        <b/>
        <vertAlign val="subscript"/>
        <sz val="10"/>
        <rFont val="Arial"/>
        <family val="2"/>
      </rPr>
      <t>GS</t>
    </r>
    <r>
      <rPr>
        <b/>
        <sz val="10"/>
        <rFont val="Arial"/>
        <family val="2"/>
      </rPr>
      <t xml:space="preserve"> </t>
    </r>
  </si>
  <si>
    <r>
      <t>Gate Resistance, R</t>
    </r>
    <r>
      <rPr>
        <b/>
        <vertAlign val="subscript"/>
        <sz val="10"/>
        <rFont val="Arial"/>
        <family val="2"/>
      </rPr>
      <t>G</t>
    </r>
    <r>
      <rPr>
        <b/>
        <sz val="10"/>
        <rFont val="Arial"/>
        <family val="2"/>
      </rPr>
      <t xml:space="preserve"> </t>
    </r>
  </si>
  <si>
    <r>
      <t>Transconductance, g</t>
    </r>
    <r>
      <rPr>
        <b/>
        <vertAlign val="subscript"/>
        <sz val="10"/>
        <rFont val="Arial"/>
        <family val="2"/>
      </rPr>
      <t>FS</t>
    </r>
    <r>
      <rPr>
        <b/>
        <sz val="10"/>
        <rFont val="Arial"/>
        <family val="2"/>
      </rPr>
      <t xml:space="preserve"> </t>
    </r>
  </si>
  <si>
    <r>
      <t>Thermal Resistance, θ</t>
    </r>
    <r>
      <rPr>
        <b/>
        <vertAlign val="subscript"/>
        <sz val="10"/>
        <rFont val="Arial"/>
        <family val="2"/>
      </rPr>
      <t>JA</t>
    </r>
    <r>
      <rPr>
        <b/>
        <sz val="10"/>
        <rFont val="Arial"/>
        <family val="2"/>
      </rPr>
      <t xml:space="preserve"> </t>
    </r>
  </si>
  <si>
    <t>%/°C</t>
  </si>
  <si>
    <t>Rt</t>
  </si>
  <si>
    <r>
      <t>Frequency Set Resistor, R</t>
    </r>
    <r>
      <rPr>
        <vertAlign val="subscript"/>
        <sz val="10"/>
        <rFont val="Arial"/>
        <family val="2"/>
      </rPr>
      <t>T</t>
    </r>
    <r>
      <rPr>
        <sz val="10"/>
        <rFont val="Arial"/>
        <family val="2"/>
      </rPr>
      <t xml:space="preserve"> </t>
    </r>
  </si>
  <si>
    <r>
      <t>Input Capacitance, C</t>
    </r>
    <r>
      <rPr>
        <b/>
        <vertAlign val="subscript"/>
        <sz val="10"/>
        <color theme="1"/>
        <rFont val="Arial"/>
        <family val="2"/>
      </rPr>
      <t>IN</t>
    </r>
    <r>
      <rPr>
        <b/>
        <sz val="10"/>
        <color theme="1"/>
        <rFont val="Arial"/>
        <family val="2"/>
      </rPr>
      <t xml:space="preserve"> </t>
    </r>
  </si>
  <si>
    <r>
      <t>Soft-Start Capacitance, C</t>
    </r>
    <r>
      <rPr>
        <vertAlign val="subscript"/>
        <sz val="10"/>
        <rFont val="Arial"/>
        <family val="2"/>
      </rPr>
      <t>SS</t>
    </r>
    <r>
      <rPr>
        <sz val="10"/>
        <rFont val="Arial"/>
        <family val="2"/>
      </rPr>
      <t xml:space="preserve"> </t>
    </r>
  </si>
  <si>
    <r>
      <t>Soft-Start Time, t</t>
    </r>
    <r>
      <rPr>
        <b/>
        <vertAlign val="subscript"/>
        <sz val="10"/>
        <color theme="1"/>
        <rFont val="Arial"/>
        <family val="2"/>
      </rPr>
      <t>SS</t>
    </r>
    <r>
      <rPr>
        <b/>
        <sz val="10"/>
        <color theme="1"/>
        <rFont val="Arial"/>
        <family val="2"/>
      </rPr>
      <t xml:space="preserve"> </t>
    </r>
  </si>
  <si>
    <r>
      <t>V</t>
    </r>
    <r>
      <rPr>
        <vertAlign val="subscript"/>
        <sz val="10"/>
        <color theme="1"/>
        <rFont val="Arial"/>
        <family val="2"/>
      </rPr>
      <t>IN(min)</t>
    </r>
  </si>
  <si>
    <r>
      <t>V</t>
    </r>
    <r>
      <rPr>
        <vertAlign val="subscript"/>
        <sz val="10"/>
        <color theme="1"/>
        <rFont val="Arial"/>
        <family val="2"/>
      </rPr>
      <t>IN(nom)</t>
    </r>
  </si>
  <si>
    <r>
      <t>V</t>
    </r>
    <r>
      <rPr>
        <vertAlign val="subscript"/>
        <sz val="10"/>
        <color theme="1"/>
        <rFont val="Arial"/>
        <family val="2"/>
      </rPr>
      <t>IN(max)</t>
    </r>
  </si>
  <si>
    <t>VIN_max</t>
  </si>
  <si>
    <t>VIN_min</t>
  </si>
  <si>
    <t>Minimum input voltage</t>
  </si>
  <si>
    <t>Maximum input voltage</t>
  </si>
  <si>
    <t>mV</t>
  </si>
  <si>
    <t>Ideal Duty Cycle at VIN(nom)</t>
  </si>
  <si>
    <t>Ideal 1- Duty Cycle at VIN(nom)</t>
  </si>
  <si>
    <t>Pout</t>
  </si>
  <si>
    <t>Iin_Vinmin</t>
  </si>
  <si>
    <t>Iin_Vinnom</t>
  </si>
  <si>
    <t>Iin_Vinmax</t>
  </si>
  <si>
    <t>Pin</t>
  </si>
  <si>
    <t>Iripple_Vinmin</t>
  </si>
  <si>
    <t>Iripple_Vinnom</t>
  </si>
  <si>
    <t>Iripple_Vinmax</t>
  </si>
  <si>
    <t>L_Vinnom</t>
  </si>
  <si>
    <t>Lopt</t>
  </si>
  <si>
    <t>Iin</t>
  </si>
  <si>
    <r>
      <rPr>
        <sz val="10"/>
        <rFont val="Symbol"/>
        <family val="1"/>
        <charset val="2"/>
      </rPr>
      <t>D</t>
    </r>
    <r>
      <rPr>
        <sz val="10"/>
        <rFont val="Arial"/>
        <family val="2"/>
      </rPr>
      <t>I</t>
    </r>
    <r>
      <rPr>
        <vertAlign val="subscript"/>
        <sz val="10"/>
        <rFont val="Arial"/>
        <family val="2"/>
      </rPr>
      <t>L</t>
    </r>
    <r>
      <rPr>
        <sz val="10"/>
        <rFont val="Arial"/>
        <family val="2"/>
      </rPr>
      <t xml:space="preserve"> as a %</t>
    </r>
    <r>
      <rPr>
        <sz val="10"/>
        <rFont val="Arial"/>
        <family val="2"/>
      </rPr>
      <t xml:space="preserve"> at V</t>
    </r>
    <r>
      <rPr>
        <vertAlign val="subscript"/>
        <sz val="10"/>
        <rFont val="Arial"/>
        <family val="2"/>
      </rPr>
      <t>IN(nom)</t>
    </r>
  </si>
  <si>
    <r>
      <t>Sense Resistance, R</t>
    </r>
    <r>
      <rPr>
        <b/>
        <vertAlign val="subscript"/>
        <sz val="10"/>
        <color theme="1"/>
        <rFont val="Arial"/>
        <family val="2"/>
      </rPr>
      <t>S</t>
    </r>
  </si>
  <si>
    <t>Recommended Sense Resistance</t>
  </si>
  <si>
    <t>Ilimit_DC</t>
  </si>
  <si>
    <t>Max inductor ripple current</t>
  </si>
  <si>
    <t>Output power</t>
  </si>
  <si>
    <t>Input currents at min, nom, max Vin</t>
  </si>
  <si>
    <t>Rs_ideal</t>
  </si>
  <si>
    <t>Ilimit_inductor_Vinmin</t>
  </si>
  <si>
    <t>Ilimit_inductor_Vinmax</t>
  </si>
  <si>
    <t>Ilimit_inductor_Vinnom</t>
  </si>
  <si>
    <t>Selected (starndard value) current limit sense resistor</t>
  </si>
  <si>
    <t>mΩ</t>
  </si>
  <si>
    <t>Output Cap RMS current</t>
  </si>
  <si>
    <t>Icoutrms_VINmin</t>
  </si>
  <si>
    <t>Icoutrms_VINnom</t>
  </si>
  <si>
    <t>Icoutrms_VINmax</t>
  </si>
  <si>
    <t>Cdither</t>
  </si>
  <si>
    <t>Cdither_calculated</t>
  </si>
  <si>
    <t>Cdither_stdvalue</t>
  </si>
  <si>
    <t>Rout</t>
  </si>
  <si>
    <r>
      <t xml:space="preserve">Chosen Compensation Components from the </t>
    </r>
    <r>
      <rPr>
        <b/>
        <u/>
        <sz val="10"/>
        <color indexed="10"/>
        <rFont val="Arial"/>
        <family val="2"/>
      </rPr>
      <t>standard value sheet</t>
    </r>
  </si>
  <si>
    <t>Modulator</t>
  </si>
  <si>
    <t>Total System</t>
  </si>
  <si>
    <t>Afb1</t>
  </si>
  <si>
    <t>Acs</t>
  </si>
  <si>
    <t>z1</t>
  </si>
  <si>
    <t>p3</t>
  </si>
  <si>
    <t>Adc</t>
  </si>
  <si>
    <t>z2</t>
  </si>
  <si>
    <t>Am</t>
  </si>
  <si>
    <t>p1</t>
  </si>
  <si>
    <t>pterm1</t>
  </si>
  <si>
    <t>Crossover</t>
  </si>
  <si>
    <t>p2</t>
  </si>
  <si>
    <t>pterm2</t>
  </si>
  <si>
    <t>Phase Margin</t>
  </si>
  <si>
    <t>Aea</t>
  </si>
  <si>
    <t>radconv</t>
  </si>
  <si>
    <t>p4</t>
  </si>
  <si>
    <t>k</t>
  </si>
  <si>
    <t>gm</t>
  </si>
  <si>
    <t>Power Stage</t>
  </si>
  <si>
    <t>Error Amplifier</t>
  </si>
  <si>
    <t>Sampling Double Pole</t>
  </si>
  <si>
    <t>System Response</t>
  </si>
  <si>
    <t>ERROR AMP Response</t>
  </si>
  <si>
    <t>PLANT Response</t>
  </si>
  <si>
    <t>Gain(V/V)</t>
  </si>
  <si>
    <t>Phase(rad)</t>
  </si>
  <si>
    <t>Gain (dB)</t>
  </si>
  <si>
    <t>Phase Margin (°)</t>
  </si>
  <si>
    <t>Phase (°)</t>
  </si>
  <si>
    <t>Fsquare</t>
  </si>
  <si>
    <t>Gain(dB)</t>
  </si>
  <si>
    <t>Phase(Deg)</t>
  </si>
  <si>
    <t>Pole/Zero Locations for Chart</t>
  </si>
  <si>
    <t>crossover</t>
  </si>
  <si>
    <t>System</t>
  </si>
  <si>
    <t>Plant</t>
  </si>
  <si>
    <t>Ri</t>
  </si>
  <si>
    <t>Error Amp Transconductance</t>
  </si>
  <si>
    <t>A/s</t>
  </si>
  <si>
    <t>Sn</t>
  </si>
  <si>
    <t>On-time Slope</t>
  </si>
  <si>
    <t>mc</t>
  </si>
  <si>
    <t>GBW</t>
  </si>
  <si>
    <t>Cbw</t>
  </si>
  <si>
    <t>RoEA</t>
  </si>
  <si>
    <t>AEA</t>
  </si>
  <si>
    <t>Afb</t>
  </si>
  <si>
    <t>p</t>
  </si>
  <si>
    <t>This component will largely determine the crossover frequency</t>
  </si>
  <si>
    <t>This along with Rcea1 places a pole at the output cap ESR zero</t>
  </si>
  <si>
    <t>1/(Pi*(k-0.5))</t>
  </si>
  <si>
    <t>Acs = 1/Ri</t>
  </si>
  <si>
    <t>Current Sense effective resistance = shunt resistor Rs * CS amp gain</t>
  </si>
  <si>
    <t>Fp_EA</t>
  </si>
  <si>
    <t>Fp_HF</t>
  </si>
  <si>
    <t>Off-time Slope</t>
  </si>
  <si>
    <t>Sf</t>
  </si>
  <si>
    <t>CS Amp Gain</t>
  </si>
  <si>
    <t>Slope Comp Slope - referred to inductor current</t>
  </si>
  <si>
    <t>Se_int</t>
  </si>
  <si>
    <t>Step 3: Sense Resistors, Slope Comp, Current Limit</t>
  </si>
  <si>
    <t>Q = 2/Pi = 0.636 gives ideal one-cycle damping</t>
  </si>
  <si>
    <t>Error Amp HF pole cancels zero related to Output Cap ESR</t>
  </si>
  <si>
    <t>EXCEL Variables Names/Calculations</t>
  </si>
  <si>
    <t>Resulting Pole/Zero Locations</t>
  </si>
  <si>
    <t>Sn_int</t>
  </si>
  <si>
    <t>Sf_int</t>
  </si>
  <si>
    <t>Slope Comp Slope - referred to IC</t>
  </si>
  <si>
    <t>etc</t>
  </si>
  <si>
    <t>°</t>
  </si>
  <si>
    <t>Std Value Lower Feedback Resistance</t>
  </si>
  <si>
    <t>Lower Feedback Resistance</t>
  </si>
  <si>
    <t>Upper Feedback Resistance - chosen by user</t>
  </si>
  <si>
    <t>Drain-Source Resistance of Pullup High-side FET Driver</t>
  </si>
  <si>
    <t>Drain-Source Resistance of Pulldown High-side FET Driver</t>
  </si>
  <si>
    <t>Drain-Source Resistance of Pullup Low-side FET Driver</t>
  </si>
  <si>
    <t>Drain-Source Resistance of Pulldown Low-side FET Driver</t>
  </si>
  <si>
    <t>Drain-Source Resistance Temp Co</t>
  </si>
  <si>
    <t>Desired Crossover Frequency</t>
  </si>
  <si>
    <t>Cout ESR zero frequency</t>
  </si>
  <si>
    <t>Error Amp LF pole -- related to amplifier ouptut resistance and comp cap</t>
  </si>
  <si>
    <t>Buck dominant pole frequency -- note slope comp influence</t>
  </si>
  <si>
    <t>Fp_load_buck</t>
  </si>
  <si>
    <t>IC Power Disipation</t>
  </si>
  <si>
    <t>Iteration</t>
  </si>
  <si>
    <t>Output Ripple Spec (pk-pk)</t>
  </si>
  <si>
    <t>F_mod</t>
  </si>
  <si>
    <t>Am_buck</t>
  </si>
  <si>
    <t>DC Gain is Adc = AEA*Afb*Am</t>
  </si>
  <si>
    <t>A/V</t>
  </si>
  <si>
    <t>Power Stage Poles/Zeros</t>
  </si>
  <si>
    <t>Complex Pole Pair</t>
  </si>
  <si>
    <t>Divider Network &amp; EA Poles/Zeros</t>
  </si>
  <si>
    <t>mc_buck</t>
  </si>
  <si>
    <t>k_buck</t>
  </si>
  <si>
    <t>mV/μs</t>
  </si>
  <si>
    <t>Error Amp (EA)</t>
  </si>
  <si>
    <t>Estimate of efficiency</t>
  </si>
  <si>
    <r>
      <t>need to include R</t>
    </r>
    <r>
      <rPr>
        <vertAlign val="subscript"/>
        <sz val="10"/>
        <color rgb="FFFF0000"/>
        <rFont val="Arial"/>
        <family val="2"/>
      </rPr>
      <t>DS(on)</t>
    </r>
    <r>
      <rPr>
        <sz val="10"/>
        <color rgb="FFFF0000"/>
        <rFont val="Arial"/>
        <family val="2"/>
      </rPr>
      <t xml:space="preserve"> later</t>
    </r>
  </si>
  <si>
    <t>Iout_OCP_Vinmin</t>
  </si>
  <si>
    <t>Iout_OCP_Vinmax</t>
  </si>
  <si>
    <r>
      <t>Current limit setpoints (i.e. I</t>
    </r>
    <r>
      <rPr>
        <vertAlign val="subscript"/>
        <sz val="10"/>
        <rFont val="Arial"/>
        <family val="2"/>
      </rPr>
      <t>OUT</t>
    </r>
    <r>
      <rPr>
        <sz val="10"/>
        <rFont val="Arial"/>
        <family val="2"/>
      </rPr>
      <t>) after standard components are selected</t>
    </r>
  </si>
  <si>
    <t>Output voltage ripple spec(pk-pk)</t>
  </si>
  <si>
    <t>Vout ripple spec at Vin(nom)</t>
  </si>
  <si>
    <t>Load cap current during soft start</t>
  </si>
  <si>
    <t>Soft-start time</t>
  </si>
  <si>
    <t>p-dom</t>
  </si>
  <si>
    <t>p_dom</t>
  </si>
  <si>
    <t>z_ESR</t>
  </si>
  <si>
    <t>z_RHP</t>
  </si>
  <si>
    <t>Low-side MOSFET/Diode</t>
  </si>
  <si>
    <t>EA pole, p2</t>
  </si>
  <si>
    <t>EA pole, p1</t>
  </si>
  <si>
    <t>EA zero, z1</t>
  </si>
  <si>
    <t>Fp_dominant</t>
  </si>
  <si>
    <t>p_sampling</t>
  </si>
  <si>
    <t>ESR zero</t>
  </si>
  <si>
    <t>EA pole</t>
  </si>
  <si>
    <t>EA zero</t>
  </si>
  <si>
    <t>This zero is set at or close to the dominant load pole</t>
  </si>
  <si>
    <t>Freq (Hz)</t>
  </si>
  <si>
    <t>Se_ext</t>
  </si>
  <si>
    <t>Feedback gain from Vout to FB</t>
  </si>
  <si>
    <t>EA DC gain = gm*RoEA</t>
  </si>
  <si>
    <t>EA output resistance</t>
  </si>
  <si>
    <t>EA effective bandwidth limiting capacitance = gm/(2*Pi*GBW)</t>
  </si>
  <si>
    <t>EA gain-bandwidth product</t>
  </si>
  <si>
    <t>2*Pi*Ri/gm -- scaling factor to calculate Rcomp given desired buck crossover frequency</t>
  </si>
  <si>
    <t>Diode/FET</t>
  </si>
  <si>
    <t>Iout_OCP_Vinnom</t>
  </si>
  <si>
    <r>
      <t>R</t>
    </r>
    <r>
      <rPr>
        <vertAlign val="subscript"/>
        <sz val="10"/>
        <rFont val="Arial"/>
        <family val="2"/>
      </rPr>
      <t>T</t>
    </r>
  </si>
  <si>
    <t>** Effective input and output capacitances should be appropriately derated for applied voltage and temperature, particularly with ceramics **</t>
  </si>
  <si>
    <r>
      <t>C</t>
    </r>
    <r>
      <rPr>
        <vertAlign val="subscript"/>
        <sz val="10"/>
        <rFont val="Arial"/>
        <family val="2"/>
      </rPr>
      <t>DITH</t>
    </r>
  </si>
  <si>
    <r>
      <t>C</t>
    </r>
    <r>
      <rPr>
        <vertAlign val="subscript"/>
        <sz val="10"/>
        <rFont val="Arial"/>
        <family val="2"/>
      </rPr>
      <t>BOOT1</t>
    </r>
    <r>
      <rPr>
        <sz val="10"/>
        <rFont val="Arial"/>
        <family val="2"/>
      </rPr>
      <t>, C</t>
    </r>
    <r>
      <rPr>
        <vertAlign val="subscript"/>
        <sz val="10"/>
        <rFont val="Arial"/>
        <family val="2"/>
      </rPr>
      <t>BOOT2</t>
    </r>
  </si>
  <si>
    <t>** Inductor saturation current should be higher than the peak inductor current at the OCP setpoint for all input voltages and operating temperatures **</t>
  </si>
  <si>
    <r>
      <rPr>
        <sz val="10"/>
        <rFont val="Symbol"/>
        <family val="1"/>
        <charset val="2"/>
      </rPr>
      <t>°</t>
    </r>
    <r>
      <rPr>
        <sz val="10"/>
        <rFont val="Arial"/>
        <family val="2"/>
      </rPr>
      <t>C</t>
    </r>
  </si>
  <si>
    <r>
      <t>m</t>
    </r>
    <r>
      <rPr>
        <sz val="10"/>
        <rFont val="Symbol"/>
        <family val="1"/>
        <charset val="2"/>
      </rPr>
      <t>W</t>
    </r>
  </si>
  <si>
    <t>μF</t>
  </si>
  <si>
    <t>Filter Inductance</t>
  </si>
  <si>
    <r>
      <t>Inductor DCR at 25</t>
    </r>
    <r>
      <rPr>
        <sz val="10"/>
        <rFont val="Symbol"/>
        <family val="1"/>
        <charset val="2"/>
      </rPr>
      <t>°</t>
    </r>
    <r>
      <rPr>
        <sz val="10"/>
        <rFont val="Arial"/>
        <family val="2"/>
      </rPr>
      <t>C</t>
    </r>
  </si>
  <si>
    <r>
      <rPr>
        <sz val="10"/>
        <rFont val="Calibri"/>
        <family val="2"/>
      </rPr>
      <t>θ</t>
    </r>
    <r>
      <rPr>
        <vertAlign val="subscript"/>
        <sz val="10"/>
        <rFont val="Arial"/>
        <family val="2"/>
      </rPr>
      <t>JA</t>
    </r>
  </si>
  <si>
    <r>
      <t>θ</t>
    </r>
    <r>
      <rPr>
        <vertAlign val="subscript"/>
        <sz val="10"/>
        <rFont val="Arial"/>
        <family val="2"/>
      </rPr>
      <t>JABot</t>
    </r>
  </si>
  <si>
    <r>
      <t>θ</t>
    </r>
    <r>
      <rPr>
        <vertAlign val="subscript"/>
        <sz val="10"/>
        <rFont val="Arial"/>
        <family val="2"/>
      </rPr>
      <t>JATop</t>
    </r>
  </si>
  <si>
    <t>θJACtrl</t>
  </si>
  <si>
    <r>
      <t>Enter the values of your design and MOSFET datasheet specifications below. Note that thermal resistance (</t>
    </r>
    <r>
      <rPr>
        <b/>
        <sz val="10"/>
        <rFont val="Calibri"/>
        <family val="2"/>
      </rPr>
      <t>θ</t>
    </r>
    <r>
      <rPr>
        <b/>
        <vertAlign val="subscript"/>
        <sz val="10"/>
        <rFont val="Arial"/>
        <family val="2"/>
      </rPr>
      <t>JA</t>
    </r>
    <r>
      <rPr>
        <b/>
        <sz val="10"/>
        <rFont val="Arial"/>
        <family val="2"/>
      </rPr>
      <t>) will change when components are placed on the PCB</t>
    </r>
  </si>
  <si>
    <t>Subregulated VCC Voltage</t>
  </si>
  <si>
    <t>Vcc</t>
  </si>
  <si>
    <t>Junction-to-ambient thermal resistance of controller</t>
  </si>
  <si>
    <r>
      <rPr>
        <sz val="10"/>
        <rFont val="Calibri"/>
        <family val="2"/>
      </rPr>
      <t>θ</t>
    </r>
    <r>
      <rPr>
        <vertAlign val="subscript"/>
        <sz val="10"/>
        <rFont val="Arial"/>
        <family val="2"/>
      </rPr>
      <t>CA</t>
    </r>
  </si>
  <si>
    <t>Inductor Core to Ambient Thermal Resistance</t>
  </si>
  <si>
    <t>Input Capacitor ESR</t>
  </si>
  <si>
    <t>Inductor DCR Temp Co</t>
  </si>
  <si>
    <t>Output Capacitor ESR</t>
  </si>
  <si>
    <t>Output Capcitance</t>
  </si>
  <si>
    <t>Input Capacitance</t>
  </si>
  <si>
    <t>Filter Inductor</t>
  </si>
  <si>
    <t>Ripple Current pk-pk</t>
  </si>
  <si>
    <t>Cout ESR Loss</t>
  </si>
  <si>
    <t>Irms Cout</t>
  </si>
  <si>
    <t>Irms Cin</t>
  </si>
  <si>
    <t>Cin ESR Loss</t>
  </si>
  <si>
    <r>
      <t>R</t>
    </r>
    <r>
      <rPr>
        <b/>
        <vertAlign val="subscript"/>
        <sz val="10"/>
        <rFont val="Arial"/>
        <family val="2"/>
      </rPr>
      <t>DS(on)</t>
    </r>
    <r>
      <rPr>
        <b/>
        <sz val="10"/>
        <rFont val="Arial"/>
        <family val="2"/>
      </rPr>
      <t xml:space="preserve"> Loss</t>
    </r>
  </si>
  <si>
    <t>Controller IC Losses</t>
  </si>
  <si>
    <t>Total IC Loss</t>
  </si>
  <si>
    <t>Deadtime Loss</t>
  </si>
  <si>
    <r>
      <t>I</t>
    </r>
    <r>
      <rPr>
        <b/>
        <vertAlign val="subscript"/>
        <sz val="10"/>
        <rFont val="Arial"/>
        <family val="2"/>
      </rPr>
      <t>Q</t>
    </r>
    <r>
      <rPr>
        <b/>
        <sz val="10"/>
        <rFont val="Arial"/>
        <family val="2"/>
      </rPr>
      <t xml:space="preserve"> Loss</t>
    </r>
  </si>
  <si>
    <t>h</t>
  </si>
  <si>
    <r>
      <t xml:space="preserve">EFF, </t>
    </r>
    <r>
      <rPr>
        <b/>
        <sz val="10"/>
        <rFont val="Symbol"/>
        <family val="1"/>
        <charset val="2"/>
      </rPr>
      <t>h</t>
    </r>
  </si>
  <si>
    <t>QrrTop</t>
  </si>
  <si>
    <t>TrrTop</t>
  </si>
  <si>
    <t>RESULTS</t>
  </si>
  <si>
    <t>Consolidated Buck/Boost Efficiency &amp; Losses</t>
  </si>
  <si>
    <t>Isense Shunt Loss</t>
  </si>
  <si>
    <t>Sense Rs</t>
  </si>
  <si>
    <t>Drain to Source Resistance of pulldown Bottom FET Driver</t>
  </si>
  <si>
    <t>Drain to Source Resistance of pullup Bottom FET Driver</t>
  </si>
  <si>
    <t>Drain to Source Resistance of pulldown Top FET Driver</t>
  </si>
  <si>
    <t>Drain to Source Resistance of pullup Top FET Driver</t>
  </si>
  <si>
    <t>Turn on of MOSFET -&gt; Rise time of current</t>
  </si>
  <si>
    <t>Turn off of MOSFET -&gt; Fall time of current</t>
  </si>
  <si>
    <t>External Schottky Diode (if applicable)</t>
  </si>
  <si>
    <r>
      <t>kHz (F</t>
    </r>
    <r>
      <rPr>
        <vertAlign val="subscript"/>
        <sz val="10"/>
        <rFont val="Arial"/>
        <family val="2"/>
      </rPr>
      <t>ZCOMP</t>
    </r>
    <r>
      <rPr>
        <sz val="10"/>
        <rFont val="Arial"/>
        <family val="2"/>
      </rPr>
      <t>)</t>
    </r>
  </si>
  <si>
    <r>
      <t>kHz (F</t>
    </r>
    <r>
      <rPr>
        <vertAlign val="subscript"/>
        <sz val="10"/>
        <rFont val="Arial"/>
        <family val="2"/>
      </rPr>
      <t>PCOMP</t>
    </r>
    <r>
      <rPr>
        <sz val="10"/>
        <rFont val="Arial"/>
        <family val="2"/>
      </rPr>
      <t>)</t>
    </r>
  </si>
  <si>
    <t>Reported Cinmin</t>
  </si>
  <si>
    <t>Reported Cout ESR max</t>
  </si>
  <si>
    <t>Reported Cin ESR max</t>
  </si>
  <si>
    <t>Chosen OCP level - based on output current</t>
  </si>
  <si>
    <r>
      <t>I</t>
    </r>
    <r>
      <rPr>
        <vertAlign val="subscript"/>
        <sz val="10"/>
        <rFont val="Arial"/>
        <family val="2"/>
      </rPr>
      <t>OUT(typ)</t>
    </r>
    <r>
      <rPr>
        <sz val="10"/>
        <rFont val="Arial"/>
        <family val="2"/>
      </rPr>
      <t xml:space="preserve"> at OCP Inception:</t>
    </r>
  </si>
  <si>
    <t>Total Cin Loss</t>
  </si>
  <si>
    <t>Inductor Cu &amp; Core Loss</t>
  </si>
  <si>
    <t>Total Cout Loss</t>
  </si>
  <si>
    <t>Total Inductor Loss</t>
  </si>
  <si>
    <t>Anti-parallel Schottky Diode (optional)</t>
  </si>
  <si>
    <r>
      <t>Q</t>
    </r>
    <r>
      <rPr>
        <vertAlign val="subscript"/>
        <sz val="10"/>
        <rFont val="Arial"/>
        <family val="2"/>
      </rPr>
      <t>1</t>
    </r>
    <r>
      <rPr>
        <sz val="10"/>
        <rFont val="Arial"/>
        <family val="2"/>
      </rPr>
      <t>, Q</t>
    </r>
    <r>
      <rPr>
        <vertAlign val="subscript"/>
        <sz val="10"/>
        <rFont val="Arial"/>
        <family val="2"/>
      </rPr>
      <t>2</t>
    </r>
  </si>
  <si>
    <r>
      <t>Q</t>
    </r>
    <r>
      <rPr>
        <vertAlign val="subscript"/>
        <sz val="10"/>
        <rFont val="Arial"/>
        <family val="2"/>
      </rPr>
      <t>3</t>
    </r>
    <r>
      <rPr>
        <sz val="10"/>
        <rFont val="Arial"/>
        <family val="2"/>
      </rPr>
      <t>, Q</t>
    </r>
    <r>
      <rPr>
        <vertAlign val="subscript"/>
        <sz val="10"/>
        <rFont val="Arial"/>
        <family val="2"/>
      </rPr>
      <t>4</t>
    </r>
  </si>
  <si>
    <t>High-side FET</t>
  </si>
  <si>
    <t>Low-side FET</t>
  </si>
  <si>
    <t>Drain-Source Resistance of Low-side FET</t>
  </si>
  <si>
    <t xml:space="preserve">Drain-Source Resistance of Top FET </t>
  </si>
  <si>
    <t>Q3: high-side</t>
  </si>
  <si>
    <t>Q4: low-side</t>
  </si>
  <si>
    <t>Q1: high-side</t>
  </si>
  <si>
    <t>Q2: low-side</t>
  </si>
  <si>
    <t>Rdson</t>
  </si>
  <si>
    <t>Qgd</t>
  </si>
  <si>
    <t>Qgs</t>
  </si>
  <si>
    <t>Rgate</t>
  </si>
  <si>
    <t>Gfs</t>
  </si>
  <si>
    <t>Vth</t>
  </si>
  <si>
    <t>Vsp</t>
  </si>
  <si>
    <t>Diode Forward Voltage of MOSFET Body diode</t>
  </si>
  <si>
    <t>Vsd - Buck</t>
  </si>
  <si>
    <r>
      <t>Body Diode Forward Voltage, V</t>
    </r>
    <r>
      <rPr>
        <b/>
        <vertAlign val="subscript"/>
        <sz val="10"/>
        <rFont val="Arial"/>
        <family val="2"/>
      </rPr>
      <t>BD</t>
    </r>
    <r>
      <rPr>
        <b/>
        <sz val="10"/>
        <rFont val="Arial"/>
        <family val="2"/>
      </rPr>
      <t xml:space="preserve"> </t>
    </r>
  </si>
  <si>
    <r>
      <t>Schottky Rev Recovery Charge, Q</t>
    </r>
    <r>
      <rPr>
        <b/>
        <vertAlign val="subscript"/>
        <sz val="10"/>
        <rFont val="Arial"/>
        <family val="2"/>
      </rPr>
      <t>RRsch</t>
    </r>
    <r>
      <rPr>
        <b/>
        <sz val="10"/>
        <rFont val="Arial"/>
        <family val="2"/>
      </rPr>
      <t xml:space="preserve"> </t>
    </r>
  </si>
  <si>
    <r>
      <t>Body Diode Rev Recovery Charge, Q</t>
    </r>
    <r>
      <rPr>
        <b/>
        <vertAlign val="subscript"/>
        <sz val="10"/>
        <rFont val="Arial"/>
        <family val="2"/>
      </rPr>
      <t>RR</t>
    </r>
    <r>
      <rPr>
        <b/>
        <sz val="10"/>
        <rFont val="Arial"/>
        <family val="2"/>
      </rPr>
      <t xml:space="preserve"> </t>
    </r>
  </si>
  <si>
    <r>
      <t>Gate-Source Threshold Voltage, V</t>
    </r>
    <r>
      <rPr>
        <b/>
        <vertAlign val="subscript"/>
        <sz val="10"/>
        <rFont val="Arial"/>
        <family val="2"/>
      </rPr>
      <t>TH</t>
    </r>
    <r>
      <rPr>
        <b/>
        <sz val="10"/>
        <rFont val="Arial"/>
        <family val="2"/>
      </rPr>
      <t xml:space="preserve"> </t>
    </r>
  </si>
  <si>
    <r>
      <t>Schottky Fwd Voltage, V</t>
    </r>
    <r>
      <rPr>
        <b/>
        <vertAlign val="subscript"/>
        <sz val="10"/>
        <rFont val="Arial"/>
        <family val="2"/>
      </rPr>
      <t>FWDsch</t>
    </r>
    <r>
      <rPr>
        <b/>
        <sz val="10"/>
        <rFont val="Arial"/>
        <family val="2"/>
      </rPr>
      <t xml:space="preserve"> </t>
    </r>
  </si>
  <si>
    <t xml:space="preserve">  Low-side</t>
  </si>
  <si>
    <t>Dither Modulation Frequency</t>
  </si>
  <si>
    <t>sec</t>
  </si>
  <si>
    <t>min of calculated inductances at VIN(min) and VIN(nom)</t>
  </si>
  <si>
    <t>Chosen inductance</t>
  </si>
  <si>
    <t>Chosen inductor DCR</t>
  </si>
  <si>
    <t>Shunt required to get OCP at VIN(min)</t>
  </si>
  <si>
    <t>Shunt required to get OCP at VIN(nom)</t>
  </si>
  <si>
    <t>Shunt required to get OCP at VIN(max)</t>
  </si>
  <si>
    <t>Icinrms_VINmin</t>
  </si>
  <si>
    <t>Icinrms_VINnom</t>
  </si>
  <si>
    <t>Max Cout rms current</t>
  </si>
  <si>
    <t xml:space="preserve">Resulting Output Voltage Ripple (max) </t>
  </si>
  <si>
    <t xml:space="preserve">Output Capacitor RMS Current (max) </t>
  </si>
  <si>
    <t>Input Capacitor RMS Current (max)</t>
  </si>
  <si>
    <t>Max Cin rms current</t>
  </si>
  <si>
    <t>Input voltage ripple spec (pk-pk)</t>
  </si>
  <si>
    <t>Reported Coutmin</t>
  </si>
  <si>
    <t>Input Voltage Ripple Spec</t>
  </si>
  <si>
    <t>Minimum Input Capacitance</t>
  </si>
  <si>
    <t>Ishunt_rms_Vinmin</t>
  </si>
  <si>
    <t>Ishunt_rms_Vinnom</t>
  </si>
  <si>
    <t>Ishunt_rms_Vinmax</t>
  </si>
  <si>
    <t>Max shunt power loss at full load</t>
  </si>
  <si>
    <t>Shunt Loss</t>
  </si>
  <si>
    <t>Cinmin_Vinmax</t>
  </si>
  <si>
    <t>Buck 50% typically worst case</t>
  </si>
  <si>
    <t>CinEsrMax_Vinmax</t>
  </si>
  <si>
    <t>CinEsrMax_50%D</t>
  </si>
  <si>
    <t>Cinmin_50%D</t>
  </si>
  <si>
    <t>Vinripple2_Vinmax</t>
  </si>
  <si>
    <t>Vinripple2_50%D</t>
  </si>
  <si>
    <t>Calculate ripple at Vinmax and 50% duty cycle (Vin = 2*Vout)</t>
  </si>
  <si>
    <t>Calculate cap at Vinmax and 50% duty cycle (Vin = 2*Vout)</t>
  </si>
  <si>
    <t>Calculate ESR at Vinmax and 50% duty cycle (Vin = 2*Vout)</t>
  </si>
  <si>
    <t>Step 7: Compensation</t>
  </si>
  <si>
    <t>Step 6a: Soft Start</t>
  </si>
  <si>
    <t>…report highest of these</t>
  </si>
  <si>
    <t>…report this</t>
  </si>
  <si>
    <t>PLOT_TYPE</t>
  </si>
  <si>
    <t>Transition Loss</t>
  </si>
  <si>
    <t>Total Control MOSFET Loss</t>
  </si>
  <si>
    <t>Total Sync MOSFET Loss</t>
  </si>
  <si>
    <t>Core Loss</t>
  </si>
  <si>
    <t>Irms Lf</t>
  </si>
  <si>
    <t xml:space="preserve">High-side BUCK "Control" MOSFET Losses </t>
  </si>
  <si>
    <t xml:space="preserve">Low-side BUCK "Sync" MOSFET Losses </t>
  </si>
  <si>
    <t>Mode</t>
  </si>
  <si>
    <t>Operating Point Condtions</t>
  </si>
  <si>
    <t>Duty Cycle BUCK Leg</t>
  </si>
  <si>
    <t>Total MOSFET Loss</t>
  </si>
  <si>
    <t>Full-load/high line efficiency</t>
  </si>
  <si>
    <t>Half-load/mid-line efficiency</t>
  </si>
  <si>
    <t>θJA-MOSFET</t>
  </si>
  <si>
    <t>θJA</t>
  </si>
  <si>
    <t>10% load</t>
  </si>
  <si>
    <t>100% load</t>
  </si>
  <si>
    <t>50% load</t>
  </si>
  <si>
    <t>http://www.ti.com/nexfet</t>
  </si>
  <si>
    <r>
      <t>** For information on TI NexFET</t>
    </r>
    <r>
      <rPr>
        <vertAlign val="superscript"/>
        <sz val="10"/>
        <rFont val="Arial"/>
        <family val="2"/>
      </rPr>
      <t>TM</t>
    </r>
    <r>
      <rPr>
        <sz val="10"/>
        <rFont val="Arial"/>
        <family val="2"/>
      </rPr>
      <t xml:space="preserve"> MOSFETs, see **</t>
    </r>
  </si>
  <si>
    <t xml:space="preserve">   **</t>
  </si>
  <si>
    <t>VIN range</t>
  </si>
  <si>
    <t>DITHER Yes/No</t>
  </si>
  <si>
    <t>1 = Yes, 2 = No</t>
  </si>
  <si>
    <t>DITHER Disabled</t>
  </si>
  <si>
    <t>DITHER Enabled</t>
  </si>
  <si>
    <t>Modulating Frequency</t>
  </si>
  <si>
    <t>http://www.ti.com/product/lm5175</t>
  </si>
  <si>
    <t>VAR</t>
  </si>
  <si>
    <t>Step 4: Output Capacitors</t>
  </si>
  <si>
    <t>Step 5: Input Capacitors</t>
  </si>
  <si>
    <t>LM5143-Q1EVM-2100 PCB Layout</t>
  </si>
  <si>
    <t>Shunt or inductor DCR current sensing</t>
  </si>
  <si>
    <t>FPWM or DEM (DEMB)</t>
  </si>
  <si>
    <t>Single or dual output (MODE)</t>
  </si>
  <si>
    <t>With/without dither (DITH)</t>
  </si>
  <si>
    <t>3.3V or 5V fixed (FB1/2)</t>
  </si>
  <si>
    <t xml:space="preserve">Tie to VDDA or AGND for FPWM/DEM, respectively. </t>
  </si>
  <si>
    <t>VIN_nom</t>
  </si>
  <si>
    <t>Vout2</t>
  </si>
  <si>
    <t>Iout2</t>
  </si>
  <si>
    <t>Rout2</t>
  </si>
  <si>
    <t>Load resistance - Channel 1</t>
  </si>
  <si>
    <t>Calculate input power assuming finite efficiency</t>
  </si>
  <si>
    <t>Single/Dual Yes/No</t>
  </si>
  <si>
    <t>Ch2 Recommended Inductance</t>
  </si>
  <si>
    <r>
      <t>Ch2 Inductance, L</t>
    </r>
    <r>
      <rPr>
        <b/>
        <vertAlign val="subscript"/>
        <sz val="10"/>
        <color theme="1"/>
        <rFont val="Arial"/>
        <family val="2"/>
      </rPr>
      <t>O2</t>
    </r>
    <r>
      <rPr>
        <b/>
        <sz val="10"/>
        <color theme="1"/>
        <rFont val="Arial"/>
        <family val="2"/>
      </rPr>
      <t xml:space="preserve"> </t>
    </r>
  </si>
  <si>
    <r>
      <t>Ch1 Inductance, L</t>
    </r>
    <r>
      <rPr>
        <b/>
        <vertAlign val="subscript"/>
        <sz val="10"/>
        <color theme="1"/>
        <rFont val="Arial"/>
        <family val="2"/>
      </rPr>
      <t>O1</t>
    </r>
    <r>
      <rPr>
        <b/>
        <sz val="10"/>
        <color theme="1"/>
        <rFont val="Arial"/>
        <family val="2"/>
      </rPr>
      <t xml:space="preserve"> </t>
    </r>
  </si>
  <si>
    <t xml:space="preserve">Ch1 Inductor DCR </t>
  </si>
  <si>
    <t xml:space="preserve">Ch2 Inductor DCR </t>
  </si>
  <si>
    <r>
      <t>Output Voltage, V</t>
    </r>
    <r>
      <rPr>
        <b/>
        <vertAlign val="subscript"/>
        <sz val="10"/>
        <color theme="1"/>
        <rFont val="Arial"/>
        <family val="2"/>
      </rPr>
      <t>OUT2</t>
    </r>
    <r>
      <rPr>
        <b/>
        <sz val="10"/>
        <color theme="1"/>
        <rFont val="Arial"/>
        <family val="2"/>
      </rPr>
      <t xml:space="preserve"> </t>
    </r>
  </si>
  <si>
    <r>
      <t>Full Load Output Current, I</t>
    </r>
    <r>
      <rPr>
        <b/>
        <vertAlign val="subscript"/>
        <sz val="10"/>
        <color theme="1"/>
        <rFont val="Arial"/>
        <family val="2"/>
      </rPr>
      <t>OUT2</t>
    </r>
  </si>
  <si>
    <t>Output voltage - channel 1</t>
  </si>
  <si>
    <t>Output current - channel 1</t>
  </si>
  <si>
    <t>Output current - channel 2</t>
  </si>
  <si>
    <t>Output voltage - channel 2</t>
  </si>
  <si>
    <t>Switching period</t>
  </si>
  <si>
    <t>Reference voltage</t>
  </si>
  <si>
    <t>Frequency set resistor</t>
  </si>
  <si>
    <t>Nominal switching frequency - determines RT resistor (SYNCIN must be 80-120% of this)</t>
  </si>
  <si>
    <t>L_slopecomp</t>
  </si>
  <si>
    <t>Inductor copper temerature</t>
  </si>
  <si>
    <t>Channel 1</t>
  </si>
  <si>
    <t>Channel 2</t>
  </si>
  <si>
    <t>Calculated inductance for 35% ripple at VIN(nom)</t>
  </si>
  <si>
    <t>Duty cycles adjusted for DCR/shunt voltage drops</t>
  </si>
  <si>
    <r>
      <t>Required I</t>
    </r>
    <r>
      <rPr>
        <b/>
        <vertAlign val="subscript"/>
        <sz val="10"/>
        <color theme="1"/>
        <rFont val="Arial"/>
        <family val="2"/>
      </rPr>
      <t>OCP</t>
    </r>
    <r>
      <rPr>
        <b/>
        <sz val="10"/>
        <color theme="1"/>
        <rFont val="Arial"/>
        <family val="2"/>
      </rPr>
      <t xml:space="preserve"> Setpoint at V</t>
    </r>
    <r>
      <rPr>
        <b/>
        <vertAlign val="subscript"/>
        <sz val="10"/>
        <color theme="1"/>
        <rFont val="Arial"/>
        <family val="2"/>
      </rPr>
      <t>IN(nom)</t>
    </r>
  </si>
  <si>
    <r>
      <rPr>
        <b/>
        <sz val="10"/>
        <rFont val="Arial"/>
        <family val="2"/>
      </rPr>
      <t>Peak</t>
    </r>
    <r>
      <rPr>
        <sz val="10"/>
        <rFont val="Arial"/>
        <family val="2"/>
      </rPr>
      <t xml:space="preserve"> inductor current at current limit inception</t>
    </r>
  </si>
  <si>
    <t>CS threshold</t>
  </si>
  <si>
    <t>CS threshold_min</t>
  </si>
  <si>
    <t>CS threshold_max</t>
  </si>
  <si>
    <t>Ideal Rs for the required OCP -- based on 73mV CL threshold</t>
  </si>
  <si>
    <t>Current limit - peak</t>
  </si>
  <si>
    <r>
      <rPr>
        <b/>
        <sz val="10"/>
        <rFont val="Arial"/>
        <family val="2"/>
      </rPr>
      <t>Peak</t>
    </r>
    <r>
      <rPr>
        <sz val="10"/>
        <rFont val="Arial"/>
        <family val="2"/>
      </rPr>
      <t xml:space="preserve"> inductor current limit = min sat current</t>
    </r>
  </si>
  <si>
    <t>Pshunt_Vinmin</t>
  </si>
  <si>
    <t>Pshunt_Vinnom</t>
  </si>
  <si>
    <t>Pshunt_Vinmax</t>
  </si>
  <si>
    <t>Irms_OCP_Vinmin</t>
  </si>
  <si>
    <t>Irms_OCP_Vinnom</t>
  </si>
  <si>
    <t>Irms_OCP_Vinmax</t>
  </si>
  <si>
    <t>Max power dissipations in shunt</t>
  </si>
  <si>
    <t>Max power loss in shunt</t>
  </si>
  <si>
    <t>Lo</t>
  </si>
  <si>
    <t>Note this is power loss at full load - not loss near OCP!</t>
  </si>
  <si>
    <t>Ripple current at Vin(max)</t>
  </si>
  <si>
    <r>
      <t>I</t>
    </r>
    <r>
      <rPr>
        <vertAlign val="subscript"/>
        <sz val="10"/>
        <rFont val="Arial"/>
        <family val="2"/>
      </rPr>
      <t>OUT2(typ)</t>
    </r>
    <r>
      <rPr>
        <sz val="10"/>
        <rFont val="Arial"/>
        <family val="2"/>
      </rPr>
      <t xml:space="preserve"> at OCP Inception:</t>
    </r>
  </si>
  <si>
    <r>
      <t>Min Inductor Sat Current, I</t>
    </r>
    <r>
      <rPr>
        <vertAlign val="subscript"/>
        <sz val="10"/>
        <color theme="1"/>
        <rFont val="Arial"/>
        <family val="2"/>
      </rPr>
      <t>LO2(SAT)</t>
    </r>
  </si>
  <si>
    <r>
      <t>Max power loss in shunt R</t>
    </r>
    <r>
      <rPr>
        <vertAlign val="subscript"/>
        <sz val="10"/>
        <color theme="1"/>
        <rFont val="Arial"/>
        <family val="2"/>
      </rPr>
      <t>S2</t>
    </r>
  </si>
  <si>
    <r>
      <rPr>
        <sz val="10"/>
        <rFont val="Symbol"/>
        <family val="1"/>
        <charset val="2"/>
      </rPr>
      <t>D</t>
    </r>
    <r>
      <rPr>
        <sz val="10"/>
        <rFont val="Arial"/>
        <family val="2"/>
      </rPr>
      <t>I</t>
    </r>
    <r>
      <rPr>
        <vertAlign val="subscript"/>
        <sz val="10"/>
        <rFont val="Arial"/>
        <family val="2"/>
      </rPr>
      <t>L2</t>
    </r>
    <r>
      <rPr>
        <sz val="10"/>
        <rFont val="Arial"/>
        <family val="2"/>
      </rPr>
      <t xml:space="preserve"> as a % at V</t>
    </r>
    <r>
      <rPr>
        <vertAlign val="subscript"/>
        <sz val="10"/>
        <rFont val="Arial"/>
        <family val="2"/>
      </rPr>
      <t>IN(nom)</t>
    </r>
  </si>
  <si>
    <r>
      <t>Sense Resistance, R</t>
    </r>
    <r>
      <rPr>
        <b/>
        <vertAlign val="subscript"/>
        <sz val="10"/>
        <color theme="1"/>
        <rFont val="Arial"/>
        <family val="2"/>
      </rPr>
      <t>S2</t>
    </r>
  </si>
  <si>
    <t>FPWM</t>
  </si>
  <si>
    <t>DEM</t>
  </si>
  <si>
    <t>FPWM/DEM</t>
  </si>
  <si>
    <t>Step 6b: Other Components - Dither, Hiccup, DEMB, MODE</t>
  </si>
  <si>
    <t>Tres</t>
  </si>
  <si>
    <t>Cres</t>
  </si>
  <si>
    <t>Cres_u</t>
  </si>
  <si>
    <r>
      <t>RES Capacitance, C</t>
    </r>
    <r>
      <rPr>
        <vertAlign val="subscript"/>
        <sz val="10"/>
        <rFont val="Arial"/>
        <family val="2"/>
      </rPr>
      <t>RES</t>
    </r>
    <r>
      <rPr>
        <sz val="10"/>
        <rFont val="Arial"/>
        <family val="2"/>
      </rPr>
      <t xml:space="preserve"> </t>
    </r>
  </si>
  <si>
    <r>
      <t>R</t>
    </r>
    <r>
      <rPr>
        <vertAlign val="subscript"/>
        <sz val="10"/>
        <rFont val="Arial"/>
        <family val="2"/>
      </rPr>
      <t>PG1/2</t>
    </r>
  </si>
  <si>
    <t>Hiccup time</t>
  </si>
  <si>
    <t>R_DEMB</t>
  </si>
  <si>
    <t>R_MODE</t>
  </si>
  <si>
    <t xml:space="preserve">Tie to VDDA or AGND for Single/Dual operation, respectively. </t>
  </si>
  <si>
    <r>
      <t>R</t>
    </r>
    <r>
      <rPr>
        <vertAlign val="subscript"/>
        <sz val="10"/>
        <rFont val="Arial"/>
        <family val="2"/>
      </rPr>
      <t>FB1/2</t>
    </r>
  </si>
  <si>
    <t xml:space="preserve">Tie to VDDA or AGND for 3.3V/5V output, respectively. </t>
  </si>
  <si>
    <t>Step 6: Soft-start, Hiccup, Dither, DEMB, MODE</t>
  </si>
  <si>
    <r>
      <t>Min Inductor Sat Current, I</t>
    </r>
    <r>
      <rPr>
        <vertAlign val="subscript"/>
        <sz val="10"/>
        <color theme="1"/>
        <rFont val="Arial"/>
        <family val="2"/>
      </rPr>
      <t>LO(SAT)</t>
    </r>
  </si>
  <si>
    <t xml:space="preserve">Ch2 Output Capacitor ESR </t>
  </si>
  <si>
    <t xml:space="preserve">Ch2 Maximum Permitted ESR </t>
  </si>
  <si>
    <t>Ch2 Output Voltage Ripple Spec</t>
  </si>
  <si>
    <t xml:space="preserve">Ch2 Minimum Output Capacitance </t>
  </si>
  <si>
    <r>
      <t>Hiccup Fault Time, t</t>
    </r>
    <r>
      <rPr>
        <b/>
        <vertAlign val="subscript"/>
        <sz val="10"/>
        <color theme="1"/>
        <rFont val="Arial"/>
        <family val="2"/>
      </rPr>
      <t>RES</t>
    </r>
    <r>
      <rPr>
        <b/>
        <sz val="10"/>
        <color theme="1"/>
        <rFont val="Arial"/>
        <family val="2"/>
      </rPr>
      <t xml:space="preserve"> </t>
    </r>
  </si>
  <si>
    <t>VCC</t>
  </si>
  <si>
    <t>mc = 1 + Se/Sf for peak current-mode buck</t>
  </si>
  <si>
    <t>mc*(1-d)</t>
  </si>
  <si>
    <t>Ch1 Recommended Inductance</t>
  </si>
  <si>
    <t>This along with Rcea1 will set a zero at Fcrossover/5 to optimize phase margin</t>
  </si>
  <si>
    <t>Ch2 Load Pole Frequency</t>
  </si>
  <si>
    <t>Ch2 Error Amp Pole Frequency</t>
  </si>
  <si>
    <t>Ch2 Desired Crossover Frequency</t>
  </si>
  <si>
    <r>
      <t>Ch2</t>
    </r>
    <r>
      <rPr>
        <sz val="10"/>
        <rFont val="Arial"/>
        <family val="2"/>
      </rPr>
      <t xml:space="preserve"> ESR Zero Frequency </t>
    </r>
  </si>
  <si>
    <r>
      <t>R</t>
    </r>
    <r>
      <rPr>
        <b/>
        <vertAlign val="subscript"/>
        <sz val="10"/>
        <rFont val="Arial"/>
        <family val="2"/>
      </rPr>
      <t>C1</t>
    </r>
  </si>
  <si>
    <r>
      <t>R</t>
    </r>
    <r>
      <rPr>
        <b/>
        <vertAlign val="subscript"/>
        <sz val="10"/>
        <rFont val="Arial"/>
        <family val="2"/>
      </rPr>
      <t>C2</t>
    </r>
  </si>
  <si>
    <r>
      <t>C</t>
    </r>
    <r>
      <rPr>
        <b/>
        <vertAlign val="subscript"/>
        <sz val="10"/>
        <rFont val="Arial"/>
        <family val="2"/>
      </rPr>
      <t>C3</t>
    </r>
  </si>
  <si>
    <r>
      <t>C</t>
    </r>
    <r>
      <rPr>
        <b/>
        <vertAlign val="subscript"/>
        <sz val="10"/>
        <rFont val="Arial"/>
        <family val="2"/>
      </rPr>
      <t>C4</t>
    </r>
  </si>
  <si>
    <t>3.3V</t>
  </si>
  <si>
    <t>5V</t>
  </si>
  <si>
    <t>Adjustable</t>
  </si>
  <si>
    <t>Ch1 Output Setting</t>
  </si>
  <si>
    <t>Ch2 Output Setting</t>
  </si>
  <si>
    <r>
      <t>kHz (F</t>
    </r>
    <r>
      <rPr>
        <vertAlign val="subscript"/>
        <sz val="10"/>
        <rFont val="Arial"/>
        <family val="2"/>
      </rPr>
      <t>ZCOMP2</t>
    </r>
    <r>
      <rPr>
        <sz val="10"/>
        <rFont val="Arial"/>
        <family val="2"/>
      </rPr>
      <t>)</t>
    </r>
  </si>
  <si>
    <r>
      <t>kHz (F</t>
    </r>
    <r>
      <rPr>
        <vertAlign val="subscript"/>
        <sz val="10"/>
        <rFont val="Arial"/>
        <family val="2"/>
      </rPr>
      <t>PCOMP2</t>
    </r>
    <r>
      <rPr>
        <sz val="10"/>
        <rFont val="Arial"/>
        <family val="2"/>
      </rPr>
      <t>)</t>
    </r>
  </si>
  <si>
    <r>
      <t>Hz   (F</t>
    </r>
    <r>
      <rPr>
        <vertAlign val="subscript"/>
        <sz val="10"/>
        <rFont val="Arial"/>
        <family val="2"/>
      </rPr>
      <t>PEA2</t>
    </r>
    <r>
      <rPr>
        <sz val="10"/>
        <rFont val="Arial"/>
        <family val="2"/>
      </rPr>
      <t>)</t>
    </r>
  </si>
  <si>
    <r>
      <t>Hz   (F</t>
    </r>
    <r>
      <rPr>
        <vertAlign val="subscript"/>
        <sz val="10"/>
        <rFont val="Arial"/>
        <family val="2"/>
      </rPr>
      <t>PEA</t>
    </r>
    <r>
      <rPr>
        <sz val="10"/>
        <rFont val="Arial"/>
        <family val="2"/>
      </rPr>
      <t>)</t>
    </r>
  </si>
  <si>
    <t>Step 2: Buck Inductor</t>
  </si>
  <si>
    <t>Calculated inductance based on one times inductor downslope</t>
  </si>
  <si>
    <t>D_Vinmin</t>
  </si>
  <si>
    <t>D_Vinnom</t>
  </si>
  <si>
    <t>D_Vinmax</t>
  </si>
  <si>
    <t>D_Vinmin_2</t>
  </si>
  <si>
    <t>D_Vinnom_2</t>
  </si>
  <si>
    <t>D_Vinmax_2</t>
  </si>
  <si>
    <t>Cc1ea, Cc3ea</t>
  </si>
  <si>
    <t>Cc2ea, Cc4ea</t>
  </si>
  <si>
    <t>Rc2</t>
  </si>
  <si>
    <t>Cc3</t>
  </si>
  <si>
    <t>Cc4</t>
  </si>
  <si>
    <t>Cc3ea</t>
  </si>
  <si>
    <t>Cc4ea</t>
  </si>
  <si>
    <t>Rfb3</t>
  </si>
  <si>
    <t>Rfb4</t>
  </si>
  <si>
    <t>High- &amp; low-side MOSFETs - Ch1</t>
  </si>
  <si>
    <t>High- &amp; low-side MOSFETs - Ch2</t>
  </si>
  <si>
    <t>with 170mA current limit</t>
  </si>
  <si>
    <t>Quiescent Current of LM5143-Q1 Controller (One channel disabled)</t>
  </si>
  <si>
    <t>Controller Characteristics</t>
  </si>
  <si>
    <t>Gate Charge at VCC = 5V</t>
  </si>
  <si>
    <t>Drain-Source Resistances of Channel 1 FETs</t>
  </si>
  <si>
    <t>Drain-Source Resistances of Channel 2 FETs</t>
  </si>
  <si>
    <t>Junction-to-Ambient Resistance</t>
  </si>
  <si>
    <t>Transconductance</t>
  </si>
  <si>
    <t>Threshold Voltage</t>
  </si>
  <si>
    <t>Switch Point Voltage of FETs</t>
  </si>
  <si>
    <t>** Specify Inductor Core Loss **</t>
  </si>
  <si>
    <t>Control MOSFET Loss</t>
  </si>
  <si>
    <t>SYNC MOSFET Loss</t>
  </si>
  <si>
    <t>BUCK CONTROLLER POWER DESIGN TOOL</t>
  </si>
  <si>
    <t>High-side</t>
  </si>
  <si>
    <t>High Efficiency Synchronous Buck Regulator BOM</t>
  </si>
  <si>
    <t>LM5143-Q1</t>
  </si>
  <si>
    <t>VQFN-40</t>
  </si>
  <si>
    <r>
      <t>L</t>
    </r>
    <r>
      <rPr>
        <vertAlign val="subscript"/>
        <sz val="10"/>
        <rFont val="Arial"/>
        <family val="2"/>
      </rPr>
      <t>O1</t>
    </r>
  </si>
  <si>
    <r>
      <t>L</t>
    </r>
    <r>
      <rPr>
        <vertAlign val="subscript"/>
        <sz val="10"/>
        <rFont val="Arial"/>
        <family val="2"/>
      </rPr>
      <t>O2</t>
    </r>
  </si>
  <si>
    <r>
      <t>D</t>
    </r>
    <r>
      <rPr>
        <vertAlign val="subscript"/>
        <sz val="10"/>
        <rFont val="Arial"/>
        <family val="2"/>
      </rPr>
      <t>BOOT1</t>
    </r>
    <r>
      <rPr>
        <sz val="10"/>
        <rFont val="Arial"/>
        <family val="2"/>
      </rPr>
      <t>, D</t>
    </r>
    <r>
      <rPr>
        <vertAlign val="subscript"/>
        <sz val="10"/>
        <rFont val="Arial"/>
        <family val="2"/>
      </rPr>
      <t>BOOT2</t>
    </r>
  </si>
  <si>
    <r>
      <t>R</t>
    </r>
    <r>
      <rPr>
        <vertAlign val="subscript"/>
        <sz val="10"/>
        <rFont val="Arial"/>
        <family val="2"/>
      </rPr>
      <t>C2</t>
    </r>
  </si>
  <si>
    <r>
      <t>R</t>
    </r>
    <r>
      <rPr>
        <vertAlign val="subscript"/>
        <sz val="10"/>
        <rFont val="Arial"/>
        <family val="2"/>
      </rPr>
      <t>S1</t>
    </r>
  </si>
  <si>
    <t>0508</t>
  </si>
  <si>
    <r>
      <t>R</t>
    </r>
    <r>
      <rPr>
        <vertAlign val="subscript"/>
        <sz val="10"/>
        <rFont val="Arial"/>
        <family val="2"/>
      </rPr>
      <t>S2</t>
    </r>
  </si>
  <si>
    <r>
      <t>R</t>
    </r>
    <r>
      <rPr>
        <vertAlign val="subscript"/>
        <sz val="10"/>
        <rFont val="Arial"/>
        <family val="2"/>
      </rPr>
      <t>FB3</t>
    </r>
  </si>
  <si>
    <r>
      <t>R</t>
    </r>
    <r>
      <rPr>
        <vertAlign val="subscript"/>
        <sz val="10"/>
        <rFont val="Arial"/>
        <family val="2"/>
      </rPr>
      <t>FB4</t>
    </r>
  </si>
  <si>
    <r>
      <t>C</t>
    </r>
    <r>
      <rPr>
        <vertAlign val="subscript"/>
        <sz val="10"/>
        <rFont val="Arial"/>
        <family val="2"/>
      </rPr>
      <t>SS1</t>
    </r>
    <r>
      <rPr>
        <sz val="10"/>
        <rFont val="Arial"/>
        <family val="2"/>
      </rPr>
      <t>, C</t>
    </r>
    <r>
      <rPr>
        <vertAlign val="subscript"/>
        <sz val="10"/>
        <rFont val="Arial"/>
        <family val="2"/>
      </rPr>
      <t>SS2</t>
    </r>
  </si>
  <si>
    <r>
      <t>C</t>
    </r>
    <r>
      <rPr>
        <vertAlign val="subscript"/>
        <sz val="10"/>
        <rFont val="Arial"/>
        <family val="2"/>
      </rPr>
      <t>VCC1</t>
    </r>
    <r>
      <rPr>
        <sz val="10"/>
        <rFont val="Arial"/>
        <family val="2"/>
      </rPr>
      <t>, C</t>
    </r>
    <r>
      <rPr>
        <vertAlign val="subscript"/>
        <sz val="10"/>
        <rFont val="Arial"/>
        <family val="2"/>
      </rPr>
      <t>VCC2</t>
    </r>
    <r>
      <rPr>
        <sz val="10"/>
        <rFont val="Arial"/>
        <family val="2"/>
      </rPr>
      <t>, C</t>
    </r>
    <r>
      <rPr>
        <vertAlign val="subscript"/>
        <sz val="10"/>
        <rFont val="Arial"/>
        <family val="2"/>
      </rPr>
      <t>VCCX</t>
    </r>
  </si>
  <si>
    <r>
      <t>C</t>
    </r>
    <r>
      <rPr>
        <vertAlign val="subscript"/>
        <sz val="10"/>
        <rFont val="Arial"/>
        <family val="2"/>
      </rPr>
      <t>RES</t>
    </r>
  </si>
  <si>
    <r>
      <t>C</t>
    </r>
    <r>
      <rPr>
        <vertAlign val="subscript"/>
        <sz val="10"/>
        <rFont val="Arial"/>
        <family val="2"/>
      </rPr>
      <t>C3</t>
    </r>
  </si>
  <si>
    <r>
      <t>C</t>
    </r>
    <r>
      <rPr>
        <vertAlign val="subscript"/>
        <sz val="10"/>
        <rFont val="Arial"/>
        <family val="2"/>
      </rPr>
      <t>C4</t>
    </r>
  </si>
  <si>
    <r>
      <t>C</t>
    </r>
    <r>
      <rPr>
        <vertAlign val="subscript"/>
        <sz val="10"/>
        <rFont val="Arial"/>
        <family val="2"/>
      </rPr>
      <t>VDDA</t>
    </r>
  </si>
  <si>
    <r>
      <t>R</t>
    </r>
    <r>
      <rPr>
        <vertAlign val="subscript"/>
        <sz val="10"/>
        <rFont val="Arial"/>
        <family val="2"/>
      </rPr>
      <t>PGOOD1</t>
    </r>
    <r>
      <rPr>
        <sz val="10"/>
        <rFont val="Arial"/>
        <family val="2"/>
      </rPr>
      <t>, R</t>
    </r>
    <r>
      <rPr>
        <vertAlign val="subscript"/>
        <sz val="10"/>
        <rFont val="Arial"/>
        <family val="2"/>
      </rPr>
      <t>PGOOD2</t>
    </r>
  </si>
  <si>
    <t>Iout/ phase</t>
  </si>
  <si>
    <t>% ripple current</t>
  </si>
  <si>
    <t>Zero-order sample-and-hold effects of current-mode control modeled as pole at Fsw/2</t>
  </si>
  <si>
    <t>With/without VOUT connected to VCCX</t>
  </si>
  <si>
    <r>
      <t>(Q</t>
    </r>
    <r>
      <rPr>
        <b/>
        <vertAlign val="subscript"/>
        <sz val="10"/>
        <color rgb="FF0000FF"/>
        <rFont val="Arial"/>
        <family val="2"/>
      </rPr>
      <t>1</t>
    </r>
    <r>
      <rPr>
        <b/>
        <sz val="10"/>
        <color rgb="FF0000FF"/>
        <rFont val="Arial"/>
        <family val="2"/>
      </rPr>
      <t>, Q</t>
    </r>
    <r>
      <rPr>
        <b/>
        <vertAlign val="subscript"/>
        <sz val="10"/>
        <color rgb="FF0000FF"/>
        <rFont val="Arial"/>
        <family val="2"/>
      </rPr>
      <t>2</t>
    </r>
    <r>
      <rPr>
        <b/>
        <sz val="10"/>
        <color rgb="FF0000FF"/>
        <rFont val="Arial"/>
        <family val="2"/>
      </rPr>
      <t xml:space="preserve">) </t>
    </r>
  </si>
  <si>
    <r>
      <t>(Q</t>
    </r>
    <r>
      <rPr>
        <b/>
        <vertAlign val="subscript"/>
        <sz val="10"/>
        <color rgb="FF0000FF"/>
        <rFont val="Arial"/>
        <family val="2"/>
      </rPr>
      <t>3</t>
    </r>
    <r>
      <rPr>
        <b/>
        <sz val="10"/>
        <color rgb="FF0000FF"/>
        <rFont val="Arial"/>
        <family val="2"/>
      </rPr>
      <t>, Q</t>
    </r>
    <r>
      <rPr>
        <b/>
        <vertAlign val="subscript"/>
        <sz val="10"/>
        <color rgb="FF0000FF"/>
        <rFont val="Arial"/>
        <family val="2"/>
      </rPr>
      <t>4</t>
    </r>
    <r>
      <rPr>
        <b/>
        <sz val="10"/>
        <color rgb="FF0000FF"/>
        <rFont val="Arial"/>
        <family val="2"/>
      </rPr>
      <t xml:space="preserve">) </t>
    </r>
  </si>
  <si>
    <t>Dual  Outputs</t>
  </si>
  <si>
    <t>Single Output – 2  Phases</t>
  </si>
  <si>
    <t>Single Output – 3  Phases</t>
  </si>
  <si>
    <t>Single Output – 4  Phases</t>
  </si>
  <si>
    <t>BODE_PLOT_TYPE</t>
  </si>
  <si>
    <r>
      <t xml:space="preserve">   ** For </t>
    </r>
    <r>
      <rPr>
        <b/>
        <sz val="10"/>
        <color rgb="FFFF0000"/>
        <rFont val="Arial"/>
        <family val="2"/>
      </rPr>
      <t>Dual-Output Operation</t>
    </r>
    <r>
      <rPr>
        <sz val="10"/>
        <rFont val="Arial"/>
        <family val="2"/>
      </rPr>
      <t>, tie FB1/FB2 to to VDDA for Fixed 3.3V, AGND for Fixed 5V Output **</t>
    </r>
  </si>
  <si>
    <t xml:space="preserve">   ** Tie MODE to VDDA for Single, AGND for Dual Outputs **</t>
  </si>
  <si>
    <t xml:space="preserve">   ** Tie DEMB to VDDA for FPWM, AGND for DCM **</t>
  </si>
  <si>
    <r>
      <t xml:space="preserve">   ** For </t>
    </r>
    <r>
      <rPr>
        <b/>
        <sz val="10"/>
        <color rgb="FFFF0000"/>
        <rFont val="Arial"/>
        <family val="2"/>
      </rPr>
      <t>Single-Output Operation in 2-Phase Mode</t>
    </r>
    <r>
      <rPr>
        <sz val="10"/>
        <rFont val="Arial"/>
        <family val="2"/>
      </rPr>
      <t>, tie MODE to VDDA and use FB1 to set VOUT. Connect FB2 to AGND to disable EA of channel 2 **</t>
    </r>
  </si>
  <si>
    <r>
      <t xml:space="preserve">   ** For </t>
    </r>
    <r>
      <rPr>
        <b/>
        <sz val="10"/>
        <color rgb="FFFF0000"/>
        <rFont val="Arial"/>
        <family val="2"/>
      </rPr>
      <t>Single-Output Operation in 3-Phase or 4-Phase Mode</t>
    </r>
    <r>
      <rPr>
        <sz val="10"/>
        <rFont val="Arial"/>
        <family val="2"/>
      </rPr>
      <t>, tie all MODE pins to VDDA. Use FB1 of master IC to set VOUT. Connect FB2 of master IC to AGND. Connect FB2 of slave IC to VDDA to configure it as a slave **</t>
    </r>
  </si>
  <si>
    <r>
      <t>Ambient Temperature, T</t>
    </r>
    <r>
      <rPr>
        <b/>
        <vertAlign val="subscript"/>
        <sz val="10"/>
        <rFont val="Arial"/>
        <family val="2"/>
      </rPr>
      <t>A</t>
    </r>
  </si>
  <si>
    <r>
      <t>Input Voltage – Min, V</t>
    </r>
    <r>
      <rPr>
        <b/>
        <vertAlign val="subscript"/>
        <sz val="10"/>
        <color theme="1"/>
        <rFont val="Arial"/>
        <family val="2"/>
      </rPr>
      <t>IN(min)</t>
    </r>
    <r>
      <rPr>
        <b/>
        <sz val="10"/>
        <color theme="1"/>
        <rFont val="Arial"/>
        <family val="2"/>
      </rPr>
      <t xml:space="preserve"> </t>
    </r>
  </si>
  <si>
    <r>
      <t>Input Voltage – Nom, V</t>
    </r>
    <r>
      <rPr>
        <b/>
        <vertAlign val="subscript"/>
        <sz val="10"/>
        <color theme="1"/>
        <rFont val="Arial"/>
        <family val="2"/>
      </rPr>
      <t>IN(nom)</t>
    </r>
  </si>
  <si>
    <r>
      <t>Input Voltage – Max, V</t>
    </r>
    <r>
      <rPr>
        <b/>
        <vertAlign val="subscript"/>
        <sz val="10"/>
        <color theme="1"/>
        <rFont val="Arial"/>
        <family val="2"/>
      </rPr>
      <t>IN(max)</t>
    </r>
  </si>
  <si>
    <r>
      <t>Switching Frequency, F</t>
    </r>
    <r>
      <rPr>
        <b/>
        <vertAlign val="subscript"/>
        <sz val="10"/>
        <color theme="1"/>
        <rFont val="Arial"/>
        <family val="2"/>
      </rPr>
      <t>SW</t>
    </r>
  </si>
  <si>
    <t>Number of Phases</t>
  </si>
  <si>
    <t>SINGLE OUTPUT (1 = YES)</t>
  </si>
  <si>
    <t>MODE (Single/Dual), DUAL = 1, SINGLE = 2</t>
  </si>
  <si>
    <t>Buck modulator gain</t>
  </si>
  <si>
    <t>Scaling factor to calculate Rcomp - buck</t>
  </si>
  <si>
    <r>
      <t>R</t>
    </r>
    <r>
      <rPr>
        <vertAlign val="subscript"/>
        <sz val="10"/>
        <rFont val="Arial"/>
        <family val="2"/>
      </rPr>
      <t>DEMB</t>
    </r>
  </si>
  <si>
    <r>
      <t>R</t>
    </r>
    <r>
      <rPr>
        <vertAlign val="subscript"/>
        <sz val="10"/>
        <rFont val="Arial"/>
        <family val="2"/>
      </rPr>
      <t>PG1</t>
    </r>
    <r>
      <rPr>
        <sz val="10"/>
        <rFont val="Arial"/>
        <family val="2"/>
      </rPr>
      <t>, R</t>
    </r>
    <r>
      <rPr>
        <vertAlign val="subscript"/>
        <sz val="10"/>
        <rFont val="Arial"/>
        <family val="2"/>
      </rPr>
      <t>PG2</t>
    </r>
  </si>
  <si>
    <t>Schottky Diode, 60V, 200mA</t>
  </si>
  <si>
    <r>
      <t>Output Voltage, V</t>
    </r>
    <r>
      <rPr>
        <b/>
        <vertAlign val="subscript"/>
        <sz val="10"/>
        <color theme="1"/>
        <rFont val="Arial"/>
        <family val="2"/>
      </rPr>
      <t>OUT</t>
    </r>
    <r>
      <rPr>
        <b/>
        <sz val="10"/>
        <color theme="1"/>
        <rFont val="Arial"/>
        <family val="2"/>
      </rPr>
      <t xml:space="preserve"> </t>
    </r>
  </si>
  <si>
    <r>
      <t>Full Load Output Current, I</t>
    </r>
    <r>
      <rPr>
        <b/>
        <vertAlign val="subscript"/>
        <sz val="10"/>
        <color theme="1"/>
        <rFont val="Arial"/>
        <family val="2"/>
      </rPr>
      <t xml:space="preserve">OUT </t>
    </r>
  </si>
  <si>
    <t>Step 9: IC Power Loss</t>
  </si>
  <si>
    <t>IC Junction Temperature (estimate)</t>
  </si>
  <si>
    <t>Junction temperature</t>
  </si>
  <si>
    <t>VCCX Connected</t>
  </si>
  <si>
    <t>No External VCC</t>
  </si>
  <si>
    <t>Ext_VCC</t>
  </si>
  <si>
    <t>Fp2</t>
  </si>
  <si>
    <t>Chosen output capacitance</t>
  </si>
  <si>
    <t>Minimum output capacitnace</t>
  </si>
  <si>
    <t>Css2</t>
  </si>
  <si>
    <t>I_VCC</t>
  </si>
  <si>
    <t>LDO Loss Saved from Gate Drive Current (ext VCC)</t>
  </si>
  <si>
    <t>IC Power Dissipation</t>
  </si>
  <si>
    <t>Step 2: Current Sense Resistors</t>
  </si>
  <si>
    <t>Step 3: Buck Inductances</t>
  </si>
  <si>
    <r>
      <t>Output Capacitance, C</t>
    </r>
    <r>
      <rPr>
        <b/>
        <vertAlign val="subscript"/>
        <sz val="10"/>
        <rFont val="Arial"/>
        <family val="2"/>
      </rPr>
      <t>OSS</t>
    </r>
    <r>
      <rPr>
        <b/>
        <sz val="10"/>
        <rFont val="Arial"/>
        <family val="2"/>
      </rPr>
      <t xml:space="preserve"> </t>
    </r>
  </si>
  <si>
    <r>
      <t>Output Charge, Q</t>
    </r>
    <r>
      <rPr>
        <b/>
        <vertAlign val="subscript"/>
        <sz val="10"/>
        <rFont val="Arial"/>
        <family val="2"/>
      </rPr>
      <t>OSS</t>
    </r>
    <r>
      <rPr>
        <b/>
        <sz val="10"/>
        <rFont val="Arial"/>
        <family val="2"/>
      </rPr>
      <t xml:space="preserve"> </t>
    </r>
  </si>
  <si>
    <t>Qoss</t>
  </si>
  <si>
    <t>Coss</t>
  </si>
  <si>
    <t>Output Charge</t>
  </si>
  <si>
    <t>Output Capacitance</t>
  </si>
  <si>
    <t>Gate to Source Charge</t>
  </si>
  <si>
    <t>Tsw</t>
  </si>
  <si>
    <t>Transition Loss (not including capacitive loss)</t>
  </si>
  <si>
    <t>MOSFET Output Capacitance Loss</t>
  </si>
  <si>
    <t>Peak Inductor Current</t>
  </si>
  <si>
    <t>Valley Inductor Current</t>
  </si>
  <si>
    <t>SW node voltage at Q1 turn-on</t>
  </si>
  <si>
    <t>Maximum Permitted ESR</t>
  </si>
  <si>
    <t>Resulting Input Voltage Ripple (max)</t>
  </si>
  <si>
    <t>Icinrms_VINmax</t>
  </si>
  <si>
    <t>Two channels operating at full load</t>
  </si>
  <si>
    <t>Calculate input cap rms current with one output unloaded</t>
  </si>
  <si>
    <t>N*D</t>
  </si>
  <si>
    <t>floor(N*D)</t>
  </si>
  <si>
    <t>Icinrms - multiphase</t>
  </si>
  <si>
    <t>Final result</t>
  </si>
  <si>
    <t>Icinrms - multiphase - max</t>
  </si>
  <si>
    <t>Valley inductor Current</t>
  </si>
  <si>
    <t>SW node voltage at Q3 turn-on</t>
  </si>
  <si>
    <t>14ns for LM513-Q1</t>
  </si>
  <si>
    <t>Tsw (us)</t>
  </si>
  <si>
    <t>Slope comp amplitude</t>
  </si>
  <si>
    <r>
      <t>Output Capacitance (derated), C</t>
    </r>
    <r>
      <rPr>
        <b/>
        <vertAlign val="subscript"/>
        <sz val="10"/>
        <rFont val="Arial"/>
        <family val="2"/>
      </rPr>
      <t>OUT</t>
    </r>
    <r>
      <rPr>
        <b/>
        <sz val="10"/>
        <rFont val="Arial"/>
        <family val="2"/>
      </rPr>
      <t xml:space="preserve"> </t>
    </r>
  </si>
  <si>
    <r>
      <t>Ch2 Output Cap (derated), C</t>
    </r>
    <r>
      <rPr>
        <b/>
        <vertAlign val="subscript"/>
        <sz val="10"/>
        <rFont val="Arial"/>
        <family val="2"/>
      </rPr>
      <t>OUT2</t>
    </r>
    <r>
      <rPr>
        <b/>
        <sz val="10"/>
        <rFont val="Arial"/>
        <family val="2"/>
      </rPr>
      <t xml:space="preserve"> </t>
    </r>
  </si>
  <si>
    <t xml:space="preserve">                        LM(2)5143/-Q1 Synchronous Buck Controller Design Tool</t>
  </si>
  <si>
    <t>VARIANT</t>
  </si>
  <si>
    <t>VIN-MAX</t>
  </si>
  <si>
    <t>LM5143</t>
  </si>
  <si>
    <t>LM25143-Q1</t>
  </si>
  <si>
    <t>LM25143</t>
  </si>
  <si>
    <t>VOUT-MAX</t>
  </si>
  <si>
    <t xml:space="preserve"> LM(2)5143/-Q1 Quickstart Design Tool</t>
  </si>
  <si>
    <t>Shunt current sensing</t>
  </si>
  <si>
    <t>Inductor DCR current sensing</t>
  </si>
  <si>
    <t>SENSING_TYPE</t>
  </si>
  <si>
    <t>LM5143A-Q1</t>
  </si>
  <si>
    <t>NVMFS5H663, NVMFS5C628NL</t>
  </si>
  <si>
    <t>IGC019S06S1, IGC019S06S1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</si>
</sst>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9">
    <numFmt numFmtId="164" formatCode="_(* #,##0.00_);_(* \(#,##0.00\);_(* &quot;-&quot;??_);_(@_)"/>
    <numFmt numFmtId="165" formatCode="0.000000"/>
    <numFmt numFmtId="166" formatCode="0.00000"/>
    <numFmt numFmtId="167" formatCode="0.0000"/>
    <numFmt numFmtId="168" formatCode="0.000"/>
    <numFmt numFmtId="169" formatCode="0.0"/>
    <numFmt numFmtId="170" formatCode="0.000E+00"/>
    <numFmt numFmtId="171" formatCode="0.00000000"/>
    <numFmt numFmtId="172" formatCode="#0.0#"/>
    <numFmt numFmtId="173" formatCode="General&quot;nF&quot;"/>
    <numFmt numFmtId="174" formatCode="General&quot;k&quot;"/>
    <numFmt numFmtId="175" formatCode="General&quot;pF&quot;"/>
    <numFmt numFmtId="176" formatCode="General&quot;µF&quot;"/>
    <numFmt numFmtId="177" formatCode="&quot;Capacitor, Ceramic, &quot;General&quot;-µF, 25V, X5R, 20%&quot;"/>
    <numFmt numFmtId="178" formatCode="&quot;Capacitor, Ceramic, &quot;General&quot;-pF, 50V, NP0, 5%&quot;"/>
    <numFmt numFmtId="179" formatCode="&quot;Capacitor, Ceramic, &quot;General&quot;-nF, 16V, X7R, 10%&quot;"/>
    <numFmt numFmtId="180" formatCode="&quot;Capacitor, Ceramic, &quot;General&quot;-µF, 25V, X7R, 20%&quot;"/>
    <numFmt numFmtId="181" formatCode="General&quot;µH&quot;"/>
    <numFmt numFmtId="182" formatCode="&quot;Inductor, &quot;General&quot;-µH, 10%&quot;"/>
    <numFmt numFmtId="183" formatCode="&quot;Resistor, Chip, &quot;General&quot;-kΩ, 1/16W, 1%&quot;"/>
    <numFmt numFmtId="184" formatCode="&quot;Resistor, Chip, &quot;General&quot;-Ω, 1/16W, 1%&quot;"/>
    <numFmt numFmtId="185" formatCode="0.0%"/>
    <numFmt numFmtId="186" formatCode="0.0E+00"/>
    <numFmt numFmtId="187" formatCode="General&quot;m&quot;"/>
    <numFmt numFmtId="188" formatCode="&quot;Capacitor, Ceramic, &quot;General&quot;-µF, 50V, X7R, 20%&quot;"/>
    <numFmt numFmtId="189" formatCode="&quot;Resistor, Chip, &quot;General&quot;-mΩ, 2W, 1%&quot;"/>
    <numFmt numFmtId="190" formatCode="0.0.E+00"/>
    <numFmt numFmtId="191" formatCode="&quot;MOSFET, N-CH, 40V, &quot;General&quot;mΩ&quot;"/>
    <numFmt numFmtId="192" formatCode="&quot;Capacitor, Ceramic, &quot;General&quot;-µF, 10V, X7R, 20%&quot;"/>
  </numFmts>
  <fonts count="90" x14ac:knownFonts="1">
    <font>
      <sz val="10"/>
      <name val="Arial"/>
    </font>
    <font>
      <sz val="11"/>
      <color theme="1"/>
      <name val="Calibri"/>
      <family val="2"/>
      <scheme val="minor"/>
    </font>
    <font>
      <sz val="10"/>
      <name val="Arial"/>
      <family val="2"/>
    </font>
    <font>
      <b/>
      <sz val="10"/>
      <name val="Arial"/>
      <family val="2"/>
    </font>
    <font>
      <b/>
      <sz val="22"/>
      <color indexed="44"/>
      <name val="Arial"/>
      <family val="2"/>
    </font>
    <font>
      <sz val="8"/>
      <name val="Arial"/>
      <family val="2"/>
    </font>
    <font>
      <i/>
      <sz val="10"/>
      <name val="Arial"/>
      <family val="2"/>
    </font>
    <font>
      <b/>
      <i/>
      <sz val="10"/>
      <name val="Arial"/>
      <family val="2"/>
    </font>
    <font>
      <sz val="10"/>
      <name val="Arial"/>
      <family val="2"/>
    </font>
    <font>
      <vertAlign val="subscript"/>
      <sz val="10"/>
      <name val="Arial"/>
      <family val="2"/>
    </font>
    <font>
      <u/>
      <sz val="10"/>
      <color indexed="12"/>
      <name val="Arial"/>
      <family val="2"/>
    </font>
    <font>
      <b/>
      <sz val="16"/>
      <name val="Arial"/>
      <family val="2"/>
    </font>
    <font>
      <sz val="10"/>
      <color indexed="44"/>
      <name val="Arial"/>
      <family val="2"/>
    </font>
    <font>
      <b/>
      <sz val="28"/>
      <color indexed="44"/>
      <name val="Arial"/>
      <family val="2"/>
    </font>
    <font>
      <b/>
      <sz val="10"/>
      <color indexed="44"/>
      <name val="Arial"/>
      <family val="2"/>
    </font>
    <font>
      <sz val="10"/>
      <color indexed="8"/>
      <name val="Arial"/>
      <family val="2"/>
    </font>
    <font>
      <b/>
      <sz val="24"/>
      <color indexed="44"/>
      <name val="Arial"/>
      <family val="2"/>
    </font>
    <font>
      <sz val="10"/>
      <name val="Calibri"/>
      <family val="2"/>
    </font>
    <font>
      <b/>
      <sz val="10"/>
      <name val="Calibri"/>
      <family val="2"/>
    </font>
    <font>
      <sz val="10"/>
      <color indexed="55"/>
      <name val="Calibri"/>
      <family val="2"/>
    </font>
    <font>
      <b/>
      <sz val="10"/>
      <color indexed="9"/>
      <name val="Calibri"/>
      <family val="2"/>
    </font>
    <font>
      <b/>
      <sz val="12"/>
      <color indexed="48"/>
      <name val="Arial"/>
      <family val="2"/>
    </font>
    <font>
      <b/>
      <sz val="12"/>
      <color indexed="12"/>
      <name val="Arial"/>
      <family val="2"/>
    </font>
    <font>
      <sz val="10"/>
      <color indexed="23"/>
      <name val="Calibri"/>
      <family val="2"/>
    </font>
    <font>
      <b/>
      <sz val="12"/>
      <color indexed="9"/>
      <name val="Calibri"/>
      <family val="2"/>
    </font>
    <font>
      <sz val="12"/>
      <name val="Calibri"/>
      <family val="2"/>
    </font>
    <font>
      <b/>
      <sz val="22"/>
      <color indexed="9"/>
      <name val="Calibri"/>
      <family val="2"/>
    </font>
    <font>
      <b/>
      <sz val="10"/>
      <color indexed="13"/>
      <name val="Calibri"/>
      <family val="2"/>
    </font>
    <font>
      <b/>
      <u/>
      <sz val="10"/>
      <color indexed="10"/>
      <name val="Arial"/>
      <family val="2"/>
    </font>
    <font>
      <sz val="10"/>
      <color indexed="56"/>
      <name val="Calibri"/>
      <family val="2"/>
    </font>
    <font>
      <sz val="10"/>
      <color indexed="8"/>
      <name val="Arial"/>
      <family val="2"/>
    </font>
    <font>
      <b/>
      <sz val="14"/>
      <color indexed="9"/>
      <name val="Calibri"/>
      <family val="2"/>
    </font>
    <font>
      <sz val="11"/>
      <color indexed="81"/>
      <name val="Tahoma"/>
      <family val="2"/>
    </font>
    <font>
      <b/>
      <i/>
      <sz val="14"/>
      <color indexed="12"/>
      <name val="Calibri"/>
      <family val="2"/>
    </font>
    <font>
      <b/>
      <sz val="8"/>
      <color indexed="81"/>
      <name val="Tahoma"/>
      <family val="2"/>
    </font>
    <font>
      <b/>
      <sz val="9"/>
      <color indexed="81"/>
      <name val="Tahoma"/>
      <family val="2"/>
    </font>
    <font>
      <sz val="8"/>
      <color indexed="81"/>
      <name val="Tahoma"/>
      <family val="2"/>
    </font>
    <font>
      <b/>
      <sz val="10"/>
      <color indexed="81"/>
      <name val="Tahoma"/>
      <family val="2"/>
    </font>
    <font>
      <sz val="9"/>
      <color indexed="81"/>
      <name val="Tahoma"/>
      <family val="2"/>
    </font>
    <font>
      <b/>
      <u/>
      <sz val="8"/>
      <color indexed="81"/>
      <name val="Tahoma"/>
      <family val="2"/>
    </font>
    <font>
      <b/>
      <u/>
      <sz val="9"/>
      <color indexed="81"/>
      <name val="Tahoma"/>
      <family val="2"/>
    </font>
    <font>
      <sz val="11"/>
      <color indexed="10"/>
      <name val="Tahoma"/>
      <family val="2"/>
    </font>
    <font>
      <b/>
      <sz val="9"/>
      <color indexed="10"/>
      <name val="Tahoma"/>
      <family val="2"/>
    </font>
    <font>
      <sz val="10"/>
      <color indexed="81"/>
      <name val="Tahoma"/>
      <family val="2"/>
    </font>
    <font>
      <sz val="9"/>
      <color indexed="39"/>
      <name val="Tahoma"/>
      <family val="2"/>
    </font>
    <font>
      <b/>
      <sz val="9"/>
      <color indexed="39"/>
      <name val="Tahoma"/>
      <family val="2"/>
    </font>
    <font>
      <b/>
      <vertAlign val="subscript"/>
      <sz val="9"/>
      <color indexed="81"/>
      <name val="Tahoma"/>
      <family val="2"/>
    </font>
    <font>
      <vertAlign val="subscript"/>
      <sz val="9"/>
      <color indexed="81"/>
      <name val="Tahoma"/>
      <family val="2"/>
    </font>
    <font>
      <b/>
      <sz val="8"/>
      <color indexed="10"/>
      <name val="Tahoma"/>
      <family val="2"/>
    </font>
    <font>
      <b/>
      <vertAlign val="subscript"/>
      <sz val="10"/>
      <color indexed="81"/>
      <name val="Tahoma"/>
      <family val="2"/>
    </font>
    <font>
      <vertAlign val="subscript"/>
      <sz val="10"/>
      <color indexed="81"/>
      <name val="Tahoma"/>
      <family val="2"/>
    </font>
    <font>
      <sz val="36"/>
      <color rgb="FFFF0000"/>
      <name val="Arial"/>
      <family val="2"/>
    </font>
    <font>
      <b/>
      <u/>
      <sz val="11"/>
      <color indexed="10"/>
      <name val="Tahoma"/>
      <family val="2"/>
    </font>
    <font>
      <sz val="32"/>
      <color theme="0"/>
      <name val="Arial"/>
      <family val="2"/>
    </font>
    <font>
      <sz val="16"/>
      <color theme="0"/>
      <name val="Arial"/>
      <family val="2"/>
    </font>
    <font>
      <b/>
      <vertAlign val="subscript"/>
      <sz val="10"/>
      <name val="Arial"/>
      <family val="2"/>
    </font>
    <font>
      <sz val="10"/>
      <color indexed="23"/>
      <name val="Arial"/>
      <family val="2"/>
    </font>
    <font>
      <sz val="10"/>
      <color indexed="55"/>
      <name val="Arial"/>
      <family val="2"/>
    </font>
    <font>
      <b/>
      <i/>
      <sz val="10"/>
      <color indexed="55"/>
      <name val="Arial"/>
      <family val="2"/>
    </font>
    <font>
      <b/>
      <i/>
      <sz val="14"/>
      <color indexed="12"/>
      <name val="Arial"/>
      <family val="2"/>
    </font>
    <font>
      <b/>
      <sz val="10"/>
      <color indexed="8"/>
      <name val="Arial"/>
      <family val="2"/>
    </font>
    <font>
      <b/>
      <sz val="14"/>
      <color indexed="9"/>
      <name val="Arial"/>
      <family val="2"/>
    </font>
    <font>
      <b/>
      <sz val="10"/>
      <color rgb="FFFF0000"/>
      <name val="Arial"/>
      <family val="2"/>
    </font>
    <font>
      <sz val="12"/>
      <name val="Arial"/>
      <family val="2"/>
    </font>
    <font>
      <sz val="10"/>
      <color theme="1"/>
      <name val="Arial"/>
      <family val="2"/>
    </font>
    <font>
      <b/>
      <sz val="10"/>
      <color theme="1"/>
      <name val="Arial"/>
      <family val="2"/>
    </font>
    <font>
      <b/>
      <vertAlign val="subscript"/>
      <sz val="10"/>
      <color theme="1"/>
      <name val="Arial"/>
      <family val="2"/>
    </font>
    <font>
      <b/>
      <sz val="10"/>
      <color rgb="FF0000FF"/>
      <name val="Arial"/>
      <family val="2"/>
    </font>
    <font>
      <sz val="10"/>
      <color rgb="FF0000FF"/>
      <name val="Arial"/>
      <family val="2"/>
    </font>
    <font>
      <sz val="10"/>
      <color rgb="FF0000FF"/>
      <name val="Calibri"/>
      <family val="2"/>
    </font>
    <font>
      <b/>
      <vertAlign val="subscript"/>
      <sz val="10"/>
      <color rgb="FF0000FF"/>
      <name val="Arial"/>
      <family val="2"/>
    </font>
    <font>
      <b/>
      <sz val="12"/>
      <color rgb="FF003366"/>
      <name val="Calibri"/>
      <family val="2"/>
    </font>
    <font>
      <sz val="10"/>
      <name val="Symbol"/>
      <family val="1"/>
      <charset val="2"/>
    </font>
    <font>
      <b/>
      <sz val="10"/>
      <color indexed="9"/>
      <name val="Arial"/>
      <family val="2"/>
    </font>
    <font>
      <b/>
      <sz val="12"/>
      <color rgb="FF0000FF"/>
      <name val="Arial"/>
      <family val="2"/>
    </font>
    <font>
      <b/>
      <u/>
      <sz val="10"/>
      <name val="Arial"/>
      <family val="2"/>
    </font>
    <font>
      <u/>
      <sz val="9"/>
      <color indexed="12"/>
      <name val="Tahoma"/>
      <family val="2"/>
    </font>
    <font>
      <vertAlign val="superscript"/>
      <sz val="10"/>
      <name val="Arial"/>
      <family val="2"/>
    </font>
    <font>
      <vertAlign val="subscript"/>
      <sz val="10"/>
      <color theme="1"/>
      <name val="Arial"/>
      <family val="2"/>
    </font>
    <font>
      <b/>
      <sz val="11"/>
      <name val="Arial"/>
      <family val="2"/>
    </font>
    <font>
      <sz val="10"/>
      <color rgb="FFFF0000"/>
      <name val="Arial"/>
      <family val="2"/>
    </font>
    <font>
      <vertAlign val="subscript"/>
      <sz val="10"/>
      <color rgb="FFFF0000"/>
      <name val="Arial"/>
      <family val="2"/>
    </font>
    <font>
      <b/>
      <sz val="10"/>
      <name val="Symbol"/>
      <family val="1"/>
      <charset val="2"/>
    </font>
    <font>
      <u/>
      <sz val="10"/>
      <color theme="0" tint="-0.499984740745262"/>
      <name val="Arial"/>
      <family val="2"/>
    </font>
    <font>
      <b/>
      <sz val="12"/>
      <color indexed="10"/>
      <name val="Tahoma"/>
      <family val="2"/>
    </font>
    <font>
      <b/>
      <sz val="10"/>
      <color rgb="FFC00000"/>
      <name val="Arial"/>
      <family val="2"/>
    </font>
    <font>
      <b/>
      <vertAlign val="subscript"/>
      <sz val="9"/>
      <color indexed="10"/>
      <name val="Tahoma"/>
      <family val="2"/>
    </font>
    <font>
      <b/>
      <sz val="9"/>
      <color indexed="14"/>
      <name val="Tahoma"/>
      <family val="2"/>
    </font>
    <font>
      <b/>
      <sz val="10"/>
      <color rgb="FFCC00FF"/>
      <name val="Arial"/>
      <family val="2"/>
    </font>
    <font>
      <b/>
      <sz val="9"/>
      <color rgb="FF000000"/>
      <name val="Arial"/>
      <family val="2"/>
    </font>
  </fonts>
  <fills count="28">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45"/>
        <bgColor indexed="64"/>
      </patternFill>
    </fill>
    <fill>
      <patternFill patternType="solid">
        <fgColor indexed="46"/>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52"/>
        <bgColor indexed="64"/>
      </patternFill>
    </fill>
    <fill>
      <patternFill patternType="solid">
        <fgColor indexed="50"/>
        <bgColor indexed="64"/>
      </patternFill>
    </fill>
    <fill>
      <patternFill patternType="solid">
        <fgColor indexed="47"/>
        <bgColor indexed="64"/>
      </patternFill>
    </fill>
    <fill>
      <patternFill patternType="solid">
        <fgColor indexed="56"/>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rgb="FFFF9900"/>
        <bgColor indexed="64"/>
      </patternFill>
    </fill>
    <fill>
      <patternFill patternType="solid">
        <fgColor rgb="FF99CC00"/>
        <bgColor indexed="64"/>
      </patternFill>
    </fill>
    <fill>
      <patternFill patternType="solid">
        <fgColor rgb="FFC0C0C0"/>
        <bgColor indexed="64"/>
      </patternFill>
    </fill>
    <fill>
      <patternFill patternType="solid">
        <fgColor theme="0" tint="-0.499984740745262"/>
        <bgColor indexed="64"/>
      </patternFill>
    </fill>
    <fill>
      <patternFill patternType="solid">
        <fgColor rgb="FFFFFFCC"/>
        <bgColor indexed="64"/>
      </patternFill>
    </fill>
    <fill>
      <patternFill patternType="solid">
        <fgColor rgb="FF92D050"/>
        <bgColor indexed="64"/>
      </patternFill>
    </fill>
  </fills>
  <borders count="8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55"/>
      </top>
      <bottom/>
      <diagonal/>
    </border>
    <border>
      <left/>
      <right/>
      <top/>
      <bottom style="medium">
        <color indexed="55"/>
      </bottom>
      <diagonal/>
    </border>
    <border>
      <left/>
      <right style="medium">
        <color indexed="55"/>
      </right>
      <top style="medium">
        <color indexed="55"/>
      </top>
      <bottom/>
      <diagonal/>
    </border>
    <border>
      <left/>
      <right style="medium">
        <color indexed="55"/>
      </right>
      <top/>
      <bottom/>
      <diagonal/>
    </border>
    <border>
      <left/>
      <right style="medium">
        <color indexed="55"/>
      </right>
      <top/>
      <bottom style="medium">
        <color indexed="55"/>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55"/>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indexed="64"/>
      </top>
      <bottom style="medium">
        <color indexed="64"/>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55"/>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medium">
        <color auto="1"/>
      </left>
      <right/>
      <top/>
      <bottom/>
      <diagonal/>
    </border>
    <border>
      <left/>
      <right/>
      <top style="medium">
        <color auto="1"/>
      </top>
      <bottom style="medium">
        <color auto="1"/>
      </bottom>
      <diagonal/>
    </border>
    <border>
      <left/>
      <right/>
      <top style="thin">
        <color indexed="64"/>
      </top>
      <bottom style="medium">
        <color indexed="64"/>
      </bottom>
      <diagonal/>
    </border>
    <border>
      <left/>
      <right/>
      <top style="medium">
        <color indexed="64"/>
      </top>
      <bottom style="thin">
        <color indexed="64"/>
      </bottom>
      <diagonal/>
    </border>
  </borders>
  <cellStyleXfs count="6">
    <xf numFmtId="0" fontId="0" fillId="0" borderId="0"/>
    <xf numFmtId="164" fontId="2" fillId="0" borderId="0" applyFont="0" applyFill="0" applyBorder="0" applyAlignment="0" applyProtection="0"/>
    <xf numFmtId="0" fontId="10" fillId="0" borderId="0" applyNumberFormat="0" applyFill="0" applyBorder="0" applyAlignment="0" applyProtection="0">
      <alignment vertical="top"/>
      <protection locked="0"/>
    </xf>
    <xf numFmtId="0" fontId="2" fillId="0" borderId="0"/>
    <xf numFmtId="0" fontId="1" fillId="0" borderId="0"/>
    <xf numFmtId="164" fontId="1" fillId="0" borderId="0" applyFont="0" applyFill="0" applyBorder="0" applyAlignment="0" applyProtection="0"/>
  </cellStyleXfs>
  <cellXfs count="769">
    <xf numFmtId="0" fontId="0" fillId="0" borderId="0" xfId="0"/>
    <xf numFmtId="0" fontId="7" fillId="0" borderId="0" xfId="0" applyFont="1"/>
    <xf numFmtId="0" fontId="3" fillId="0" borderId="0" xfId="0" applyFont="1"/>
    <xf numFmtId="0" fontId="8" fillId="0" borderId="0" xfId="0" applyFont="1"/>
    <xf numFmtId="2" fontId="0" fillId="0" borderId="0" xfId="0" applyNumberFormat="1"/>
    <xf numFmtId="0" fontId="0" fillId="2" borderId="0" xfId="0" applyFill="1"/>
    <xf numFmtId="0" fontId="0" fillId="3" borderId="0" xfId="0" applyFill="1"/>
    <xf numFmtId="0" fontId="3" fillId="2" borderId="0" xfId="0" applyFont="1" applyFill="1"/>
    <xf numFmtId="170" fontId="0" fillId="0" borderId="0" xfId="0" applyNumberFormat="1"/>
    <xf numFmtId="10" fontId="0" fillId="0" borderId="0" xfId="0" applyNumberFormat="1"/>
    <xf numFmtId="0" fontId="14" fillId="3" borderId="0" xfId="0" applyFont="1" applyFill="1" applyAlignment="1">
      <alignment horizontal="right"/>
    </xf>
    <xf numFmtId="0" fontId="14" fillId="3" borderId="0" xfId="0" applyFont="1" applyFill="1"/>
    <xf numFmtId="0" fontId="0" fillId="4" borderId="2" xfId="0" applyFill="1" applyBorder="1"/>
    <xf numFmtId="0" fontId="16" fillId="3" borderId="4" xfId="0" applyFont="1" applyFill="1" applyBorder="1"/>
    <xf numFmtId="0" fontId="3" fillId="5" borderId="8" xfId="0" applyFont="1" applyFill="1" applyBorder="1"/>
    <xf numFmtId="0" fontId="3" fillId="5" borderId="9" xfId="0" applyFont="1" applyFill="1" applyBorder="1"/>
    <xf numFmtId="0" fontId="3" fillId="5" borderId="10" xfId="0" applyFont="1" applyFill="1" applyBorder="1"/>
    <xf numFmtId="0" fontId="3" fillId="5" borderId="11" xfId="0" applyFont="1" applyFill="1" applyBorder="1"/>
    <xf numFmtId="0" fontId="8" fillId="0" borderId="0" xfId="0" applyFont="1" applyProtection="1">
      <protection locked="0"/>
    </xf>
    <xf numFmtId="0" fontId="0" fillId="0" borderId="0" xfId="0" applyProtection="1">
      <protection locked="0"/>
    </xf>
    <xf numFmtId="0" fontId="0" fillId="6" borderId="12" xfId="0" applyFill="1" applyBorder="1"/>
    <xf numFmtId="0" fontId="0" fillId="0" borderId="11" xfId="0" applyBorder="1"/>
    <xf numFmtId="0" fontId="0" fillId="6" borderId="11" xfId="0" applyFill="1" applyBorder="1"/>
    <xf numFmtId="0" fontId="0" fillId="4" borderId="11" xfId="0" applyFill="1" applyBorder="1"/>
    <xf numFmtId="0" fontId="3" fillId="5" borderId="0" xfId="0" applyFont="1" applyFill="1"/>
    <xf numFmtId="0" fontId="0" fillId="6" borderId="0" xfId="0" applyFill="1"/>
    <xf numFmtId="0" fontId="0" fillId="0" borderId="13" xfId="0" applyBorder="1"/>
    <xf numFmtId="0" fontId="8" fillId="2" borderId="0" xfId="0" applyFont="1" applyFill="1"/>
    <xf numFmtId="0" fontId="0" fillId="6" borderId="13" xfId="0" applyFill="1" applyBorder="1"/>
    <xf numFmtId="0" fontId="0" fillId="4" borderId="0" xfId="0" applyFill="1"/>
    <xf numFmtId="11" fontId="0" fillId="0" borderId="0" xfId="0" applyNumberFormat="1"/>
    <xf numFmtId="0" fontId="12" fillId="3" borderId="0" xfId="0" applyFont="1" applyFill="1"/>
    <xf numFmtId="0" fontId="0" fillId="4" borderId="12" xfId="0" applyFill="1" applyBorder="1"/>
    <xf numFmtId="0" fontId="0" fillId="4" borderId="14" xfId="0" applyFill="1" applyBorder="1"/>
    <xf numFmtId="0" fontId="3" fillId="4" borderId="11" xfId="0" applyFont="1" applyFill="1" applyBorder="1"/>
    <xf numFmtId="0" fontId="0" fillId="6" borderId="8" xfId="0" applyFill="1" applyBorder="1"/>
    <xf numFmtId="0" fontId="0" fillId="4" borderId="8" xfId="0" applyFill="1" applyBorder="1"/>
    <xf numFmtId="0" fontId="3" fillId="5" borderId="4" xfId="0" applyFont="1" applyFill="1" applyBorder="1"/>
    <xf numFmtId="0" fontId="0" fillId="2" borderId="14" xfId="0" applyFill="1" applyBorder="1"/>
    <xf numFmtId="0" fontId="0" fillId="2" borderId="13" xfId="0" applyFill="1" applyBorder="1"/>
    <xf numFmtId="0" fontId="0" fillId="2" borderId="12" xfId="0" applyFill="1" applyBorder="1"/>
    <xf numFmtId="0" fontId="0" fillId="8" borderId="0" xfId="0" applyFill="1"/>
    <xf numFmtId="0" fontId="15" fillId="0" borderId="0" xfId="0" applyFont="1"/>
    <xf numFmtId="0" fontId="0" fillId="10" borderId="0" xfId="0" applyFill="1"/>
    <xf numFmtId="0" fontId="0" fillId="0" borderId="0" xfId="0" applyAlignment="1">
      <alignment horizontal="right"/>
    </xf>
    <xf numFmtId="0" fontId="17" fillId="0" borderId="0" xfId="0" applyFont="1"/>
    <xf numFmtId="11" fontId="7" fillId="0" borderId="0" xfId="0" applyNumberFormat="1" applyFont="1"/>
    <xf numFmtId="0" fontId="0" fillId="11" borderId="0" xfId="0" applyFill="1"/>
    <xf numFmtId="169" fontId="0" fillId="0" borderId="0" xfId="0" applyNumberFormat="1"/>
    <xf numFmtId="0" fontId="3" fillId="0" borderId="0" xfId="0" applyFont="1" applyAlignment="1">
      <alignment horizontal="center"/>
    </xf>
    <xf numFmtId="0" fontId="3" fillId="4" borderId="0" xfId="0" applyFont="1" applyFill="1" applyAlignment="1">
      <alignment horizontal="center"/>
    </xf>
    <xf numFmtId="0" fontId="3" fillId="12" borderId="0" xfId="0" applyFont="1" applyFill="1" applyAlignment="1">
      <alignment horizontal="center"/>
    </xf>
    <xf numFmtId="0" fontId="3" fillId="13" borderId="0" xfId="0" applyFont="1" applyFill="1" applyAlignment="1">
      <alignment horizontal="center"/>
    </xf>
    <xf numFmtId="166" fontId="0" fillId="0" borderId="0" xfId="0" applyNumberFormat="1"/>
    <xf numFmtId="172" fontId="17" fillId="3" borderId="0" xfId="0" applyNumberFormat="1" applyFont="1" applyFill="1" applyAlignment="1">
      <alignment horizontal="center"/>
    </xf>
    <xf numFmtId="172" fontId="25" fillId="3" borderId="0" xfId="0" applyNumberFormat="1" applyFont="1" applyFill="1" applyAlignment="1">
      <alignment horizontal="center"/>
    </xf>
    <xf numFmtId="0" fontId="0" fillId="0" borderId="28" xfId="0" applyBorder="1"/>
    <xf numFmtId="0" fontId="0" fillId="0" borderId="29" xfId="0" applyBorder="1"/>
    <xf numFmtId="0" fontId="8" fillId="0" borderId="28" xfId="0" applyFont="1" applyBorder="1"/>
    <xf numFmtId="0" fontId="0" fillId="13" borderId="0" xfId="0" applyFill="1"/>
    <xf numFmtId="0" fontId="0" fillId="0" borderId="30" xfId="0" applyBorder="1"/>
    <xf numFmtId="0" fontId="0" fillId="0" borderId="31" xfId="0" applyBorder="1"/>
    <xf numFmtId="0" fontId="0" fillId="0" borderId="32" xfId="0" applyBorder="1"/>
    <xf numFmtId="0" fontId="0" fillId="0" borderId="2" xfId="0" applyBorder="1"/>
    <xf numFmtId="0" fontId="0" fillId="0" borderId="3" xfId="0" applyBorder="1"/>
    <xf numFmtId="0" fontId="7" fillId="0" borderId="28" xfId="0" applyFont="1" applyBorder="1"/>
    <xf numFmtId="0" fontId="3" fillId="0" borderId="28" xfId="0" applyFont="1" applyBorder="1"/>
    <xf numFmtId="11" fontId="0" fillId="13" borderId="0" xfId="0" applyNumberFormat="1" applyFill="1"/>
    <xf numFmtId="0" fontId="0" fillId="12" borderId="0" xfId="0" applyFill="1"/>
    <xf numFmtId="11" fontId="0" fillId="12" borderId="0" xfId="0" applyNumberFormat="1" applyFill="1"/>
    <xf numFmtId="0" fontId="0" fillId="0" borderId="31" xfId="0" applyBorder="1" applyAlignment="1">
      <alignment horizontal="right"/>
    </xf>
    <xf numFmtId="11" fontId="7" fillId="0" borderId="31" xfId="0" applyNumberFormat="1" applyFont="1" applyBorder="1"/>
    <xf numFmtId="11" fontId="0" fillId="4" borderId="0" xfId="0" applyNumberFormat="1" applyFill="1"/>
    <xf numFmtId="0" fontId="0" fillId="2" borderId="0" xfId="0" applyFill="1" applyProtection="1">
      <protection locked="0"/>
    </xf>
    <xf numFmtId="0" fontId="0" fillId="2" borderId="11" xfId="0" applyFill="1" applyBorder="1" applyProtection="1">
      <protection locked="0"/>
    </xf>
    <xf numFmtId="0" fontId="0" fillId="9" borderId="0" xfId="0" applyFill="1"/>
    <xf numFmtId="0" fontId="0" fillId="0" borderId="8" xfId="0" applyBorder="1"/>
    <xf numFmtId="0" fontId="0" fillId="4" borderId="13" xfId="0" applyFill="1" applyBorder="1"/>
    <xf numFmtId="0" fontId="8" fillId="9" borderId="11" xfId="0" applyFont="1" applyFill="1" applyBorder="1"/>
    <xf numFmtId="0" fontId="17" fillId="3" borderId="0" xfId="0" applyFont="1" applyFill="1"/>
    <xf numFmtId="0" fontId="18" fillId="9" borderId="0" xfId="0" applyFont="1" applyFill="1"/>
    <xf numFmtId="0" fontId="17" fillId="9" borderId="0" xfId="0" applyFont="1" applyFill="1" applyAlignment="1">
      <alignment horizontal="right"/>
    </xf>
    <xf numFmtId="0" fontId="18" fillId="9" borderId="0" xfId="0" applyFont="1" applyFill="1" applyAlignment="1">
      <alignment horizontal="right"/>
    </xf>
    <xf numFmtId="0" fontId="17" fillId="9" borderId="0" xfId="0" applyFont="1" applyFill="1"/>
    <xf numFmtId="0" fontId="25" fillId="15" borderId="19" xfId="0" applyFont="1" applyFill="1" applyBorder="1"/>
    <xf numFmtId="0" fontId="25" fillId="15" borderId="20" xfId="0" applyFont="1" applyFill="1" applyBorder="1"/>
    <xf numFmtId="0" fontId="25" fillId="3" borderId="0" xfId="0" applyFont="1" applyFill="1"/>
    <xf numFmtId="0" fontId="17" fillId="9" borderId="0" xfId="0" applyFont="1" applyFill="1" applyAlignment="1">
      <alignment horizontal="center"/>
    </xf>
    <xf numFmtId="0" fontId="17" fillId="9" borderId="0" xfId="0" applyFont="1" applyFill="1" applyAlignment="1">
      <alignment horizontal="left"/>
    </xf>
    <xf numFmtId="0" fontId="21" fillId="0" borderId="0" xfId="0" applyFont="1"/>
    <xf numFmtId="0" fontId="0" fillId="0" borderId="1" xfId="0" applyBorder="1"/>
    <xf numFmtId="0" fontId="3" fillId="0" borderId="1" xfId="0" applyFont="1" applyBorder="1"/>
    <xf numFmtId="0" fontId="22" fillId="0" borderId="0" xfId="0" applyFont="1"/>
    <xf numFmtId="0" fontId="30" fillId="0" borderId="0" xfId="0" applyFont="1"/>
    <xf numFmtId="0" fontId="30" fillId="4" borderId="0" xfId="0" applyFont="1" applyFill="1"/>
    <xf numFmtId="0" fontId="21" fillId="0" borderId="38" xfId="0" applyFont="1" applyBorder="1"/>
    <xf numFmtId="0" fontId="0" fillId="0" borderId="33" xfId="0" applyBorder="1"/>
    <xf numFmtId="0" fontId="0" fillId="0" borderId="35" xfId="0" applyBorder="1"/>
    <xf numFmtId="0" fontId="8" fillId="0" borderId="39" xfId="0" applyFont="1" applyBorder="1"/>
    <xf numFmtId="0" fontId="0" fillId="0" borderId="36" xfId="0" applyBorder="1"/>
    <xf numFmtId="0" fontId="30" fillId="0" borderId="39" xfId="0" applyFont="1" applyBorder="1"/>
    <xf numFmtId="0" fontId="30" fillId="0" borderId="40" xfId="0" applyFont="1" applyBorder="1"/>
    <xf numFmtId="0" fontId="30" fillId="0" borderId="34" xfId="0" applyFont="1" applyBorder="1"/>
    <xf numFmtId="0" fontId="0" fillId="0" borderId="34" xfId="0" applyBorder="1"/>
    <xf numFmtId="0" fontId="0" fillId="0" borderId="37" xfId="0" applyBorder="1"/>
    <xf numFmtId="0" fontId="8" fillId="0" borderId="31" xfId="0" applyFont="1" applyBorder="1"/>
    <xf numFmtId="0" fontId="8" fillId="13" borderId="0" xfId="0" applyFont="1" applyFill="1"/>
    <xf numFmtId="0" fontId="17" fillId="9" borderId="29" xfId="0" applyFont="1" applyFill="1" applyBorder="1"/>
    <xf numFmtId="0" fontId="19" fillId="9" borderId="0" xfId="0" applyFont="1" applyFill="1"/>
    <xf numFmtId="168" fontId="17" fillId="9" borderId="0" xfId="0" applyNumberFormat="1" applyFont="1" applyFill="1"/>
    <xf numFmtId="171" fontId="17" fillId="9" borderId="0" xfId="0" applyNumberFormat="1" applyFont="1" applyFill="1"/>
    <xf numFmtId="167" fontId="17" fillId="9" borderId="0" xfId="0" applyNumberFormat="1" applyFont="1" applyFill="1"/>
    <xf numFmtId="2" fontId="30" fillId="12" borderId="0" xfId="0" applyNumberFormat="1" applyFont="1" applyFill="1"/>
    <xf numFmtId="0" fontId="17" fillId="16" borderId="0" xfId="0" applyFont="1" applyFill="1"/>
    <xf numFmtId="0" fontId="2" fillId="0" borderId="0" xfId="0" applyFont="1"/>
    <xf numFmtId="2" fontId="2" fillId="0" borderId="0" xfId="0" quotePrefix="1" applyNumberFormat="1" applyFont="1"/>
    <xf numFmtId="0" fontId="0" fillId="0" borderId="0" xfId="0" applyAlignment="1">
      <alignment horizontal="left"/>
    </xf>
    <xf numFmtId="0" fontId="2" fillId="0" borderId="2" xfId="0" applyFont="1" applyBorder="1"/>
    <xf numFmtId="0" fontId="2" fillId="0" borderId="31" xfId="0" applyFont="1" applyBorder="1"/>
    <xf numFmtId="0" fontId="33" fillId="9" borderId="0" xfId="0" applyFont="1" applyFill="1"/>
    <xf numFmtId="0" fontId="20" fillId="19" borderId="0" xfId="0" applyFont="1" applyFill="1" applyAlignment="1">
      <alignment vertical="center"/>
    </xf>
    <xf numFmtId="0" fontId="0" fillId="18" borderId="0" xfId="0" applyFill="1"/>
    <xf numFmtId="0" fontId="54" fillId="18" borderId="0" xfId="0" applyFont="1" applyFill="1"/>
    <xf numFmtId="0" fontId="23" fillId="9" borderId="0" xfId="0" applyFont="1" applyFill="1" applyAlignment="1">
      <alignment horizontal="right"/>
    </xf>
    <xf numFmtId="0" fontId="3" fillId="9" borderId="0" xfId="0" applyFont="1" applyFill="1" applyAlignment="1">
      <alignment horizontal="right"/>
    </xf>
    <xf numFmtId="0" fontId="2" fillId="9" borderId="0" xfId="0" applyFont="1" applyFill="1" applyAlignment="1">
      <alignment horizontal="right"/>
    </xf>
    <xf numFmtId="0" fontId="2" fillId="9" borderId="31" xfId="0" applyFont="1" applyFill="1" applyBorder="1" applyAlignment="1">
      <alignment horizontal="right"/>
    </xf>
    <xf numFmtId="0" fontId="2" fillId="9" borderId="28" xfId="0" applyFont="1" applyFill="1" applyBorder="1"/>
    <xf numFmtId="0" fontId="2" fillId="9" borderId="0" xfId="0" applyFont="1" applyFill="1"/>
    <xf numFmtId="0" fontId="3" fillId="19" borderId="0" xfId="0" applyFont="1" applyFill="1" applyProtection="1">
      <protection locked="0"/>
    </xf>
    <xf numFmtId="0" fontId="57" fillId="9" borderId="0" xfId="0" applyFont="1" applyFill="1"/>
    <xf numFmtId="1" fontId="3" fillId="19" borderId="0" xfId="0" applyNumberFormat="1" applyFont="1" applyFill="1" applyProtection="1">
      <protection locked="0"/>
    </xf>
    <xf numFmtId="0" fontId="59" fillId="9" borderId="0" xfId="0" applyFont="1" applyFill="1"/>
    <xf numFmtId="0" fontId="3" fillId="9" borderId="0" xfId="0" applyFont="1" applyFill="1"/>
    <xf numFmtId="169" fontId="3" fillId="9" borderId="0" xfId="0" applyNumberFormat="1" applyFont="1" applyFill="1"/>
    <xf numFmtId="0" fontId="2" fillId="16" borderId="0" xfId="0" applyFont="1" applyFill="1"/>
    <xf numFmtId="0" fontId="3" fillId="9" borderId="28" xfId="0" applyFont="1" applyFill="1" applyBorder="1"/>
    <xf numFmtId="0" fontId="59" fillId="16" borderId="0" xfId="0" applyFont="1" applyFill="1"/>
    <xf numFmtId="1" fontId="56" fillId="9" borderId="0" xfId="0" applyNumberFormat="1" applyFont="1" applyFill="1" applyAlignment="1">
      <alignment horizontal="right"/>
    </xf>
    <xf numFmtId="0" fontId="61" fillId="15" borderId="19" xfId="0" applyFont="1" applyFill="1" applyBorder="1"/>
    <xf numFmtId="0" fontId="59" fillId="9" borderId="0" xfId="0" applyFont="1" applyFill="1" applyAlignment="1">
      <alignment vertical="center"/>
    </xf>
    <xf numFmtId="0" fontId="7" fillId="9" borderId="0" xfId="0" applyFont="1" applyFill="1" applyAlignment="1">
      <alignment horizontal="right"/>
    </xf>
    <xf numFmtId="169" fontId="7" fillId="9" borderId="0" xfId="0" applyNumberFormat="1" applyFont="1" applyFill="1"/>
    <xf numFmtId="0" fontId="7" fillId="9" borderId="0" xfId="0" applyFont="1" applyFill="1"/>
    <xf numFmtId="0" fontId="2" fillId="16" borderId="0" xfId="0" applyFont="1" applyFill="1" applyAlignment="1">
      <alignment horizontal="left"/>
    </xf>
    <xf numFmtId="1" fontId="2" fillId="16" borderId="0" xfId="0" applyNumberFormat="1" applyFont="1" applyFill="1" applyAlignment="1">
      <alignment horizontal="right"/>
    </xf>
    <xf numFmtId="0" fontId="3" fillId="9" borderId="0" xfId="0" applyFont="1" applyFill="1" applyAlignment="1">
      <alignment horizontal="left"/>
    </xf>
    <xf numFmtId="0" fontId="62" fillId="9" borderId="0" xfId="0" applyFont="1" applyFill="1"/>
    <xf numFmtId="0" fontId="2" fillId="9" borderId="0" xfId="0" applyFont="1" applyFill="1" applyAlignment="1">
      <alignment horizontal="left"/>
    </xf>
    <xf numFmtId="0" fontId="60" fillId="19" borderId="0" xfId="0" applyFont="1" applyFill="1" applyAlignment="1" applyProtection="1">
      <alignment horizontal="right"/>
      <protection locked="0" hidden="1"/>
    </xf>
    <xf numFmtId="0" fontId="63" fillId="15" borderId="19" xfId="0" applyFont="1" applyFill="1" applyBorder="1"/>
    <xf numFmtId="0" fontId="22" fillId="9" borderId="28" xfId="0" applyFont="1" applyFill="1" applyBorder="1"/>
    <xf numFmtId="1" fontId="2" fillId="9" borderId="0" xfId="0" applyNumberFormat="1" applyFont="1" applyFill="1"/>
    <xf numFmtId="0" fontId="65" fillId="9" borderId="0" xfId="0" applyFont="1" applyFill="1" applyAlignment="1">
      <alignment horizontal="right"/>
    </xf>
    <xf numFmtId="0" fontId="2" fillId="9" borderId="2" xfId="0" applyFont="1" applyFill="1" applyBorder="1"/>
    <xf numFmtId="0" fontId="2" fillId="9" borderId="2" xfId="0" applyFont="1" applyFill="1" applyBorder="1" applyAlignment="1">
      <alignment horizontal="right"/>
    </xf>
    <xf numFmtId="0" fontId="65" fillId="9" borderId="2" xfId="0" applyFont="1" applyFill="1" applyBorder="1" applyAlignment="1">
      <alignment horizontal="right"/>
    </xf>
    <xf numFmtId="0" fontId="3" fillId="9" borderId="3" xfId="0" applyFont="1" applyFill="1" applyBorder="1"/>
    <xf numFmtId="0" fontId="3" fillId="9" borderId="29" xfId="0" applyFont="1" applyFill="1" applyBorder="1"/>
    <xf numFmtId="0" fontId="2" fillId="9" borderId="30" xfId="0" applyFont="1" applyFill="1" applyBorder="1"/>
    <xf numFmtId="0" fontId="2" fillId="9" borderId="31" xfId="0" applyFont="1" applyFill="1" applyBorder="1"/>
    <xf numFmtId="0" fontId="2" fillId="9" borderId="32" xfId="0" applyFont="1" applyFill="1" applyBorder="1"/>
    <xf numFmtId="0" fontId="2" fillId="9" borderId="3" xfId="0" applyFont="1" applyFill="1" applyBorder="1"/>
    <xf numFmtId="0" fontId="2" fillId="9" borderId="29" xfId="0" applyFont="1" applyFill="1" applyBorder="1"/>
    <xf numFmtId="0" fontId="3" fillId="9" borderId="2" xfId="0" applyFont="1" applyFill="1" applyBorder="1"/>
    <xf numFmtId="0" fontId="3" fillId="9" borderId="2" xfId="0" applyFont="1" applyFill="1" applyBorder="1" applyAlignment="1">
      <alignment horizontal="right"/>
    </xf>
    <xf numFmtId="1" fontId="3" fillId="19" borderId="2" xfId="0" applyNumberFormat="1" applyFont="1" applyFill="1" applyBorder="1" applyProtection="1">
      <protection locked="0"/>
    </xf>
    <xf numFmtId="0" fontId="2" fillId="16" borderId="41" xfId="0" applyFont="1" applyFill="1" applyBorder="1" applyAlignment="1">
      <alignment horizontal="left"/>
    </xf>
    <xf numFmtId="0" fontId="60" fillId="19" borderId="41" xfId="0" applyFont="1" applyFill="1" applyBorder="1" applyAlignment="1" applyProtection="1">
      <alignment horizontal="right"/>
      <protection locked="0" hidden="1"/>
    </xf>
    <xf numFmtId="0" fontId="60" fillId="9" borderId="42" xfId="0" applyFont="1" applyFill="1" applyBorder="1" applyAlignment="1">
      <alignment horizontal="left"/>
    </xf>
    <xf numFmtId="0" fontId="60" fillId="9" borderId="29" xfId="0" applyFont="1" applyFill="1" applyBorder="1" applyAlignment="1">
      <alignment horizontal="left"/>
    </xf>
    <xf numFmtId="0" fontId="3" fillId="9" borderId="43" xfId="0" applyFont="1" applyFill="1" applyBorder="1" applyAlignment="1">
      <alignment horizontal="center"/>
    </xf>
    <xf numFmtId="0" fontId="3" fillId="9" borderId="28" xfId="0" applyFont="1" applyFill="1" applyBorder="1" applyAlignment="1">
      <alignment horizontal="center"/>
    </xf>
    <xf numFmtId="0" fontId="3" fillId="9" borderId="43" xfId="0" applyFont="1" applyFill="1" applyBorder="1"/>
    <xf numFmtId="0" fontId="3" fillId="9" borderId="41" xfId="0" applyFont="1" applyFill="1" applyBorder="1"/>
    <xf numFmtId="0" fontId="2" fillId="9" borderId="41" xfId="0" applyFont="1" applyFill="1" applyBorder="1"/>
    <xf numFmtId="0" fontId="2" fillId="9" borderId="45" xfId="0" applyFont="1" applyFill="1" applyBorder="1"/>
    <xf numFmtId="0" fontId="3" fillId="9" borderId="45" xfId="0" applyFont="1" applyFill="1" applyBorder="1" applyAlignment="1">
      <alignment horizontal="right"/>
    </xf>
    <xf numFmtId="0" fontId="2" fillId="9" borderId="46" xfId="0" applyFont="1" applyFill="1" applyBorder="1"/>
    <xf numFmtId="0" fontId="2" fillId="16" borderId="45" xfId="0" applyFont="1" applyFill="1" applyBorder="1" applyAlignment="1">
      <alignment horizontal="left"/>
    </xf>
    <xf numFmtId="0" fontId="60" fillId="19" borderId="45" xfId="0" applyFont="1" applyFill="1" applyBorder="1" applyAlignment="1" applyProtection="1">
      <alignment horizontal="right"/>
      <protection locked="0" hidden="1"/>
    </xf>
    <xf numFmtId="0" fontId="60" fillId="9" borderId="46" xfId="0" applyFont="1" applyFill="1" applyBorder="1" applyAlignment="1">
      <alignment horizontal="left"/>
    </xf>
    <xf numFmtId="169" fontId="2" fillId="9" borderId="41" xfId="0" applyNumberFormat="1" applyFont="1" applyFill="1" applyBorder="1" applyAlignment="1">
      <alignment horizontal="left" vertical="center"/>
    </xf>
    <xf numFmtId="1" fontId="2" fillId="9" borderId="45" xfId="0" applyNumberFormat="1" applyFont="1" applyFill="1" applyBorder="1" applyAlignment="1">
      <alignment horizontal="left" vertical="center"/>
    </xf>
    <xf numFmtId="0" fontId="22" fillId="9" borderId="28" xfId="0" applyFont="1" applyFill="1" applyBorder="1" applyAlignment="1">
      <alignment vertical="center"/>
    </xf>
    <xf numFmtId="0" fontId="2" fillId="9" borderId="43" xfId="0" applyFont="1" applyFill="1" applyBorder="1"/>
    <xf numFmtId="0" fontId="2" fillId="16" borderId="28" xfId="0" applyFont="1" applyFill="1" applyBorder="1"/>
    <xf numFmtId="1" fontId="3" fillId="16" borderId="28" xfId="0" applyNumberFormat="1" applyFont="1" applyFill="1" applyBorder="1" applyAlignment="1">
      <alignment horizontal="right" vertical="center"/>
    </xf>
    <xf numFmtId="0" fontId="61" fillId="15" borderId="47" xfId="0" applyFont="1" applyFill="1" applyBorder="1"/>
    <xf numFmtId="0" fontId="17" fillId="3" borderId="28" xfId="0" applyFont="1" applyFill="1" applyBorder="1"/>
    <xf numFmtId="172" fontId="17" fillId="18" borderId="0" xfId="0" applyNumberFormat="1" applyFont="1" applyFill="1" applyAlignment="1">
      <alignment horizontal="center"/>
    </xf>
    <xf numFmtId="0" fontId="17" fillId="18" borderId="0" xfId="0" applyFont="1" applyFill="1"/>
    <xf numFmtId="172" fontId="25" fillId="18" borderId="0" xfId="0" applyNumberFormat="1" applyFont="1" applyFill="1" applyAlignment="1">
      <alignment horizontal="center"/>
    </xf>
    <xf numFmtId="0" fontId="25" fillId="18" borderId="0" xfId="0" applyFont="1" applyFill="1"/>
    <xf numFmtId="0" fontId="2" fillId="16" borderId="0" xfId="0" applyFont="1" applyFill="1" applyProtection="1">
      <protection locked="0"/>
    </xf>
    <xf numFmtId="0" fontId="2" fillId="9" borderId="44" xfId="0" applyFont="1" applyFill="1" applyBorder="1"/>
    <xf numFmtId="0" fontId="3" fillId="9" borderId="45" xfId="0" applyFont="1" applyFill="1" applyBorder="1"/>
    <xf numFmtId="0" fontId="2" fillId="9" borderId="48" xfId="0" applyFont="1" applyFill="1" applyBorder="1"/>
    <xf numFmtId="0" fontId="69" fillId="9" borderId="0" xfId="0" applyFont="1" applyFill="1"/>
    <xf numFmtId="0" fontId="69" fillId="9" borderId="29" xfId="0" applyFont="1" applyFill="1" applyBorder="1"/>
    <xf numFmtId="172" fontId="69" fillId="18" borderId="0" xfId="0" applyNumberFormat="1" applyFont="1" applyFill="1" applyAlignment="1">
      <alignment horizontal="center"/>
    </xf>
    <xf numFmtId="0" fontId="69" fillId="18" borderId="0" xfId="0" applyFont="1" applyFill="1"/>
    <xf numFmtId="172" fontId="69" fillId="3" borderId="0" xfId="0" applyNumberFormat="1" applyFont="1" applyFill="1" applyAlignment="1">
      <alignment horizontal="center"/>
    </xf>
    <xf numFmtId="0" fontId="69" fillId="3" borderId="0" xfId="0" applyFont="1" applyFill="1"/>
    <xf numFmtId="0" fontId="67" fillId="9" borderId="41" xfId="0" applyFont="1" applyFill="1" applyBorder="1" applyAlignment="1">
      <alignment horizontal="right"/>
    </xf>
    <xf numFmtId="0" fontId="2" fillId="16" borderId="31" xfId="0" applyFont="1" applyFill="1" applyBorder="1"/>
    <xf numFmtId="0" fontId="17" fillId="9" borderId="31" xfId="0" applyFont="1" applyFill="1" applyBorder="1"/>
    <xf numFmtId="0" fontId="17" fillId="9" borderId="32" xfId="0" applyFont="1" applyFill="1" applyBorder="1"/>
    <xf numFmtId="0" fontId="68" fillId="9" borderId="28" xfId="0" applyFont="1" applyFill="1" applyBorder="1" applyAlignment="1">
      <alignment vertical="center"/>
    </xf>
    <xf numFmtId="0" fontId="67" fillId="9" borderId="0" xfId="0" applyFont="1" applyFill="1" applyAlignment="1">
      <alignment horizontal="right" vertical="center"/>
    </xf>
    <xf numFmtId="0" fontId="67" fillId="0" borderId="0" xfId="0" applyFont="1" applyAlignment="1">
      <alignment horizontal="left" vertical="center"/>
    </xf>
    <xf numFmtId="0" fontId="2" fillId="0" borderId="1" xfId="0" applyFont="1" applyBorder="1"/>
    <xf numFmtId="0" fontId="2" fillId="0" borderId="28" xfId="0" applyFont="1" applyBorder="1"/>
    <xf numFmtId="0" fontId="72" fillId="0" borderId="0" xfId="0" applyFont="1"/>
    <xf numFmtId="0" fontId="2" fillId="9" borderId="0" xfId="3" applyFill="1"/>
    <xf numFmtId="49" fontId="2" fillId="9" borderId="0" xfId="3" applyNumberFormat="1" applyFill="1"/>
    <xf numFmtId="0" fontId="11" fillId="9" borderId="0" xfId="3" applyFont="1" applyFill="1" applyAlignment="1">
      <alignment vertical="center"/>
    </xf>
    <xf numFmtId="0" fontId="2" fillId="20" borderId="18" xfId="3" applyFill="1" applyBorder="1" applyAlignment="1">
      <alignment horizontal="center" vertical="center"/>
    </xf>
    <xf numFmtId="0" fontId="2" fillId="9" borderId="18" xfId="3" applyFill="1" applyBorder="1" applyAlignment="1">
      <alignment horizontal="center" vertical="center"/>
    </xf>
    <xf numFmtId="0" fontId="2" fillId="9" borderId="11" xfId="3" applyFill="1" applyBorder="1" applyAlignment="1">
      <alignment vertical="center" wrapText="1"/>
    </xf>
    <xf numFmtId="0" fontId="2" fillId="9" borderId="11" xfId="3" applyFill="1" applyBorder="1" applyAlignment="1">
      <alignment horizontal="left" vertical="center"/>
    </xf>
    <xf numFmtId="0" fontId="2" fillId="9" borderId="0" xfId="3" applyFill="1" applyAlignment="1">
      <alignment vertical="center"/>
    </xf>
    <xf numFmtId="49" fontId="2" fillId="9" borderId="0" xfId="3" applyNumberFormat="1" applyFill="1" applyAlignment="1">
      <alignment vertical="center"/>
    </xf>
    <xf numFmtId="0" fontId="2" fillId="21" borderId="18" xfId="3" applyFill="1" applyBorder="1" applyAlignment="1">
      <alignment horizontal="center" vertical="center"/>
    </xf>
    <xf numFmtId="0" fontId="2" fillId="21" borderId="11" xfId="3" applyFill="1" applyBorder="1" applyAlignment="1">
      <alignment vertical="center" wrapText="1"/>
    </xf>
    <xf numFmtId="174" fontId="2" fillId="21" borderId="11" xfId="3" applyNumberFormat="1" applyFill="1" applyBorder="1" applyAlignment="1">
      <alignment horizontal="center" vertical="center"/>
    </xf>
    <xf numFmtId="0" fontId="2" fillId="21" borderId="11" xfId="3" quotePrefix="1" applyFill="1" applyBorder="1" applyAlignment="1">
      <alignment horizontal="left" vertical="center"/>
    </xf>
    <xf numFmtId="0" fontId="2" fillId="21" borderId="11" xfId="3" applyFill="1" applyBorder="1" applyAlignment="1">
      <alignment horizontal="left" vertical="center"/>
    </xf>
    <xf numFmtId="0" fontId="2" fillId="16" borderId="18" xfId="3" applyFill="1" applyBorder="1" applyAlignment="1">
      <alignment horizontal="center" vertical="center"/>
    </xf>
    <xf numFmtId="0" fontId="2" fillId="16" borderId="11" xfId="3" applyFill="1" applyBorder="1" applyAlignment="1">
      <alignment vertical="center" wrapText="1"/>
    </xf>
    <xf numFmtId="174" fontId="2" fillId="16" borderId="11" xfId="3" applyNumberFormat="1" applyFill="1" applyBorder="1" applyAlignment="1">
      <alignment horizontal="center" vertical="center"/>
    </xf>
    <xf numFmtId="0" fontId="2" fillId="16" borderId="11" xfId="3" quotePrefix="1" applyFill="1" applyBorder="1" applyAlignment="1">
      <alignment horizontal="left" vertical="center"/>
    </xf>
    <xf numFmtId="0" fontId="2" fillId="16" borderId="11" xfId="3" applyFill="1" applyBorder="1" applyAlignment="1">
      <alignment horizontal="left" vertical="center"/>
    </xf>
    <xf numFmtId="176" fontId="2" fillId="9" borderId="11" xfId="3" applyNumberFormat="1" applyFill="1" applyBorder="1" applyAlignment="1">
      <alignment horizontal="center" vertical="center"/>
    </xf>
    <xf numFmtId="0" fontId="2" fillId="9" borderId="15" xfId="3" applyFill="1" applyBorder="1" applyAlignment="1">
      <alignment horizontal="left" vertical="center"/>
    </xf>
    <xf numFmtId="49" fontId="2" fillId="9" borderId="11" xfId="3" applyNumberFormat="1" applyFill="1" applyBorder="1" applyAlignment="1">
      <alignment horizontal="left" vertical="center"/>
    </xf>
    <xf numFmtId="0" fontId="2" fillId="20" borderId="11" xfId="3" applyFill="1" applyBorder="1" applyAlignment="1">
      <alignment vertical="center" wrapText="1"/>
    </xf>
    <xf numFmtId="175" fontId="2" fillId="20" borderId="11" xfId="3" applyNumberFormat="1" applyFill="1" applyBorder="1" applyAlignment="1">
      <alignment horizontal="center" vertical="center"/>
    </xf>
    <xf numFmtId="0" fontId="2" fillId="20" borderId="15" xfId="3" applyFill="1" applyBorder="1" applyAlignment="1">
      <alignment horizontal="left" vertical="center"/>
    </xf>
    <xf numFmtId="0" fontId="2" fillId="20" borderId="11" xfId="3" quotePrefix="1" applyFill="1" applyBorder="1" applyAlignment="1">
      <alignment horizontal="left" vertical="center"/>
    </xf>
    <xf numFmtId="0" fontId="2" fillId="20" borderId="11" xfId="3" applyFill="1" applyBorder="1" applyAlignment="1">
      <alignment horizontal="left" vertical="center"/>
    </xf>
    <xf numFmtId="0" fontId="2" fillId="16" borderId="15" xfId="3" applyFill="1" applyBorder="1" applyAlignment="1">
      <alignment horizontal="left" vertical="center"/>
    </xf>
    <xf numFmtId="176" fontId="2" fillId="16" borderId="11" xfId="3" applyNumberFormat="1" applyFill="1" applyBorder="1" applyAlignment="1">
      <alignment horizontal="center" vertical="center"/>
    </xf>
    <xf numFmtId="176" fontId="2" fillId="20" borderId="11" xfId="3" applyNumberFormat="1" applyFill="1" applyBorder="1" applyAlignment="1">
      <alignment horizontal="center" vertical="center"/>
    </xf>
    <xf numFmtId="173" fontId="2" fillId="20" borderId="11" xfId="3" applyNumberFormat="1" applyFill="1" applyBorder="1" applyAlignment="1">
      <alignment horizontal="center" vertical="center"/>
    </xf>
    <xf numFmtId="0" fontId="2" fillId="16" borderId="11" xfId="3" applyFill="1" applyBorder="1" applyAlignment="1">
      <alignment horizontal="center" vertical="center"/>
    </xf>
    <xf numFmtId="49" fontId="2" fillId="16" borderId="11" xfId="3" applyNumberFormat="1" applyFill="1" applyBorder="1" applyAlignment="1">
      <alignment horizontal="left" vertical="center"/>
    </xf>
    <xf numFmtId="181" fontId="2" fillId="20" borderId="11" xfId="3" applyNumberFormat="1" applyFill="1" applyBorder="1" applyAlignment="1">
      <alignment horizontal="center" vertical="center"/>
    </xf>
    <xf numFmtId="0" fontId="2" fillId="16" borderId="0" xfId="3" applyFill="1"/>
    <xf numFmtId="49" fontId="2" fillId="16" borderId="0" xfId="3" applyNumberFormat="1" applyFill="1"/>
    <xf numFmtId="0" fontId="3" fillId="19" borderId="45" xfId="0" applyFont="1" applyFill="1" applyBorder="1" applyProtection="1">
      <protection locked="0"/>
    </xf>
    <xf numFmtId="0" fontId="3" fillId="19" borderId="0" xfId="0" applyFont="1" applyFill="1" applyAlignment="1" applyProtection="1">
      <alignment horizontal="right"/>
      <protection locked="0"/>
    </xf>
    <xf numFmtId="0" fontId="3" fillId="19" borderId="45" xfId="0" applyFont="1" applyFill="1" applyBorder="1" applyAlignment="1" applyProtection="1">
      <alignment horizontal="right"/>
      <protection locked="0"/>
    </xf>
    <xf numFmtId="0" fontId="74" fillId="16" borderId="0" xfId="0" applyFont="1" applyFill="1"/>
    <xf numFmtId="169" fontId="3" fillId="19" borderId="0" xfId="0" applyNumberFormat="1" applyFont="1" applyFill="1" applyProtection="1">
      <protection locked="0"/>
    </xf>
    <xf numFmtId="0" fontId="3" fillId="9" borderId="0" xfId="3" applyFont="1" applyFill="1"/>
    <xf numFmtId="1" fontId="0" fillId="4" borderId="0" xfId="0" applyNumberFormat="1" applyFill="1"/>
    <xf numFmtId="0" fontId="2" fillId="9" borderId="0" xfId="0" applyFont="1" applyFill="1" applyAlignment="1">
      <alignment vertical="center"/>
    </xf>
    <xf numFmtId="0" fontId="2" fillId="9" borderId="28" xfId="0" applyFont="1" applyFill="1" applyBorder="1" applyAlignment="1">
      <alignment vertical="center"/>
    </xf>
    <xf numFmtId="0" fontId="2" fillId="9" borderId="0" xfId="0" applyFont="1" applyFill="1" applyAlignment="1">
      <alignment horizontal="right" vertical="center"/>
    </xf>
    <xf numFmtId="169" fontId="2" fillId="9" borderId="0" xfId="0" applyNumberFormat="1" applyFont="1" applyFill="1" applyAlignment="1">
      <alignment vertical="center"/>
    </xf>
    <xf numFmtId="0" fontId="2" fillId="9" borderId="29" xfId="0" applyFont="1" applyFill="1" applyBorder="1" applyAlignment="1">
      <alignment vertical="center"/>
    </xf>
    <xf numFmtId="1" fontId="2" fillId="9" borderId="0" xfId="0" applyNumberFormat="1" applyFont="1" applyFill="1" applyAlignment="1">
      <alignment vertical="center"/>
    </xf>
    <xf numFmtId="0" fontId="2" fillId="9" borderId="30" xfId="0" applyFont="1" applyFill="1" applyBorder="1" applyAlignment="1">
      <alignment vertical="center"/>
    </xf>
    <xf numFmtId="0" fontId="2" fillId="9" borderId="31" xfId="0" applyFont="1" applyFill="1" applyBorder="1" applyAlignment="1">
      <alignment vertical="center"/>
    </xf>
    <xf numFmtId="0" fontId="2" fillId="9" borderId="31" xfId="0" applyFont="1" applyFill="1" applyBorder="1" applyAlignment="1">
      <alignment horizontal="right" vertical="center"/>
    </xf>
    <xf numFmtId="0" fontId="2" fillId="9" borderId="32" xfId="0" applyFont="1" applyFill="1" applyBorder="1" applyAlignment="1">
      <alignment vertical="center"/>
    </xf>
    <xf numFmtId="0" fontId="2" fillId="9" borderId="43" xfId="0" applyFont="1" applyFill="1" applyBorder="1" applyAlignment="1">
      <alignment vertical="center"/>
    </xf>
    <xf numFmtId="0" fontId="2" fillId="9" borderId="2" xfId="0" applyFont="1" applyFill="1" applyBorder="1" applyAlignment="1">
      <alignment vertical="center"/>
    </xf>
    <xf numFmtId="0" fontId="2" fillId="9" borderId="2" xfId="0" applyFont="1" applyFill="1" applyBorder="1" applyAlignment="1">
      <alignment horizontal="right" vertical="center"/>
    </xf>
    <xf numFmtId="0" fontId="3" fillId="9" borderId="3" xfId="0" applyFont="1" applyFill="1" applyBorder="1" applyAlignment="1">
      <alignment vertical="center"/>
    </xf>
    <xf numFmtId="0" fontId="65" fillId="9" borderId="0" xfId="0" applyFont="1" applyFill="1" applyAlignment="1">
      <alignment horizontal="right" vertical="center"/>
    </xf>
    <xf numFmtId="0" fontId="3" fillId="19" borderId="0" xfId="0" applyFont="1" applyFill="1" applyAlignment="1" applyProtection="1">
      <alignment vertical="center"/>
      <protection locked="0"/>
    </xf>
    <xf numFmtId="0" fontId="3" fillId="9" borderId="29" xfId="0" applyFont="1" applyFill="1" applyBorder="1" applyAlignment="1">
      <alignment vertical="center"/>
    </xf>
    <xf numFmtId="1" fontId="3" fillId="19" borderId="0" xfId="0" applyNumberFormat="1" applyFont="1" applyFill="1" applyAlignment="1" applyProtection="1">
      <alignment vertical="center"/>
      <protection locked="0"/>
    </xf>
    <xf numFmtId="0" fontId="65" fillId="16" borderId="2" xfId="0" applyFont="1" applyFill="1" applyBorder="1" applyAlignment="1">
      <alignment horizontal="right" vertical="center"/>
    </xf>
    <xf numFmtId="0" fontId="3" fillId="19" borderId="2" xfId="0" applyFont="1" applyFill="1" applyBorder="1" applyAlignment="1" applyProtection="1">
      <alignment vertical="center"/>
      <protection locked="0"/>
    </xf>
    <xf numFmtId="1" fontId="2" fillId="9" borderId="0" xfId="0" applyNumberFormat="1" applyFont="1" applyFill="1" applyAlignment="1">
      <alignment horizontal="right" vertical="center"/>
    </xf>
    <xf numFmtId="0" fontId="65" fillId="16" borderId="0" xfId="0" applyFont="1" applyFill="1" applyAlignment="1">
      <alignment horizontal="right" vertical="center"/>
    </xf>
    <xf numFmtId="0" fontId="3" fillId="9" borderId="0" xfId="0" applyFont="1" applyFill="1" applyAlignment="1">
      <alignment vertical="center"/>
    </xf>
    <xf numFmtId="0" fontId="3" fillId="9" borderId="0" xfId="0" applyFont="1" applyFill="1" applyAlignment="1">
      <alignment horizontal="right" vertical="center"/>
    </xf>
    <xf numFmtId="0" fontId="2" fillId="9" borderId="45" xfId="0" applyFont="1" applyFill="1" applyBorder="1" applyAlignment="1">
      <alignment horizontal="right" vertical="center"/>
    </xf>
    <xf numFmtId="0" fontId="2" fillId="9" borderId="44" xfId="0" applyFont="1" applyFill="1" applyBorder="1" applyAlignment="1">
      <alignment vertical="center"/>
    </xf>
    <xf numFmtId="0" fontId="2" fillId="9" borderId="45" xfId="0" applyFont="1" applyFill="1" applyBorder="1" applyAlignment="1">
      <alignment vertical="center"/>
    </xf>
    <xf numFmtId="0" fontId="2" fillId="9" borderId="46" xfId="0" applyFont="1" applyFill="1" applyBorder="1" applyAlignment="1">
      <alignment vertical="center"/>
    </xf>
    <xf numFmtId="0" fontId="2" fillId="9" borderId="3" xfId="0" applyFont="1" applyFill="1" applyBorder="1" applyAlignment="1">
      <alignment vertical="center"/>
    </xf>
    <xf numFmtId="1" fontId="65" fillId="19" borderId="0" xfId="0" applyNumberFormat="1" applyFont="1" applyFill="1" applyAlignment="1" applyProtection="1">
      <alignment horizontal="right" vertical="center"/>
      <protection locked="0"/>
    </xf>
    <xf numFmtId="0" fontId="3" fillId="9" borderId="29" xfId="0" applyFont="1" applyFill="1" applyBorder="1" applyAlignment="1">
      <alignment horizontal="left" vertical="center"/>
    </xf>
    <xf numFmtId="0" fontId="65" fillId="19" borderId="0" xfId="0" applyFont="1" applyFill="1" applyAlignment="1" applyProtection="1">
      <alignment vertical="center"/>
      <protection locked="0"/>
    </xf>
    <xf numFmtId="2" fontId="7" fillId="12" borderId="2" xfId="0" applyNumberFormat="1" applyFont="1" applyFill="1" applyBorder="1"/>
    <xf numFmtId="2" fontId="7" fillId="12" borderId="0" xfId="0" applyNumberFormat="1" applyFont="1" applyFill="1"/>
    <xf numFmtId="11" fontId="7" fillId="12" borderId="0" xfId="0" applyNumberFormat="1" applyFont="1" applyFill="1"/>
    <xf numFmtId="0" fontId="0" fillId="0" borderId="41" xfId="0" applyBorder="1"/>
    <xf numFmtId="0" fontId="0" fillId="22" borderId="0" xfId="0" applyFill="1"/>
    <xf numFmtId="0" fontId="2" fillId="0" borderId="0" xfId="0" applyFont="1" applyAlignment="1">
      <alignment horizontal="right"/>
    </xf>
    <xf numFmtId="0" fontId="3" fillId="0" borderId="31" xfId="0" applyFont="1" applyBorder="1" applyAlignment="1">
      <alignment horizontal="right"/>
    </xf>
    <xf numFmtId="0" fontId="3" fillId="0" borderId="0" xfId="0" applyFont="1" applyAlignment="1">
      <alignment horizontal="right"/>
    </xf>
    <xf numFmtId="0" fontId="3" fillId="0" borderId="41" xfId="0" applyFont="1" applyBorder="1"/>
    <xf numFmtId="0" fontId="3" fillId="0" borderId="31" xfId="0" applyFont="1" applyBorder="1"/>
    <xf numFmtId="0" fontId="3" fillId="0" borderId="0" xfId="0" applyFont="1" applyAlignment="1">
      <alignment horizontal="left"/>
    </xf>
    <xf numFmtId="168" fontId="7" fillId="12" borderId="0" xfId="0" applyNumberFormat="1" applyFont="1" applyFill="1"/>
    <xf numFmtId="168" fontId="8" fillId="12" borderId="0" xfId="0" applyNumberFormat="1" applyFont="1" applyFill="1"/>
    <xf numFmtId="0" fontId="3" fillId="19" borderId="2" xfId="0" applyFont="1" applyFill="1" applyBorder="1" applyProtection="1">
      <protection locked="0"/>
    </xf>
    <xf numFmtId="0" fontId="64" fillId="16" borderId="0" xfId="0" applyFont="1" applyFill="1" applyAlignment="1">
      <alignment horizontal="center"/>
    </xf>
    <xf numFmtId="169" fontId="2" fillId="9" borderId="0" xfId="0" applyNumberFormat="1" applyFont="1" applyFill="1"/>
    <xf numFmtId="2" fontId="0" fillId="22" borderId="0" xfId="0" applyNumberFormat="1" applyFill="1"/>
    <xf numFmtId="1" fontId="0" fillId="12" borderId="0" xfId="0" applyNumberFormat="1" applyFill="1"/>
    <xf numFmtId="167" fontId="0" fillId="22" borderId="0" xfId="0" applyNumberFormat="1" applyFill="1"/>
    <xf numFmtId="167" fontId="0" fillId="12" borderId="0" xfId="0" applyNumberFormat="1" applyFill="1"/>
    <xf numFmtId="1" fontId="0" fillId="0" borderId="0" xfId="0" applyNumberFormat="1"/>
    <xf numFmtId="1" fontId="0" fillId="24" borderId="0" xfId="0" applyNumberFormat="1" applyFill="1"/>
    <xf numFmtId="167" fontId="0" fillId="0" borderId="0" xfId="0" applyNumberFormat="1"/>
    <xf numFmtId="169" fontId="0" fillId="22" borderId="0" xfId="0" applyNumberFormat="1" applyFill="1"/>
    <xf numFmtId="0" fontId="2" fillId="0" borderId="41" xfId="0" applyFont="1" applyBorder="1"/>
    <xf numFmtId="0" fontId="2" fillId="0" borderId="30" xfId="0" applyFont="1" applyBorder="1"/>
    <xf numFmtId="0" fontId="7" fillId="0" borderId="31" xfId="0" applyFont="1" applyBorder="1"/>
    <xf numFmtId="0" fontId="3" fillId="0" borderId="54" xfId="0" applyFont="1" applyBorder="1"/>
    <xf numFmtId="0" fontId="0" fillId="24" borderId="0" xfId="0" applyFill="1"/>
    <xf numFmtId="0" fontId="15" fillId="0" borderId="34" xfId="0" applyFont="1" applyBorder="1"/>
    <xf numFmtId="0" fontId="2" fillId="0" borderId="0" xfId="3"/>
    <xf numFmtId="0" fontId="2" fillId="0" borderId="18" xfId="3" applyBorder="1" applyAlignment="1">
      <alignment horizontal="left"/>
    </xf>
    <xf numFmtId="0" fontId="2" fillId="0" borderId="11" xfId="3" applyBorder="1"/>
    <xf numFmtId="0" fontId="2" fillId="0" borderId="58" xfId="3" applyBorder="1"/>
    <xf numFmtId="0" fontId="2" fillId="0" borderId="18" xfId="3" applyBorder="1"/>
    <xf numFmtId="1" fontId="2" fillId="0" borderId="11" xfId="3" applyNumberFormat="1" applyBorder="1"/>
    <xf numFmtId="0" fontId="2" fillId="0" borderId="15" xfId="3" applyBorder="1"/>
    <xf numFmtId="0" fontId="2" fillId="8" borderId="18" xfId="3" applyFill="1" applyBorder="1"/>
    <xf numFmtId="0" fontId="2" fillId="8" borderId="11" xfId="3" applyFill="1" applyBorder="1"/>
    <xf numFmtId="0" fontId="2" fillId="8" borderId="58" xfId="3" applyFill="1" applyBorder="1"/>
    <xf numFmtId="169" fontId="2" fillId="0" borderId="11" xfId="3" applyNumberFormat="1" applyBorder="1"/>
    <xf numFmtId="0" fontId="7" fillId="0" borderId="5" xfId="3" applyFont="1" applyBorder="1" applyAlignment="1">
      <alignment horizontal="center"/>
    </xf>
    <xf numFmtId="0" fontId="7" fillId="0" borderId="6" xfId="3" applyFont="1" applyBorder="1" applyAlignment="1">
      <alignment horizontal="center"/>
    </xf>
    <xf numFmtId="0" fontId="7" fillId="0" borderId="7" xfId="3" applyFont="1" applyBorder="1" applyAlignment="1">
      <alignment horizontal="center"/>
    </xf>
    <xf numFmtId="0" fontId="7" fillId="0" borderId="0" xfId="3" applyFont="1" applyAlignment="1">
      <alignment horizontal="center"/>
    </xf>
    <xf numFmtId="0" fontId="7" fillId="0" borderId="18" xfId="3" applyFont="1" applyBorder="1"/>
    <xf numFmtId="0" fontId="7" fillId="0" borderId="58" xfId="3" applyFont="1" applyBorder="1"/>
    <xf numFmtId="0" fontId="2" fillId="0" borderId="66" xfId="3" applyBorder="1" applyAlignment="1">
      <alignment horizontal="center"/>
    </xf>
    <xf numFmtId="167" fontId="2" fillId="0" borderId="67" xfId="3" applyNumberFormat="1" applyBorder="1" applyAlignment="1">
      <alignment horizontal="center"/>
    </xf>
    <xf numFmtId="167" fontId="2" fillId="0" borderId="12" xfId="3" applyNumberFormat="1" applyBorder="1" applyAlignment="1">
      <alignment horizontal="center"/>
    </xf>
    <xf numFmtId="167" fontId="2" fillId="0" borderId="68" xfId="3" applyNumberFormat="1" applyBorder="1" applyAlignment="1">
      <alignment horizontal="center"/>
    </xf>
    <xf numFmtId="167" fontId="2" fillId="0" borderId="69" xfId="3" applyNumberFormat="1" applyBorder="1" applyAlignment="1">
      <alignment horizontal="center"/>
    </xf>
    <xf numFmtId="165" fontId="2" fillId="0" borderId="67" xfId="3" applyNumberFormat="1" applyBorder="1" applyAlignment="1">
      <alignment horizontal="center"/>
    </xf>
    <xf numFmtId="165" fontId="2" fillId="0" borderId="68" xfId="3" applyNumberFormat="1" applyBorder="1" applyAlignment="1">
      <alignment horizontal="center"/>
    </xf>
    <xf numFmtId="2" fontId="2" fillId="0" borderId="67" xfId="3" applyNumberFormat="1" applyBorder="1" applyAlignment="1">
      <alignment horizontal="center"/>
    </xf>
    <xf numFmtId="2" fontId="2" fillId="0" borderId="12" xfId="3" applyNumberFormat="1" applyBorder="1" applyAlignment="1">
      <alignment horizontal="center"/>
    </xf>
    <xf numFmtId="2" fontId="2" fillId="0" borderId="18" xfId="3" applyNumberFormat="1" applyBorder="1" applyAlignment="1">
      <alignment horizontal="center"/>
    </xf>
    <xf numFmtId="2" fontId="2" fillId="0" borderId="58" xfId="3" applyNumberFormat="1" applyBorder="1" applyAlignment="1">
      <alignment horizontal="center"/>
    </xf>
    <xf numFmtId="0" fontId="2" fillId="0" borderId="63" xfId="3" applyBorder="1" applyAlignment="1">
      <alignment horizontal="center"/>
    </xf>
    <xf numFmtId="167" fontId="2" fillId="0" borderId="11" xfId="3" applyNumberFormat="1" applyBorder="1" applyAlignment="1">
      <alignment horizontal="center"/>
    </xf>
    <xf numFmtId="167" fontId="2" fillId="0" borderId="58" xfId="3" applyNumberFormat="1" applyBorder="1" applyAlignment="1">
      <alignment horizontal="center"/>
    </xf>
    <xf numFmtId="0" fontId="2" fillId="0" borderId="0" xfId="3" applyAlignment="1">
      <alignment horizontal="center"/>
    </xf>
    <xf numFmtId="167" fontId="2" fillId="0" borderId="0" xfId="3" applyNumberFormat="1" applyAlignment="1">
      <alignment horizontal="center"/>
    </xf>
    <xf numFmtId="165" fontId="2" fillId="0" borderId="0" xfId="3" applyNumberFormat="1" applyAlignment="1">
      <alignment horizontal="center"/>
    </xf>
    <xf numFmtId="2" fontId="2" fillId="0" borderId="0" xfId="3" applyNumberFormat="1" applyAlignment="1">
      <alignment horizontal="center"/>
    </xf>
    <xf numFmtId="0" fontId="2" fillId="0" borderId="0" xfId="3" applyAlignment="1">
      <alignment horizontal="right"/>
    </xf>
    <xf numFmtId="167" fontId="2" fillId="0" borderId="18" xfId="3" applyNumberFormat="1" applyBorder="1" applyAlignment="1">
      <alignment horizontal="center"/>
    </xf>
    <xf numFmtId="167" fontId="2" fillId="0" borderId="8" xfId="3" applyNumberFormat="1" applyBorder="1" applyAlignment="1">
      <alignment horizontal="center"/>
    </xf>
    <xf numFmtId="2" fontId="2" fillId="0" borderId="5" xfId="3" applyNumberFormat="1" applyBorder="1" applyAlignment="1">
      <alignment horizontal="center"/>
    </xf>
    <xf numFmtId="2" fontId="2" fillId="0" borderId="7" xfId="3" applyNumberFormat="1" applyBorder="1" applyAlignment="1">
      <alignment horizontal="center"/>
    </xf>
    <xf numFmtId="2" fontId="2" fillId="0" borderId="0" xfId="3" applyNumberFormat="1"/>
    <xf numFmtId="168" fontId="0" fillId="0" borderId="0" xfId="0" applyNumberFormat="1"/>
    <xf numFmtId="1" fontId="7" fillId="12" borderId="0" xfId="0" applyNumberFormat="1" applyFont="1" applyFill="1"/>
    <xf numFmtId="0" fontId="62" fillId="0" borderId="0" xfId="0" applyFont="1"/>
    <xf numFmtId="0" fontId="2" fillId="4" borderId="70" xfId="3" applyFill="1" applyBorder="1" applyAlignment="1">
      <alignment vertical="center"/>
    </xf>
    <xf numFmtId="0" fontId="2" fillId="0" borderId="71" xfId="3" applyBorder="1" applyAlignment="1">
      <alignment horizontal="center"/>
    </xf>
    <xf numFmtId="2" fontId="2" fillId="0" borderId="11" xfId="3" applyNumberFormat="1" applyBorder="1"/>
    <xf numFmtId="2" fontId="2" fillId="0" borderId="58" xfId="3" applyNumberFormat="1" applyBorder="1"/>
    <xf numFmtId="2" fontId="7" fillId="0" borderId="7" xfId="3" applyNumberFormat="1" applyFont="1" applyBorder="1" applyAlignment="1">
      <alignment horizontal="center"/>
    </xf>
    <xf numFmtId="1" fontId="2" fillId="9" borderId="2" xfId="0" applyNumberFormat="1" applyFont="1" applyFill="1" applyBorder="1" applyAlignment="1">
      <alignment vertical="center"/>
    </xf>
    <xf numFmtId="0" fontId="3" fillId="9" borderId="44" xfId="0" applyFont="1" applyFill="1" applyBorder="1" applyAlignment="1">
      <alignment horizontal="center"/>
    </xf>
    <xf numFmtId="11" fontId="2" fillId="0" borderId="0" xfId="0" applyNumberFormat="1" applyFont="1"/>
    <xf numFmtId="1" fontId="2" fillId="0" borderId="0" xfId="0" applyNumberFormat="1" applyFont="1"/>
    <xf numFmtId="1" fontId="2" fillId="12" borderId="0" xfId="0" applyNumberFormat="1" applyFont="1" applyFill="1"/>
    <xf numFmtId="0" fontId="2" fillId="23" borderId="0" xfId="0" applyFont="1" applyFill="1"/>
    <xf numFmtId="0" fontId="2" fillId="0" borderId="75" xfId="0" applyFont="1" applyBorder="1"/>
    <xf numFmtId="168" fontId="2" fillId="0" borderId="77" xfId="0" applyNumberFormat="1" applyFont="1" applyBorder="1"/>
    <xf numFmtId="11" fontId="7" fillId="0" borderId="77" xfId="0" applyNumberFormat="1" applyFont="1" applyBorder="1"/>
    <xf numFmtId="0" fontId="72" fillId="0" borderId="77" xfId="0" applyFont="1" applyBorder="1"/>
    <xf numFmtId="1" fontId="62" fillId="0" borderId="0" xfId="0" applyNumberFormat="1" applyFont="1"/>
    <xf numFmtId="0" fontId="80" fillId="0" borderId="0" xfId="0" applyFont="1"/>
    <xf numFmtId="168" fontId="62" fillId="0" borderId="0" xfId="0" applyNumberFormat="1" applyFont="1"/>
    <xf numFmtId="0" fontId="3" fillId="0" borderId="30" xfId="0" applyFont="1" applyBorder="1"/>
    <xf numFmtId="166" fontId="3" fillId="0" borderId="0" xfId="0" applyNumberFormat="1" applyFont="1"/>
    <xf numFmtId="11" fontId="3" fillId="0" borderId="0" xfId="0" applyNumberFormat="1" applyFont="1"/>
    <xf numFmtId="0" fontId="0" fillId="0" borderId="45" xfId="0" applyBorder="1"/>
    <xf numFmtId="1" fontId="2" fillId="22" borderId="0" xfId="0" applyNumberFormat="1" applyFont="1" applyFill="1"/>
    <xf numFmtId="1" fontId="65" fillId="0" borderId="0" xfId="0" applyNumberFormat="1" applyFont="1"/>
    <xf numFmtId="0" fontId="65" fillId="0" borderId="0" xfId="0" applyFont="1"/>
    <xf numFmtId="0" fontId="72" fillId="0" borderId="58" xfId="3" applyFont="1" applyBorder="1"/>
    <xf numFmtId="168" fontId="0" fillId="12" borderId="0" xfId="0" applyNumberFormat="1" applyFill="1"/>
    <xf numFmtId="167" fontId="7" fillId="12" borderId="0" xfId="0" applyNumberFormat="1" applyFont="1" applyFill="1"/>
    <xf numFmtId="11" fontId="0" fillId="22" borderId="0" xfId="0" applyNumberFormat="1" applyFill="1" applyAlignment="1">
      <alignment horizontal="right"/>
    </xf>
    <xf numFmtId="0" fontId="0" fillId="24" borderId="0" xfId="0" applyFill="1" applyAlignment="1">
      <alignment horizontal="right"/>
    </xf>
    <xf numFmtId="168" fontId="30" fillId="22" borderId="0" xfId="0" applyNumberFormat="1" applyFont="1" applyFill="1"/>
    <xf numFmtId="167" fontId="30" fillId="22" borderId="34" xfId="0" applyNumberFormat="1" applyFont="1" applyFill="1" applyBorder="1"/>
    <xf numFmtId="168" fontId="2" fillId="0" borderId="0" xfId="0" applyNumberFormat="1" applyFont="1"/>
    <xf numFmtId="0" fontId="2" fillId="0" borderId="24" xfId="3" applyBorder="1" applyAlignment="1">
      <alignment horizontal="left"/>
    </xf>
    <xf numFmtId="0" fontId="2" fillId="0" borderId="45" xfId="3" applyBorder="1"/>
    <xf numFmtId="0" fontId="2" fillId="0" borderId="46" xfId="3" applyBorder="1"/>
    <xf numFmtId="168" fontId="2" fillId="0" borderId="45" xfId="3" applyNumberFormat="1" applyBorder="1"/>
    <xf numFmtId="0" fontId="2" fillId="8" borderId="15" xfId="3" applyFill="1" applyBorder="1"/>
    <xf numFmtId="0" fontId="3" fillId="0" borderId="55" xfId="3" applyFont="1" applyBorder="1" applyAlignment="1">
      <alignment horizontal="center"/>
    </xf>
    <xf numFmtId="11" fontId="2" fillId="0" borderId="11" xfId="3" applyNumberFormat="1" applyBorder="1"/>
    <xf numFmtId="1" fontId="2" fillId="0" borderId="45" xfId="3" applyNumberFormat="1" applyBorder="1"/>
    <xf numFmtId="168" fontId="2" fillId="0" borderId="11" xfId="3" applyNumberFormat="1" applyBorder="1"/>
    <xf numFmtId="0" fontId="2" fillId="0" borderId="0" xfId="3" applyAlignment="1">
      <alignment horizontal="left"/>
    </xf>
    <xf numFmtId="1" fontId="2" fillId="0" borderId="0" xfId="3" applyNumberFormat="1"/>
    <xf numFmtId="168" fontId="2" fillId="0" borderId="0" xfId="3" applyNumberFormat="1"/>
    <xf numFmtId="0" fontId="0" fillId="23" borderId="0" xfId="0" applyFill="1"/>
    <xf numFmtId="185" fontId="8" fillId="12" borderId="0" xfId="0" applyNumberFormat="1" applyFont="1" applyFill="1"/>
    <xf numFmtId="2" fontId="2" fillId="0" borderId="0" xfId="0" applyNumberFormat="1" applyFont="1"/>
    <xf numFmtId="168" fontId="3" fillId="0" borderId="0" xfId="0" applyNumberFormat="1" applyFont="1" applyAlignment="1">
      <alignment horizontal="right"/>
    </xf>
    <xf numFmtId="1" fontId="2" fillId="24" borderId="0" xfId="0" applyNumberFormat="1" applyFont="1" applyFill="1"/>
    <xf numFmtId="0" fontId="2" fillId="24" borderId="0" xfId="0" applyFont="1" applyFill="1"/>
    <xf numFmtId="167" fontId="2" fillId="22" borderId="31" xfId="0" applyNumberFormat="1" applyFont="1" applyFill="1" applyBorder="1"/>
    <xf numFmtId="0" fontId="2" fillId="0" borderId="8" xfId="3" applyBorder="1"/>
    <xf numFmtId="169" fontId="2" fillId="0" borderId="8" xfId="3" applyNumberFormat="1" applyBorder="1"/>
    <xf numFmtId="0" fontId="3" fillId="0" borderId="57" xfId="3" applyFont="1" applyBorder="1" applyAlignment="1">
      <alignment horizontal="center"/>
    </xf>
    <xf numFmtId="0" fontId="2" fillId="8" borderId="64" xfId="3" applyFill="1" applyBorder="1"/>
    <xf numFmtId="168" fontId="2" fillId="0" borderId="44" xfId="3" applyNumberFormat="1" applyBorder="1"/>
    <xf numFmtId="165" fontId="2" fillId="0" borderId="58" xfId="3" applyNumberFormat="1" applyBorder="1" applyAlignment="1">
      <alignment horizontal="center"/>
    </xf>
    <xf numFmtId="168" fontId="65" fillId="0" borderId="0" xfId="0" applyNumberFormat="1" applyFont="1"/>
    <xf numFmtId="186" fontId="3" fillId="12" borderId="0" xfId="0" applyNumberFormat="1" applyFont="1" applyFill="1"/>
    <xf numFmtId="186" fontId="2" fillId="4" borderId="0" xfId="0" applyNumberFormat="1" applyFont="1" applyFill="1"/>
    <xf numFmtId="186" fontId="30" fillId="4" borderId="0" xfId="0" applyNumberFormat="1" applyFont="1" applyFill="1"/>
    <xf numFmtId="186" fontId="0" fillId="12" borderId="0" xfId="0" applyNumberFormat="1" applyFill="1"/>
    <xf numFmtId="186" fontId="0" fillId="4" borderId="31" xfId="0" applyNumberFormat="1" applyFill="1" applyBorder="1"/>
    <xf numFmtId="0" fontId="2" fillId="0" borderId="8" xfId="3" applyBorder="1" applyAlignment="1">
      <alignment horizontal="left"/>
    </xf>
    <xf numFmtId="2" fontId="2" fillId="0" borderId="59" xfId="3" applyNumberFormat="1" applyBorder="1" applyAlignment="1">
      <alignment horizontal="center"/>
    </xf>
    <xf numFmtId="1" fontId="2" fillId="0" borderId="0" xfId="3" applyNumberFormat="1" applyAlignment="1">
      <alignment horizontal="right"/>
    </xf>
    <xf numFmtId="168" fontId="2" fillId="8" borderId="11" xfId="3" applyNumberFormat="1" applyFill="1" applyBorder="1"/>
    <xf numFmtId="0" fontId="2" fillId="9" borderId="76" xfId="0" applyFont="1" applyFill="1" applyBorder="1" applyAlignment="1">
      <alignment horizontal="left"/>
    </xf>
    <xf numFmtId="169" fontId="2" fillId="9" borderId="28" xfId="0" applyNumberFormat="1" applyFont="1" applyFill="1" applyBorder="1" applyAlignment="1">
      <alignment horizontal="right"/>
    </xf>
    <xf numFmtId="0" fontId="2" fillId="9" borderId="29" xfId="0" applyFont="1" applyFill="1" applyBorder="1" applyAlignment="1">
      <alignment horizontal="left"/>
    </xf>
    <xf numFmtId="0" fontId="2" fillId="9" borderId="46" xfId="0" applyFont="1" applyFill="1" applyBorder="1" applyAlignment="1">
      <alignment horizontal="left"/>
    </xf>
    <xf numFmtId="169" fontId="2" fillId="22" borderId="0" xfId="0" applyNumberFormat="1" applyFont="1" applyFill="1"/>
    <xf numFmtId="1" fontId="2" fillId="9" borderId="44" xfId="0" applyNumberFormat="1" applyFont="1" applyFill="1" applyBorder="1" applyAlignment="1">
      <alignment horizontal="right"/>
    </xf>
    <xf numFmtId="187" fontId="2" fillId="21" borderId="11" xfId="3" applyNumberFormat="1" applyFill="1" applyBorder="1" applyAlignment="1">
      <alignment horizontal="center" vertical="center"/>
    </xf>
    <xf numFmtId="173" fontId="2" fillId="21" borderId="11" xfId="3" applyNumberFormat="1" applyFill="1" applyBorder="1" applyAlignment="1">
      <alignment horizontal="center" vertical="center"/>
    </xf>
    <xf numFmtId="0" fontId="2" fillId="21" borderId="15" xfId="3" applyFill="1" applyBorder="1" applyAlignment="1">
      <alignment horizontal="left" vertical="center"/>
    </xf>
    <xf numFmtId="0" fontId="2" fillId="0" borderId="11" xfId="0" applyFont="1" applyBorder="1"/>
    <xf numFmtId="0" fontId="2" fillId="0" borderId="15" xfId="0" applyFont="1" applyBorder="1"/>
    <xf numFmtId="0" fontId="2" fillId="0" borderId="16" xfId="0" applyFont="1" applyBorder="1"/>
    <xf numFmtId="0" fontId="2" fillId="0" borderId="17" xfId="0" applyFont="1" applyBorder="1"/>
    <xf numFmtId="0" fontId="72" fillId="0" borderId="11" xfId="0" applyFont="1" applyBorder="1"/>
    <xf numFmtId="0" fontId="2" fillId="0" borderId="13" xfId="0" applyFont="1" applyBorder="1"/>
    <xf numFmtId="0" fontId="2" fillId="4" borderId="11" xfId="0" applyFont="1" applyFill="1" applyBorder="1"/>
    <xf numFmtId="2" fontId="0" fillId="2" borderId="0" xfId="0" applyNumberFormat="1" applyFill="1"/>
    <xf numFmtId="0" fontId="2" fillId="6" borderId="11" xfId="0" applyFont="1" applyFill="1" applyBorder="1"/>
    <xf numFmtId="167" fontId="15" fillId="7" borderId="0" xfId="0" applyNumberFormat="1" applyFont="1" applyFill="1"/>
    <xf numFmtId="2" fontId="15" fillId="7" borderId="0" xfId="0" applyNumberFormat="1" applyFont="1" applyFill="1"/>
    <xf numFmtId="0" fontId="3" fillId="2" borderId="5"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3" fillId="7" borderId="7" xfId="0" applyFont="1" applyFill="1" applyBorder="1" applyAlignment="1">
      <alignment horizontal="center" vertical="center" wrapText="1"/>
    </xf>
    <xf numFmtId="170" fontId="3" fillId="2" borderId="6" xfId="0" applyNumberFormat="1" applyFont="1" applyFill="1" applyBorder="1" applyAlignment="1">
      <alignment horizontal="center" vertical="center" wrapText="1"/>
    </xf>
    <xf numFmtId="0" fontId="3" fillId="2" borderId="21" xfId="0" applyFont="1" applyFill="1" applyBorder="1" applyAlignment="1">
      <alignment horizontal="center" vertical="center" wrapText="1"/>
    </xf>
    <xf numFmtId="0" fontId="3" fillId="7" borderId="22" xfId="0" applyFont="1" applyFill="1" applyBorder="1" applyAlignment="1">
      <alignment horizontal="center" vertical="center" wrapText="1"/>
    </xf>
    <xf numFmtId="0" fontId="3" fillId="2" borderId="24" xfId="0" applyFont="1" applyFill="1" applyBorder="1" applyAlignment="1">
      <alignment horizontal="center" vertical="center" wrapText="1"/>
    </xf>
    <xf numFmtId="0" fontId="3" fillId="2" borderId="25" xfId="0" applyFont="1" applyFill="1" applyBorder="1" applyAlignment="1">
      <alignment horizontal="center" vertical="center" wrapText="1"/>
    </xf>
    <xf numFmtId="0" fontId="3" fillId="2" borderId="26" xfId="0" applyFont="1" applyFill="1" applyBorder="1" applyAlignment="1">
      <alignment horizontal="center" vertical="center" wrapText="1"/>
    </xf>
    <xf numFmtId="0" fontId="3" fillId="7" borderId="27" xfId="0" applyFont="1" applyFill="1" applyBorder="1" applyAlignment="1">
      <alignment horizontal="center" vertical="center" wrapText="1"/>
    </xf>
    <xf numFmtId="0" fontId="3" fillId="14" borderId="5" xfId="0" applyFont="1" applyFill="1" applyBorder="1" applyAlignment="1">
      <alignment horizontal="center" vertical="center" wrapText="1"/>
    </xf>
    <xf numFmtId="2" fontId="3" fillId="14" borderId="6" xfId="0" applyNumberFormat="1" applyFont="1" applyFill="1" applyBorder="1" applyAlignment="1">
      <alignment horizontal="center" vertical="center" wrapText="1"/>
    </xf>
    <xf numFmtId="168" fontId="3" fillId="2" borderId="6" xfId="0" applyNumberFormat="1" applyFont="1" applyFill="1" applyBorder="1" applyAlignment="1">
      <alignment horizontal="center" vertical="center" wrapText="1"/>
    </xf>
    <xf numFmtId="167" fontId="3" fillId="2" borderId="5" xfId="0" applyNumberFormat="1" applyFont="1" applyFill="1" applyBorder="1" applyAlignment="1">
      <alignment horizontal="center" vertical="center" wrapText="1"/>
    </xf>
    <xf numFmtId="167" fontId="3" fillId="2" borderId="6" xfId="0" applyNumberFormat="1" applyFont="1" applyFill="1" applyBorder="1" applyAlignment="1">
      <alignment horizontal="center" vertical="center" wrapText="1"/>
    </xf>
    <xf numFmtId="0" fontId="3" fillId="4" borderId="3" xfId="0" applyFont="1" applyFill="1" applyBorder="1" applyAlignment="1">
      <alignment horizontal="center"/>
    </xf>
    <xf numFmtId="0" fontId="3" fillId="4" borderId="2" xfId="0" applyFont="1" applyFill="1" applyBorder="1" applyAlignment="1">
      <alignment horizontal="center"/>
    </xf>
    <xf numFmtId="167" fontId="3" fillId="4" borderId="2" xfId="0" applyNumberFormat="1" applyFont="1" applyFill="1" applyBorder="1" applyAlignment="1">
      <alignment horizontal="center"/>
    </xf>
    <xf numFmtId="167" fontId="3" fillId="7" borderId="23" xfId="0" applyNumberFormat="1" applyFont="1" applyFill="1" applyBorder="1" applyAlignment="1">
      <alignment horizontal="center" vertical="center" wrapText="1"/>
    </xf>
    <xf numFmtId="0" fontId="62" fillId="19" borderId="23" xfId="0" applyFont="1" applyFill="1" applyBorder="1" applyAlignment="1">
      <alignment horizontal="center" vertical="center" wrapText="1"/>
    </xf>
    <xf numFmtId="0" fontId="3" fillId="0" borderId="0" xfId="0" applyFont="1" applyProtection="1">
      <protection locked="0"/>
    </xf>
    <xf numFmtId="0" fontId="3" fillId="9" borderId="77" xfId="0" applyFont="1" applyFill="1" applyBorder="1"/>
    <xf numFmtId="0" fontId="2" fillId="9" borderId="77" xfId="0" applyFont="1" applyFill="1" applyBorder="1"/>
    <xf numFmtId="0" fontId="2" fillId="9" borderId="76" xfId="0" applyFont="1" applyFill="1" applyBorder="1"/>
    <xf numFmtId="0" fontId="79" fillId="9" borderId="28" xfId="0" applyFont="1" applyFill="1" applyBorder="1"/>
    <xf numFmtId="0" fontId="15" fillId="0" borderId="39" xfId="0" applyFont="1" applyBorder="1"/>
    <xf numFmtId="2" fontId="15" fillId="4" borderId="0" xfId="0" applyNumberFormat="1" applyFont="1" applyFill="1" applyAlignment="1">
      <alignment horizontal="right"/>
    </xf>
    <xf numFmtId="2" fontId="30" fillId="22" borderId="0" xfId="0" applyNumberFormat="1" applyFont="1" applyFill="1" applyAlignment="1">
      <alignment horizontal="right"/>
    </xf>
    <xf numFmtId="167" fontId="3" fillId="12" borderId="0" xfId="0" applyNumberFormat="1" applyFont="1" applyFill="1"/>
    <xf numFmtId="168" fontId="8" fillId="0" borderId="0" xfId="0" applyNumberFormat="1" applyFont="1"/>
    <xf numFmtId="168" fontId="0" fillId="13" borderId="0" xfId="0" applyNumberFormat="1" applyFill="1"/>
    <xf numFmtId="0" fontId="17" fillId="16" borderId="28" xfId="0" applyFont="1" applyFill="1" applyBorder="1"/>
    <xf numFmtId="0" fontId="2" fillId="9" borderId="0" xfId="0" applyFont="1" applyFill="1" applyAlignment="1">
      <alignment horizontal="right" vertical="top"/>
    </xf>
    <xf numFmtId="169" fontId="2" fillId="9" borderId="0" xfId="0" applyNumberFormat="1" applyFont="1" applyFill="1" applyAlignment="1">
      <alignment horizontal="left" vertical="center"/>
    </xf>
    <xf numFmtId="0" fontId="67" fillId="9" borderId="77" xfId="0" applyFont="1" applyFill="1" applyBorder="1" applyAlignment="1">
      <alignment horizontal="left"/>
    </xf>
    <xf numFmtId="0" fontId="3" fillId="4" borderId="0" xfId="0" applyFont="1" applyFill="1"/>
    <xf numFmtId="0" fontId="73" fillId="3" borderId="49" xfId="3" applyFont="1" applyFill="1" applyBorder="1" applyAlignment="1">
      <alignment horizontal="center" vertical="center"/>
    </xf>
    <xf numFmtId="0" fontId="73" fillId="3" borderId="50" xfId="3" applyFont="1" applyFill="1" applyBorder="1" applyAlignment="1">
      <alignment horizontal="center" vertical="center"/>
    </xf>
    <xf numFmtId="0" fontId="73" fillId="3" borderId="50" xfId="3" applyFont="1" applyFill="1" applyBorder="1" applyAlignment="1">
      <alignment horizontal="left" vertical="center"/>
    </xf>
    <xf numFmtId="0" fontId="2" fillId="9" borderId="0" xfId="0" applyFont="1" applyFill="1" applyAlignment="1">
      <alignment horizontal="left" vertical="top"/>
    </xf>
    <xf numFmtId="0" fontId="2" fillId="9" borderId="0" xfId="0" applyFont="1" applyFill="1" applyAlignment="1">
      <alignment horizontal="right" vertical="top" readingOrder="1"/>
    </xf>
    <xf numFmtId="169" fontId="0" fillId="0" borderId="0" xfId="0" applyNumberFormat="1" applyAlignment="1">
      <alignment horizontal="left"/>
    </xf>
    <xf numFmtId="0" fontId="67" fillId="0" borderId="0" xfId="0" applyFont="1"/>
    <xf numFmtId="168" fontId="3" fillId="9" borderId="0" xfId="0" applyNumberFormat="1" applyFont="1" applyFill="1" applyAlignment="1">
      <alignment horizontal="center"/>
    </xf>
    <xf numFmtId="0" fontId="3" fillId="5" borderId="69" xfId="0" applyFont="1" applyFill="1" applyBorder="1"/>
    <xf numFmtId="0" fontId="20" fillId="25" borderId="43" xfId="0" applyFont="1" applyFill="1" applyBorder="1"/>
    <xf numFmtId="0" fontId="20" fillId="25" borderId="41" xfId="0" applyFont="1" applyFill="1" applyBorder="1"/>
    <xf numFmtId="0" fontId="17" fillId="25" borderId="41" xfId="0" applyFont="1" applyFill="1" applyBorder="1"/>
    <xf numFmtId="172" fontId="17" fillId="25" borderId="0" xfId="0" applyNumberFormat="1" applyFont="1" applyFill="1" applyAlignment="1">
      <alignment horizontal="center"/>
    </xf>
    <xf numFmtId="0" fontId="17" fillId="25" borderId="0" xfId="0" applyFont="1" applyFill="1"/>
    <xf numFmtId="172" fontId="69" fillId="25" borderId="0" xfId="0" applyNumberFormat="1" applyFont="1" applyFill="1" applyAlignment="1">
      <alignment horizontal="center"/>
    </xf>
    <xf numFmtId="172" fontId="25" fillId="25" borderId="0" xfId="0" applyNumberFormat="1" applyFont="1" applyFill="1" applyAlignment="1">
      <alignment horizontal="center"/>
    </xf>
    <xf numFmtId="0" fontId="26" fillId="25" borderId="28" xfId="0" applyFont="1" applyFill="1" applyBorder="1" applyAlignment="1">
      <alignment horizontal="left"/>
    </xf>
    <xf numFmtId="0" fontId="26" fillId="25" borderId="0" xfId="0" applyFont="1" applyFill="1" applyAlignment="1">
      <alignment horizontal="left"/>
    </xf>
    <xf numFmtId="0" fontId="24" fillId="25" borderId="28" xfId="0" applyFont="1" applyFill="1" applyBorder="1" applyAlignment="1">
      <alignment horizontal="left" vertical="center"/>
    </xf>
    <xf numFmtId="0" fontId="24" fillId="25" borderId="0" xfId="0" applyFont="1" applyFill="1" applyAlignment="1">
      <alignment horizontal="left" vertical="center"/>
    </xf>
    <xf numFmtId="0" fontId="71" fillId="25" borderId="0" xfId="0" applyFont="1" applyFill="1" applyAlignment="1">
      <alignment horizontal="left" vertical="center"/>
    </xf>
    <xf numFmtId="0" fontId="31" fillId="25" borderId="30" xfId="0" applyFont="1" applyFill="1" applyBorder="1"/>
    <xf numFmtId="0" fontId="31" fillId="25" borderId="31" xfId="0" applyFont="1" applyFill="1" applyBorder="1"/>
    <xf numFmtId="0" fontId="20" fillId="25" borderId="31" xfId="0" applyFont="1" applyFill="1" applyBorder="1"/>
    <xf numFmtId="0" fontId="24" fillId="25" borderId="0" xfId="0" quotePrefix="1" applyFont="1" applyFill="1" applyAlignment="1">
      <alignment vertical="center"/>
    </xf>
    <xf numFmtId="0" fontId="20" fillId="25" borderId="0" xfId="0" applyFont="1" applyFill="1" applyAlignment="1">
      <alignment vertical="center"/>
    </xf>
    <xf numFmtId="0" fontId="29" fillId="25" borderId="0" xfId="0" applyFont="1" applyFill="1" applyAlignment="1">
      <alignment vertical="center"/>
    </xf>
    <xf numFmtId="0" fontId="29" fillId="25" borderId="0" xfId="0" applyFont="1" applyFill="1"/>
    <xf numFmtId="0" fontId="27" fillId="25" borderId="31" xfId="0" applyFont="1" applyFill="1" applyBorder="1"/>
    <xf numFmtId="0" fontId="27" fillId="25" borderId="45" xfId="0" applyFont="1" applyFill="1" applyBorder="1"/>
    <xf numFmtId="0" fontId="83" fillId="25" borderId="0" xfId="2" applyFont="1" applyFill="1" applyBorder="1" applyAlignment="1" applyProtection="1">
      <alignment horizontal="left" vertical="center"/>
    </xf>
    <xf numFmtId="0" fontId="83" fillId="25" borderId="0" xfId="2" applyFont="1" applyFill="1" applyAlignment="1" applyProtection="1"/>
    <xf numFmtId="1" fontId="2" fillId="9" borderId="75" xfId="0" applyNumberFormat="1" applyFont="1" applyFill="1" applyBorder="1" applyAlignment="1">
      <alignment horizontal="right"/>
    </xf>
    <xf numFmtId="168" fontId="0" fillId="22" borderId="0" xfId="0" applyNumberFormat="1" applyFill="1"/>
    <xf numFmtId="2" fontId="8" fillId="12" borderId="0" xfId="0" applyNumberFormat="1" applyFont="1" applyFill="1"/>
    <xf numFmtId="169" fontId="15" fillId="4" borderId="0" xfId="0" applyNumberFormat="1" applyFont="1" applyFill="1" applyAlignment="1">
      <alignment horizontal="right"/>
    </xf>
    <xf numFmtId="186" fontId="3" fillId="0" borderId="0" xfId="0" applyNumberFormat="1" applyFont="1"/>
    <xf numFmtId="2" fontId="30" fillId="0" borderId="0" xfId="0" applyNumberFormat="1" applyFont="1"/>
    <xf numFmtId="0" fontId="74" fillId="0" borderId="0" xfId="0" applyFont="1"/>
    <xf numFmtId="169" fontId="2" fillId="9" borderId="0" xfId="0" applyNumberFormat="1" applyFont="1" applyFill="1" applyAlignment="1">
      <alignment horizontal="right"/>
    </xf>
    <xf numFmtId="169" fontId="2" fillId="9" borderId="0" xfId="0" applyNumberFormat="1" applyFont="1" applyFill="1" applyAlignment="1">
      <alignment horizontal="right" vertical="center"/>
    </xf>
    <xf numFmtId="11" fontId="64" fillId="22" borderId="0" xfId="0" applyNumberFormat="1" applyFont="1" applyFill="1"/>
    <xf numFmtId="0" fontId="64" fillId="9" borderId="0" xfId="0" applyFont="1" applyFill="1" applyAlignment="1">
      <alignment horizontal="right"/>
    </xf>
    <xf numFmtId="2" fontId="2" fillId="16" borderId="0" xfId="0" applyNumberFormat="1" applyFont="1" applyFill="1"/>
    <xf numFmtId="11" fontId="30" fillId="22" borderId="0" xfId="0" applyNumberFormat="1" applyFont="1" applyFill="1" applyAlignment="1">
      <alignment horizontal="right"/>
    </xf>
    <xf numFmtId="11" fontId="0" fillId="22" borderId="0" xfId="0" applyNumberFormat="1" applyFill="1"/>
    <xf numFmtId="168" fontId="30" fillId="0" borderId="0" xfId="0" applyNumberFormat="1" applyFont="1"/>
    <xf numFmtId="0" fontId="74" fillId="0" borderId="0" xfId="0" applyFont="1" applyAlignment="1">
      <alignment horizontal="left"/>
    </xf>
    <xf numFmtId="0" fontId="62" fillId="0" borderId="0" xfId="0" applyFont="1" applyAlignment="1">
      <alignment horizontal="right"/>
    </xf>
    <xf numFmtId="0" fontId="62" fillId="0" borderId="0" xfId="0" applyFont="1" applyAlignment="1">
      <alignment horizontal="left"/>
    </xf>
    <xf numFmtId="0" fontId="0" fillId="16" borderId="0" xfId="0" applyFill="1"/>
    <xf numFmtId="0" fontId="3" fillId="2" borderId="23" xfId="0" applyFont="1" applyFill="1" applyBorder="1" applyAlignment="1">
      <alignment horizontal="center" vertical="center" wrapText="1"/>
    </xf>
    <xf numFmtId="2" fontId="3" fillId="2" borderId="5" xfId="0" applyNumberFormat="1" applyFont="1" applyFill="1" applyBorder="1" applyAlignment="1">
      <alignment horizontal="center" vertical="center" wrapText="1"/>
    </xf>
    <xf numFmtId="2" fontId="3" fillId="2" borderId="7" xfId="0" applyNumberFormat="1" applyFont="1" applyFill="1" applyBorder="1" applyAlignment="1">
      <alignment horizontal="center" vertical="center" wrapText="1"/>
    </xf>
    <xf numFmtId="168" fontId="0" fillId="0" borderId="0" xfId="0" applyNumberFormat="1" applyAlignment="1">
      <alignment horizontal="right"/>
    </xf>
    <xf numFmtId="185" fontId="0" fillId="0" borderId="0" xfId="0" applyNumberFormat="1"/>
    <xf numFmtId="0" fontId="3" fillId="0" borderId="28" xfId="0" applyFont="1" applyBorder="1" applyAlignment="1">
      <alignment horizontal="center"/>
    </xf>
    <xf numFmtId="168" fontId="82" fillId="26" borderId="0" xfId="0" applyNumberFormat="1" applyFont="1" applyFill="1" applyAlignment="1">
      <alignment horizontal="center" vertical="center"/>
    </xf>
    <xf numFmtId="167" fontId="3" fillId="26" borderId="0" xfId="0" applyNumberFormat="1" applyFont="1" applyFill="1" applyAlignment="1">
      <alignment horizontal="center" vertical="center" wrapText="1"/>
    </xf>
    <xf numFmtId="0" fontId="3" fillId="2" borderId="23" xfId="0" applyFont="1" applyFill="1" applyBorder="1" applyAlignment="1">
      <alignment horizontal="center" wrapText="1"/>
    </xf>
    <xf numFmtId="0" fontId="0" fillId="0" borderId="0" xfId="0" applyAlignment="1">
      <alignment horizontal="center"/>
    </xf>
    <xf numFmtId="2" fontId="0" fillId="0" borderId="0" xfId="0" applyNumberFormat="1" applyAlignment="1">
      <alignment horizontal="center"/>
    </xf>
    <xf numFmtId="1" fontId="3" fillId="16" borderId="0" xfId="0" applyNumberFormat="1" applyFont="1" applyFill="1" applyAlignment="1" applyProtection="1">
      <alignment horizontal="right" vertical="center"/>
      <protection hidden="1"/>
    </xf>
    <xf numFmtId="0" fontId="62" fillId="2" borderId="6" xfId="0" applyFont="1" applyFill="1" applyBorder="1" applyAlignment="1">
      <alignment horizontal="center" vertical="center" wrapText="1"/>
    </xf>
    <xf numFmtId="169" fontId="80" fillId="0" borderId="0" xfId="0" applyNumberFormat="1" applyFont="1"/>
    <xf numFmtId="10" fontId="80" fillId="0" borderId="0" xfId="0" applyNumberFormat="1" applyFont="1" applyAlignment="1">
      <alignment horizontal="center"/>
    </xf>
    <xf numFmtId="0" fontId="10" fillId="9" borderId="0" xfId="2" applyFill="1" applyAlignment="1" applyProtection="1"/>
    <xf numFmtId="0" fontId="3" fillId="19" borderId="0" xfId="0" applyFont="1" applyFill="1" applyAlignment="1" applyProtection="1">
      <alignment horizontal="right" vertical="center"/>
      <protection locked="0"/>
    </xf>
    <xf numFmtId="169" fontId="2" fillId="16" borderId="0" xfId="0" applyNumberFormat="1" applyFont="1" applyFill="1"/>
    <xf numFmtId="0" fontId="3" fillId="9" borderId="45" xfId="0" applyFont="1" applyFill="1" applyBorder="1" applyAlignment="1">
      <alignment horizontal="left" vertical="center"/>
    </xf>
    <xf numFmtId="0" fontId="64" fillId="0" borderId="28" xfId="0" applyFont="1" applyBorder="1"/>
    <xf numFmtId="1" fontId="67" fillId="0" borderId="0" xfId="0" applyNumberFormat="1" applyFont="1"/>
    <xf numFmtId="168" fontId="7" fillId="0" borderId="0" xfId="0" applyNumberFormat="1" applyFont="1"/>
    <xf numFmtId="2" fontId="64" fillId="9" borderId="2" xfId="1" applyNumberFormat="1" applyFont="1" applyFill="1" applyBorder="1" applyAlignment="1" applyProtection="1">
      <alignment horizontal="right"/>
    </xf>
    <xf numFmtId="0" fontId="17" fillId="16" borderId="41" xfId="0" applyFont="1" applyFill="1" applyBorder="1"/>
    <xf numFmtId="0" fontId="17" fillId="16" borderId="42" xfId="0" applyFont="1" applyFill="1" applyBorder="1"/>
    <xf numFmtId="0" fontId="57" fillId="9" borderId="43" xfId="0" applyFont="1" applyFill="1" applyBorder="1"/>
    <xf numFmtId="0" fontId="57" fillId="9" borderId="44" xfId="0" applyFont="1" applyFill="1" applyBorder="1"/>
    <xf numFmtId="1" fontId="2" fillId="9" borderId="45" xfId="0" applyNumberFormat="1" applyFont="1" applyFill="1" applyBorder="1" applyAlignment="1">
      <alignment vertical="center"/>
    </xf>
    <xf numFmtId="0" fontId="57" fillId="9" borderId="75" xfId="0" applyFont="1" applyFill="1" applyBorder="1"/>
    <xf numFmtId="0" fontId="65" fillId="9" borderId="41" xfId="0" applyFont="1" applyFill="1" applyBorder="1" applyAlignment="1">
      <alignment horizontal="right" vertical="center"/>
    </xf>
    <xf numFmtId="0" fontId="3" fillId="19" borderId="41" xfId="0" applyFont="1" applyFill="1" applyBorder="1" applyAlignment="1" applyProtection="1">
      <alignment vertical="center"/>
      <protection locked="0"/>
    </xf>
    <xf numFmtId="0" fontId="3" fillId="9" borderId="42" xfId="0" applyFont="1" applyFill="1" applyBorder="1" applyAlignment="1">
      <alignment vertical="center"/>
    </xf>
    <xf numFmtId="0" fontId="17" fillId="16" borderId="45" xfId="0" applyFont="1" applyFill="1" applyBorder="1"/>
    <xf numFmtId="0" fontId="65" fillId="9" borderId="45" xfId="0" applyFont="1" applyFill="1" applyBorder="1" applyAlignment="1">
      <alignment horizontal="right" vertical="center"/>
    </xf>
    <xf numFmtId="0" fontId="3" fillId="19" borderId="45" xfId="0" applyFont="1" applyFill="1" applyBorder="1" applyAlignment="1" applyProtection="1">
      <alignment vertical="center"/>
      <protection locked="0"/>
    </xf>
    <xf numFmtId="0" fontId="3" fillId="9" borderId="46" xfId="0" applyFont="1" applyFill="1" applyBorder="1" applyAlignment="1">
      <alignment vertical="center"/>
    </xf>
    <xf numFmtId="0" fontId="64" fillId="16" borderId="45" xfId="0" applyFont="1" applyFill="1" applyBorder="1" applyAlignment="1">
      <alignment horizontal="center"/>
    </xf>
    <xf numFmtId="169" fontId="2" fillId="9" borderId="45" xfId="0" applyNumberFormat="1" applyFont="1" applyFill="1" applyBorder="1" applyAlignment="1">
      <alignment vertical="center"/>
    </xf>
    <xf numFmtId="0" fontId="3" fillId="0" borderId="45" xfId="0" applyFont="1" applyBorder="1"/>
    <xf numFmtId="0" fontId="0" fillId="0" borderId="46" xfId="0" applyBorder="1"/>
    <xf numFmtId="2" fontId="8" fillId="0" borderId="0" xfId="0" applyNumberFormat="1" applyFont="1"/>
    <xf numFmtId="168" fontId="3" fillId="0" borderId="2" xfId="0" applyNumberFormat="1" applyFont="1" applyBorder="1"/>
    <xf numFmtId="2" fontId="2" fillId="22" borderId="0" xfId="0" applyNumberFormat="1" applyFont="1" applyFill="1"/>
    <xf numFmtId="168" fontId="2" fillId="22" borderId="0" xfId="0" applyNumberFormat="1" applyFont="1" applyFill="1"/>
    <xf numFmtId="0" fontId="2" fillId="27" borderId="0" xfId="0" applyFont="1" applyFill="1"/>
    <xf numFmtId="185" fontId="8" fillId="0" borderId="0" xfId="0" applyNumberFormat="1" applyFont="1"/>
    <xf numFmtId="168" fontId="0" fillId="24" borderId="0" xfId="0" applyNumberFormat="1" applyFill="1"/>
    <xf numFmtId="0" fontId="2" fillId="9" borderId="75" xfId="0" applyFont="1" applyFill="1" applyBorder="1"/>
    <xf numFmtId="0" fontId="58" fillId="9" borderId="44" xfId="0" applyFont="1" applyFill="1" applyBorder="1"/>
    <xf numFmtId="0" fontId="2" fillId="16" borderId="45" xfId="0" applyFont="1" applyFill="1" applyBorder="1" applyAlignment="1">
      <alignment horizontal="right" vertical="center"/>
    </xf>
    <xf numFmtId="0" fontId="85" fillId="9" borderId="0" xfId="0" applyFont="1" applyFill="1" applyAlignment="1">
      <alignment horizontal="right" vertical="center"/>
    </xf>
    <xf numFmtId="168" fontId="0" fillId="12" borderId="2" xfId="0" applyNumberFormat="1" applyFill="1" applyBorder="1"/>
    <xf numFmtId="2" fontId="2" fillId="9" borderId="31" xfId="0" applyNumberFormat="1" applyFont="1" applyFill="1" applyBorder="1"/>
    <xf numFmtId="168" fontId="0" fillId="4" borderId="2" xfId="0" applyNumberFormat="1" applyFill="1" applyBorder="1"/>
    <xf numFmtId="186" fontId="0" fillId="4" borderId="0" xfId="0" applyNumberFormat="1" applyFill="1"/>
    <xf numFmtId="0" fontId="85" fillId="9" borderId="45" xfId="0" applyFont="1" applyFill="1" applyBorder="1" applyAlignment="1">
      <alignment horizontal="right" vertical="center"/>
    </xf>
    <xf numFmtId="0" fontId="88" fillId="0" borderId="0" xfId="0" applyFont="1" applyAlignment="1">
      <alignment horizontal="left"/>
    </xf>
    <xf numFmtId="1" fontId="2" fillId="9" borderId="0" xfId="0" applyNumberFormat="1" applyFont="1" applyFill="1" applyAlignment="1">
      <alignment horizontal="right"/>
    </xf>
    <xf numFmtId="190" fontId="0" fillId="23" borderId="0" xfId="0" applyNumberFormat="1" applyFill="1"/>
    <xf numFmtId="169" fontId="2" fillId="9" borderId="31" xfId="0" applyNumberFormat="1" applyFont="1" applyFill="1" applyBorder="1" applyAlignment="1">
      <alignment vertical="center"/>
    </xf>
    <xf numFmtId="0" fontId="88" fillId="0" borderId="0" xfId="0" applyFont="1" applyAlignment="1">
      <alignment horizontal="right"/>
    </xf>
    <xf numFmtId="0" fontId="65" fillId="0" borderId="0" xfId="0" applyFont="1" applyAlignment="1">
      <alignment horizontal="left"/>
    </xf>
    <xf numFmtId="2" fontId="2" fillId="0" borderId="68" xfId="3" applyNumberFormat="1" applyBorder="1" applyAlignment="1">
      <alignment horizontal="center"/>
    </xf>
    <xf numFmtId="0" fontId="6" fillId="9" borderId="77" xfId="0" applyFont="1" applyFill="1" applyBorder="1" applyAlignment="1">
      <alignment horizontal="right" vertical="center"/>
    </xf>
    <xf numFmtId="0" fontId="6" fillId="9" borderId="41" xfId="0" applyFont="1" applyFill="1" applyBorder="1" applyAlignment="1">
      <alignment horizontal="right" vertical="center"/>
    </xf>
    <xf numFmtId="168" fontId="8" fillId="7" borderId="11" xfId="0" applyNumberFormat="1" applyFont="1" applyFill="1" applyBorder="1"/>
    <xf numFmtId="168" fontId="15" fillId="7" borderId="11" xfId="0" applyNumberFormat="1" applyFont="1" applyFill="1" applyBorder="1"/>
    <xf numFmtId="168" fontId="0" fillId="7" borderId="11" xfId="0" applyNumberFormat="1" applyFill="1" applyBorder="1"/>
    <xf numFmtId="0" fontId="16" fillId="3" borderId="4" xfId="0" applyFont="1" applyFill="1" applyBorder="1" applyAlignment="1">
      <alignment vertical="center"/>
    </xf>
    <xf numFmtId="0" fontId="17" fillId="16" borderId="29" xfId="0" applyFont="1" applyFill="1" applyBorder="1"/>
    <xf numFmtId="0" fontId="67" fillId="9" borderId="75" xfId="0" applyFont="1" applyFill="1" applyBorder="1" applyAlignment="1">
      <alignment horizontal="left"/>
    </xf>
    <xf numFmtId="0" fontId="2" fillId="9" borderId="80" xfId="0" applyFont="1" applyFill="1" applyBorder="1" applyAlignment="1">
      <alignment vertical="center"/>
    </xf>
    <xf numFmtId="0" fontId="3" fillId="16" borderId="46" xfId="0" applyFont="1" applyFill="1" applyBorder="1" applyAlignment="1">
      <alignment vertical="center"/>
    </xf>
    <xf numFmtId="0" fontId="3" fillId="16" borderId="45" xfId="0" applyFont="1" applyFill="1" applyBorder="1" applyAlignment="1">
      <alignment horizontal="right" vertical="center"/>
    </xf>
    <xf numFmtId="169" fontId="67" fillId="9" borderId="45" xfId="0" applyNumberFormat="1" applyFont="1" applyFill="1" applyBorder="1" applyAlignment="1">
      <alignment horizontal="left" vertical="center"/>
    </xf>
    <xf numFmtId="1" fontId="3" fillId="0" borderId="0" xfId="3" applyNumberFormat="1" applyFont="1" applyAlignment="1">
      <alignment horizontal="right"/>
    </xf>
    <xf numFmtId="0" fontId="3" fillId="0" borderId="0" xfId="3" applyFont="1" applyAlignment="1">
      <alignment horizontal="right"/>
    </xf>
    <xf numFmtId="167" fontId="3" fillId="0" borderId="18" xfId="3" applyNumberFormat="1" applyFont="1" applyBorder="1" applyAlignment="1">
      <alignment horizontal="center"/>
    </xf>
    <xf numFmtId="167" fontId="3" fillId="0" borderId="11" xfId="3" applyNumberFormat="1" applyFont="1" applyBorder="1" applyAlignment="1">
      <alignment horizontal="center"/>
    </xf>
    <xf numFmtId="167" fontId="3" fillId="0" borderId="58" xfId="3" applyNumberFormat="1" applyFont="1" applyBorder="1" applyAlignment="1">
      <alignment horizontal="center"/>
    </xf>
    <xf numFmtId="167" fontId="3" fillId="0" borderId="12" xfId="3" applyNumberFormat="1" applyFont="1" applyBorder="1" applyAlignment="1">
      <alignment horizontal="center"/>
    </xf>
    <xf numFmtId="167" fontId="3" fillId="0" borderId="68" xfId="3" applyNumberFormat="1" applyFont="1" applyBorder="1" applyAlignment="1">
      <alignment horizontal="center"/>
    </xf>
    <xf numFmtId="167" fontId="3" fillId="0" borderId="8" xfId="3" applyNumberFormat="1" applyFont="1" applyBorder="1" applyAlignment="1">
      <alignment horizontal="center"/>
    </xf>
    <xf numFmtId="167" fontId="3" fillId="0" borderId="67" xfId="3" applyNumberFormat="1" applyFont="1" applyBorder="1" applyAlignment="1">
      <alignment horizontal="center"/>
    </xf>
    <xf numFmtId="167" fontId="3" fillId="0" borderId="69" xfId="3" applyNumberFormat="1" applyFont="1" applyBorder="1" applyAlignment="1">
      <alignment horizontal="center"/>
    </xf>
    <xf numFmtId="165" fontId="3" fillId="0" borderId="68" xfId="3" applyNumberFormat="1" applyFont="1" applyBorder="1" applyAlignment="1">
      <alignment horizontal="center"/>
    </xf>
    <xf numFmtId="2" fontId="3" fillId="0" borderId="67" xfId="3" applyNumberFormat="1" applyFont="1" applyBorder="1" applyAlignment="1">
      <alignment horizontal="center"/>
    </xf>
    <xf numFmtId="2" fontId="3" fillId="0" borderId="12" xfId="3" applyNumberFormat="1" applyFont="1" applyBorder="1" applyAlignment="1">
      <alignment horizontal="center"/>
    </xf>
    <xf numFmtId="2" fontId="3" fillId="0" borderId="58" xfId="3" applyNumberFormat="1" applyFont="1" applyBorder="1" applyAlignment="1">
      <alignment horizontal="center"/>
    </xf>
    <xf numFmtId="0" fontId="3" fillId="0" borderId="0" xfId="3" applyFont="1"/>
    <xf numFmtId="2" fontId="3" fillId="0" borderId="18" xfId="3" applyNumberFormat="1" applyFont="1" applyBorder="1" applyAlignment="1">
      <alignment horizontal="center"/>
    </xf>
    <xf numFmtId="0" fontId="3" fillId="0" borderId="63" xfId="3" applyFont="1" applyBorder="1" applyAlignment="1">
      <alignment horizontal="center"/>
    </xf>
    <xf numFmtId="0" fontId="3" fillId="0" borderId="71" xfId="3" applyFont="1" applyBorder="1" applyAlignment="1">
      <alignment horizontal="center"/>
    </xf>
    <xf numFmtId="165" fontId="3" fillId="0" borderId="67" xfId="3" applyNumberFormat="1" applyFont="1" applyBorder="1" applyAlignment="1">
      <alignment horizontal="center"/>
    </xf>
    <xf numFmtId="0" fontId="3" fillId="9" borderId="80" xfId="0" applyFont="1" applyFill="1" applyBorder="1"/>
    <xf numFmtId="0" fontId="67" fillId="9" borderId="0" xfId="0" applyFont="1" applyFill="1" applyAlignment="1">
      <alignment horizontal="right"/>
    </xf>
    <xf numFmtId="0" fontId="67" fillId="9" borderId="0" xfId="0" applyFont="1" applyFill="1" applyAlignment="1">
      <alignment horizontal="left"/>
    </xf>
    <xf numFmtId="0" fontId="62" fillId="9" borderId="0" xfId="0" applyFont="1" applyFill="1" applyProtection="1">
      <protection locked="0"/>
    </xf>
    <xf numFmtId="0" fontId="67" fillId="9" borderId="42" xfId="0" applyFont="1" applyFill="1" applyBorder="1" applyAlignment="1">
      <alignment horizontal="left"/>
    </xf>
    <xf numFmtId="0" fontId="67" fillId="9" borderId="42" xfId="0" applyFont="1" applyFill="1" applyBorder="1" applyAlignment="1">
      <alignment horizontal="right"/>
    </xf>
    <xf numFmtId="0" fontId="3" fillId="16" borderId="0" xfId="0" applyFont="1" applyFill="1" applyAlignment="1">
      <alignment horizontal="right"/>
    </xf>
    <xf numFmtId="0" fontId="3" fillId="16" borderId="0" xfId="0" applyFont="1" applyFill="1"/>
    <xf numFmtId="0" fontId="2" fillId="16" borderId="80" xfId="0" applyFont="1" applyFill="1" applyBorder="1"/>
    <xf numFmtId="0" fontId="2" fillId="9" borderId="80" xfId="0" applyFont="1" applyFill="1" applyBorder="1"/>
    <xf numFmtId="169" fontId="15" fillId="0" borderId="0" xfId="0" applyNumberFormat="1" applyFont="1"/>
    <xf numFmtId="0" fontId="2" fillId="0" borderId="80" xfId="0" applyFont="1" applyBorder="1"/>
    <xf numFmtId="0" fontId="3" fillId="9" borderId="0" xfId="0" applyFont="1" applyFill="1" applyAlignment="1">
      <alignment horizontal="left" vertical="center"/>
    </xf>
    <xf numFmtId="0" fontId="3" fillId="16" borderId="29" xfId="0" applyFont="1" applyFill="1" applyBorder="1"/>
    <xf numFmtId="0" fontId="3" fillId="19" borderId="45" xfId="0" applyFont="1" applyFill="1" applyBorder="1" applyAlignment="1" applyProtection="1">
      <alignment horizontal="right" vertical="center"/>
      <protection locked="0"/>
    </xf>
    <xf numFmtId="0" fontId="3" fillId="16" borderId="0" xfId="0" applyFont="1" applyFill="1" applyAlignment="1">
      <alignment horizontal="right" vertical="center"/>
    </xf>
    <xf numFmtId="0" fontId="17" fillId="16" borderId="80" xfId="0" applyFont="1" applyFill="1" applyBorder="1"/>
    <xf numFmtId="0" fontId="3" fillId="16" borderId="0" xfId="0" applyFont="1" applyFill="1" applyAlignment="1">
      <alignment vertical="center"/>
    </xf>
    <xf numFmtId="0" fontId="3" fillId="16" borderId="0" xfId="0" applyFont="1" applyFill="1" applyAlignment="1" applyProtection="1">
      <alignment horizontal="right" vertical="center"/>
      <protection locked="0"/>
    </xf>
    <xf numFmtId="0" fontId="3" fillId="4" borderId="56" xfId="0" applyFont="1" applyFill="1" applyBorder="1" applyAlignment="1">
      <alignment horizontal="center"/>
    </xf>
    <xf numFmtId="0" fontId="3" fillId="2" borderId="82" xfId="0" applyFont="1" applyFill="1" applyBorder="1" applyAlignment="1">
      <alignment horizontal="center" vertical="center" wrapText="1"/>
    </xf>
    <xf numFmtId="0" fontId="62" fillId="2" borderId="82" xfId="0" applyFont="1" applyFill="1" applyBorder="1" applyAlignment="1">
      <alignment horizontal="center" vertical="center" wrapText="1"/>
    </xf>
    <xf numFmtId="169" fontId="30" fillId="22" borderId="0" xfId="0" applyNumberFormat="1" applyFont="1" applyFill="1" applyAlignment="1">
      <alignment horizontal="right"/>
    </xf>
    <xf numFmtId="169" fontId="30" fillId="12" borderId="0" xfId="0" applyNumberFormat="1" applyFont="1" applyFill="1"/>
    <xf numFmtId="2" fontId="0" fillId="22" borderId="0" xfId="0" applyNumberFormat="1" applyFill="1" applyAlignment="1">
      <alignment horizontal="right"/>
    </xf>
    <xf numFmtId="2" fontId="0" fillId="0" borderId="0" xfId="0" applyNumberFormat="1" applyAlignment="1">
      <alignment horizontal="right"/>
    </xf>
    <xf numFmtId="169" fontId="30" fillId="0" borderId="0" xfId="0" applyNumberFormat="1" applyFont="1"/>
    <xf numFmtId="2" fontId="62" fillId="0" borderId="0" xfId="0" applyNumberFormat="1" applyFont="1"/>
    <xf numFmtId="2" fontId="2" fillId="9" borderId="31" xfId="0" applyNumberFormat="1" applyFont="1" applyFill="1" applyBorder="1" applyAlignment="1">
      <alignment vertical="center"/>
    </xf>
    <xf numFmtId="0" fontId="3" fillId="4" borderId="83" xfId="0" applyFont="1" applyFill="1" applyBorder="1" applyAlignment="1">
      <alignment horizontal="center"/>
    </xf>
    <xf numFmtId="2" fontId="3" fillId="2" borderId="82" xfId="0" applyNumberFormat="1" applyFont="1" applyFill="1" applyBorder="1" applyAlignment="1">
      <alignment horizontal="center" vertical="center" wrapText="1"/>
    </xf>
    <xf numFmtId="170" fontId="0" fillId="23" borderId="0" xfId="0" applyNumberFormat="1" applyFill="1"/>
    <xf numFmtId="0" fontId="3" fillId="24" borderId="0" xfId="0" applyFont="1" applyFill="1" applyAlignment="1">
      <alignment horizontal="right"/>
    </xf>
    <xf numFmtId="0" fontId="62" fillId="9" borderId="80" xfId="0" applyFont="1" applyFill="1" applyBorder="1" applyAlignment="1" applyProtection="1">
      <alignment horizontal="left"/>
      <protection locked="0"/>
    </xf>
    <xf numFmtId="0" fontId="62" fillId="9" borderId="0" xfId="0" applyFont="1" applyFill="1" applyAlignment="1" applyProtection="1">
      <alignment horizontal="left"/>
      <protection locked="0"/>
    </xf>
    <xf numFmtId="0" fontId="67" fillId="9" borderId="0" xfId="0" applyFont="1" applyFill="1" applyAlignment="1">
      <alignment horizontal="left" vertical="center"/>
    </xf>
    <xf numFmtId="0" fontId="24" fillId="25" borderId="0" xfId="0" applyFont="1" applyFill="1" applyAlignment="1">
      <alignment horizontal="center" vertical="center"/>
    </xf>
    <xf numFmtId="0" fontId="53" fillId="17" borderId="43" xfId="0" applyFont="1" applyFill="1" applyBorder="1" applyAlignment="1">
      <alignment horizontal="left" vertical="center"/>
    </xf>
    <xf numFmtId="0" fontId="53" fillId="17" borderId="41" xfId="0" applyFont="1" applyFill="1" applyBorder="1" applyAlignment="1">
      <alignment horizontal="left" vertical="center"/>
    </xf>
    <xf numFmtId="0" fontId="2" fillId="9" borderId="0" xfId="0" applyFont="1" applyFill="1" applyAlignment="1">
      <alignment horizontal="left" vertical="top"/>
    </xf>
    <xf numFmtId="0" fontId="2" fillId="9" borderId="29" xfId="0" applyFont="1" applyFill="1" applyBorder="1" applyAlignment="1">
      <alignment horizontal="left" vertical="top"/>
    </xf>
    <xf numFmtId="0" fontId="3" fillId="9" borderId="80" xfId="0" applyFont="1" applyFill="1" applyBorder="1" applyAlignment="1">
      <alignment horizontal="left" vertical="center" wrapText="1"/>
    </xf>
    <xf numFmtId="0" fontId="3" fillId="9" borderId="0" xfId="0" applyFont="1" applyFill="1" applyAlignment="1">
      <alignment horizontal="left" vertical="center" wrapText="1"/>
    </xf>
    <xf numFmtId="0" fontId="3" fillId="9" borderId="29" xfId="0" applyFont="1" applyFill="1" applyBorder="1" applyAlignment="1">
      <alignment horizontal="left" vertical="center" wrapText="1"/>
    </xf>
    <xf numFmtId="0" fontId="3" fillId="9" borderId="79" xfId="3" applyFont="1" applyFill="1" applyBorder="1" applyAlignment="1">
      <alignment horizontal="center" vertical="center"/>
    </xf>
    <xf numFmtId="0" fontId="3" fillId="9" borderId="67" xfId="3" applyFont="1" applyFill="1" applyBorder="1" applyAlignment="1">
      <alignment horizontal="center" vertical="center"/>
    </xf>
    <xf numFmtId="0" fontId="3" fillId="9" borderId="14" xfId="3" applyFont="1" applyFill="1" applyBorder="1" applyAlignment="1">
      <alignment horizontal="left" vertical="center"/>
    </xf>
    <xf numFmtId="0" fontId="3" fillId="9" borderId="12" xfId="3" applyFont="1" applyFill="1" applyBorder="1" applyAlignment="1">
      <alignment horizontal="left" vertical="center"/>
    </xf>
    <xf numFmtId="0" fontId="3" fillId="9" borderId="78" xfId="3" applyFont="1" applyFill="1" applyBorder="1" applyAlignment="1">
      <alignment horizontal="left" vertical="center"/>
    </xf>
    <xf numFmtId="0" fontId="3" fillId="9" borderId="10" xfId="3" applyFont="1" applyFill="1" applyBorder="1" applyAlignment="1">
      <alignment horizontal="left" vertical="center"/>
    </xf>
    <xf numFmtId="0" fontId="3" fillId="9" borderId="16" xfId="3" applyFont="1" applyFill="1" applyBorder="1" applyAlignment="1">
      <alignment horizontal="left" vertical="center"/>
    </xf>
    <xf numFmtId="0" fontId="3" fillId="9" borderId="69" xfId="3" applyFont="1" applyFill="1" applyBorder="1" applyAlignment="1">
      <alignment horizontal="left" vertical="center"/>
    </xf>
    <xf numFmtId="0" fontId="3" fillId="9" borderId="4" xfId="3" applyFont="1" applyFill="1" applyBorder="1" applyAlignment="1">
      <alignment horizontal="left" vertical="center"/>
    </xf>
    <xf numFmtId="0" fontId="3" fillId="9" borderId="17" xfId="3" applyFont="1" applyFill="1" applyBorder="1" applyAlignment="1">
      <alignment horizontal="left" vertical="center"/>
    </xf>
    <xf numFmtId="0" fontId="62" fillId="9" borderId="14" xfId="3" applyFont="1" applyFill="1" applyBorder="1" applyAlignment="1">
      <alignment horizontal="center" vertical="center"/>
    </xf>
    <xf numFmtId="0" fontId="62" fillId="9" borderId="12" xfId="3" applyFont="1" applyFill="1" applyBorder="1" applyAlignment="1">
      <alignment horizontal="center" vertical="center"/>
    </xf>
    <xf numFmtId="0" fontId="3" fillId="9" borderId="14" xfId="3" applyFont="1" applyFill="1" applyBorder="1" applyAlignment="1">
      <alignment horizontal="left" vertical="center" wrapText="1"/>
    </xf>
    <xf numFmtId="0" fontId="3" fillId="9" borderId="12" xfId="3" applyFont="1" applyFill="1" applyBorder="1" applyAlignment="1">
      <alignment horizontal="left" vertical="center" wrapText="1"/>
    </xf>
    <xf numFmtId="0" fontId="73" fillId="3" borderId="51" xfId="3" applyFont="1" applyFill="1" applyBorder="1" applyAlignment="1">
      <alignment horizontal="left" vertical="center"/>
    </xf>
    <xf numFmtId="0" fontId="73" fillId="3" borderId="52" xfId="3" applyFont="1" applyFill="1" applyBorder="1" applyAlignment="1">
      <alignment horizontal="left" vertical="center"/>
    </xf>
    <xf numFmtId="0" fontId="73" fillId="3" borderId="53" xfId="3" applyFont="1" applyFill="1" applyBorder="1" applyAlignment="1">
      <alignment horizontal="left" vertical="center"/>
    </xf>
    <xf numFmtId="179" fontId="2" fillId="21" borderId="8" xfId="3" applyNumberFormat="1" applyFill="1" applyBorder="1" applyAlignment="1">
      <alignment horizontal="left" vertical="center"/>
    </xf>
    <xf numFmtId="179" fontId="2" fillId="21" borderId="9" xfId="3" applyNumberFormat="1" applyFill="1" applyBorder="1" applyAlignment="1">
      <alignment horizontal="left" vertical="center"/>
    </xf>
    <xf numFmtId="183" fontId="2" fillId="16" borderId="8" xfId="3" applyNumberFormat="1" applyFill="1" applyBorder="1" applyAlignment="1">
      <alignment horizontal="left" vertical="center"/>
    </xf>
    <xf numFmtId="183" fontId="2" fillId="16" borderId="9" xfId="3" applyNumberFormat="1" applyFill="1" applyBorder="1" applyAlignment="1">
      <alignment horizontal="left" vertical="center"/>
    </xf>
    <xf numFmtId="183" fontId="2" fillId="16" borderId="15" xfId="3" applyNumberFormat="1" applyFill="1" applyBorder="1" applyAlignment="1">
      <alignment horizontal="left" vertical="center"/>
    </xf>
    <xf numFmtId="183" fontId="2" fillId="21" borderId="8" xfId="3" applyNumberFormat="1" applyFill="1" applyBorder="1" applyAlignment="1">
      <alignment horizontal="left" vertical="center"/>
    </xf>
    <xf numFmtId="183" fontId="2" fillId="21" borderId="9" xfId="3" applyNumberFormat="1" applyFill="1" applyBorder="1" applyAlignment="1">
      <alignment horizontal="left" vertical="center"/>
    </xf>
    <xf numFmtId="183" fontId="2" fillId="21" borderId="15" xfId="3" applyNumberFormat="1" applyFill="1" applyBorder="1" applyAlignment="1">
      <alignment horizontal="left" vertical="center"/>
    </xf>
    <xf numFmtId="191" fontId="2" fillId="16" borderId="8" xfId="3" applyNumberFormat="1" applyFill="1" applyBorder="1" applyAlignment="1">
      <alignment horizontal="left" vertical="center"/>
    </xf>
    <xf numFmtId="191" fontId="2" fillId="16" borderId="9" xfId="3" applyNumberFormat="1" applyFill="1" applyBorder="1" applyAlignment="1">
      <alignment horizontal="left" vertical="center"/>
    </xf>
    <xf numFmtId="191" fontId="2" fillId="16" borderId="15" xfId="3" applyNumberFormat="1" applyFill="1" applyBorder="1" applyAlignment="1">
      <alignment horizontal="left" vertical="center"/>
    </xf>
    <xf numFmtId="189" fontId="2" fillId="21" borderId="8" xfId="3" applyNumberFormat="1" applyFill="1" applyBorder="1" applyAlignment="1">
      <alignment horizontal="left" vertical="center"/>
    </xf>
    <xf numFmtId="189" fontId="2" fillId="21" borderId="9" xfId="3" applyNumberFormat="1" applyFill="1" applyBorder="1" applyAlignment="1">
      <alignment horizontal="left" vertical="center"/>
    </xf>
    <xf numFmtId="189" fontId="2" fillId="21" borderId="15" xfId="3" applyNumberFormat="1" applyFill="1" applyBorder="1" applyAlignment="1">
      <alignment horizontal="left" vertical="center"/>
    </xf>
    <xf numFmtId="182" fontId="2" fillId="20" borderId="8" xfId="3" applyNumberFormat="1" applyFill="1" applyBorder="1" applyAlignment="1">
      <alignment horizontal="left" vertical="center"/>
    </xf>
    <xf numFmtId="182" fontId="2" fillId="20" borderId="9" xfId="3" applyNumberFormat="1" applyFill="1" applyBorder="1" applyAlignment="1">
      <alignment horizontal="left" vertical="center"/>
    </xf>
    <xf numFmtId="182" fontId="2" fillId="20" borderId="15" xfId="3" applyNumberFormat="1" applyFill="1" applyBorder="1" applyAlignment="1">
      <alignment horizontal="left" vertical="center"/>
    </xf>
    <xf numFmtId="180" fontId="2" fillId="9" borderId="8" xfId="3" applyNumberFormat="1" applyFill="1" applyBorder="1" applyAlignment="1">
      <alignment horizontal="left" vertical="center"/>
    </xf>
    <xf numFmtId="180" fontId="2" fillId="9" borderId="9" xfId="3" applyNumberFormat="1" applyFill="1" applyBorder="1" applyAlignment="1">
      <alignment horizontal="left" vertical="center"/>
    </xf>
    <xf numFmtId="179" fontId="2" fillId="20" borderId="8" xfId="3" applyNumberFormat="1" applyFill="1" applyBorder="1" applyAlignment="1">
      <alignment horizontal="left" vertical="center"/>
    </xf>
    <xf numFmtId="179" fontId="2" fillId="20" borderId="9" xfId="3" applyNumberFormat="1" applyFill="1" applyBorder="1" applyAlignment="1">
      <alignment horizontal="left" vertical="center"/>
    </xf>
    <xf numFmtId="178" fontId="2" fillId="20" borderId="8" xfId="3" applyNumberFormat="1" applyFill="1" applyBorder="1" applyAlignment="1">
      <alignment horizontal="left" vertical="center"/>
    </xf>
    <xf numFmtId="178" fontId="2" fillId="20" borderId="9" xfId="3" applyNumberFormat="1" applyFill="1" applyBorder="1" applyAlignment="1">
      <alignment horizontal="left" vertical="center"/>
    </xf>
    <xf numFmtId="180" fontId="2" fillId="16" borderId="8" xfId="3" applyNumberFormat="1" applyFill="1" applyBorder="1" applyAlignment="1">
      <alignment horizontal="left" vertical="center"/>
    </xf>
    <xf numFmtId="180" fontId="2" fillId="16" borderId="9" xfId="3" applyNumberFormat="1" applyFill="1" applyBorder="1" applyAlignment="1">
      <alignment horizontal="left" vertical="center"/>
    </xf>
    <xf numFmtId="188" fontId="2" fillId="20" borderId="8" xfId="3" applyNumberFormat="1" applyFill="1" applyBorder="1" applyAlignment="1">
      <alignment horizontal="left" vertical="center"/>
    </xf>
    <xf numFmtId="188" fontId="2" fillId="20" borderId="9" xfId="3" applyNumberFormat="1" applyFill="1" applyBorder="1" applyAlignment="1">
      <alignment horizontal="left" vertical="center"/>
    </xf>
    <xf numFmtId="184" fontId="2" fillId="16" borderId="8" xfId="3" applyNumberFormat="1" applyFill="1" applyBorder="1" applyAlignment="1">
      <alignment horizontal="left" vertical="center"/>
    </xf>
    <xf numFmtId="184" fontId="2" fillId="16" borderId="9" xfId="3" applyNumberFormat="1" applyFill="1" applyBorder="1" applyAlignment="1">
      <alignment horizontal="left" vertical="center"/>
    </xf>
    <xf numFmtId="184" fontId="2" fillId="16" borderId="15" xfId="3" applyNumberFormat="1" applyFill="1" applyBorder="1" applyAlignment="1">
      <alignment horizontal="left" vertical="center"/>
    </xf>
    <xf numFmtId="177" fontId="2" fillId="16" borderId="8" xfId="3" applyNumberFormat="1" applyFill="1" applyBorder="1" applyAlignment="1">
      <alignment horizontal="left" vertical="center"/>
    </xf>
    <xf numFmtId="0" fontId="0" fillId="0" borderId="9" xfId="0" applyBorder="1"/>
    <xf numFmtId="192" fontId="2" fillId="20" borderId="8" xfId="3" applyNumberFormat="1" applyFill="1" applyBorder="1" applyAlignment="1">
      <alignment horizontal="left" vertical="center"/>
    </xf>
    <xf numFmtId="192" fontId="2" fillId="20" borderId="9" xfId="3" applyNumberFormat="1" applyFill="1" applyBorder="1" applyAlignment="1">
      <alignment horizontal="left" vertical="center"/>
    </xf>
    <xf numFmtId="0" fontId="51" fillId="16" borderId="28" xfId="0" applyFont="1" applyFill="1" applyBorder="1" applyAlignment="1">
      <alignment horizontal="left" vertical="center"/>
    </xf>
    <xf numFmtId="0" fontId="51" fillId="16" borderId="0" xfId="0" applyFont="1" applyFill="1" applyAlignment="1">
      <alignment horizontal="left" vertical="center"/>
    </xf>
    <xf numFmtId="0" fontId="3" fillId="0" borderId="0" xfId="0" applyFont="1" applyAlignment="1">
      <alignment horizontal="center"/>
    </xf>
    <xf numFmtId="0" fontId="4" fillId="3" borderId="0" xfId="0" applyFont="1" applyFill="1" applyAlignment="1">
      <alignment horizontal="center"/>
    </xf>
    <xf numFmtId="0" fontId="3" fillId="4" borderId="60" xfId="3" applyFont="1" applyFill="1" applyBorder="1"/>
    <xf numFmtId="0" fontId="3" fillId="4" borderId="62" xfId="3" applyFont="1" applyFill="1" applyBorder="1"/>
    <xf numFmtId="0" fontId="3" fillId="0" borderId="18" xfId="3" applyFont="1" applyBorder="1" applyAlignment="1">
      <alignment horizontal="center"/>
    </xf>
    <xf numFmtId="0" fontId="3" fillId="0" borderId="11" xfId="3" applyFont="1" applyBorder="1" applyAlignment="1">
      <alignment horizontal="center"/>
    </xf>
    <xf numFmtId="0" fontId="3" fillId="0" borderId="58" xfId="3" applyFont="1" applyBorder="1" applyAlignment="1">
      <alignment horizontal="center"/>
    </xf>
    <xf numFmtId="0" fontId="3" fillId="0" borderId="64" xfId="3" applyFont="1" applyBorder="1" applyAlignment="1">
      <alignment horizontal="center"/>
    </xf>
    <xf numFmtId="0" fontId="3" fillId="0" borderId="65" xfId="3" applyFont="1" applyBorder="1" applyAlignment="1">
      <alignment horizontal="center"/>
    </xf>
    <xf numFmtId="0" fontId="79" fillId="4" borderId="74" xfId="3" applyFont="1" applyFill="1" applyBorder="1" applyAlignment="1">
      <alignment horizontal="center" vertical="center"/>
    </xf>
    <xf numFmtId="0" fontId="79" fillId="4" borderId="66" xfId="3" applyFont="1" applyFill="1" applyBorder="1" applyAlignment="1">
      <alignment horizontal="center" vertical="center"/>
    </xf>
    <xf numFmtId="0" fontId="3" fillId="0" borderId="55" xfId="3" applyFont="1" applyBorder="1" applyAlignment="1">
      <alignment horizontal="center"/>
    </xf>
    <xf numFmtId="0" fontId="3" fillId="0" borderId="56" xfId="3" applyFont="1" applyBorder="1" applyAlignment="1">
      <alignment horizontal="center"/>
    </xf>
    <xf numFmtId="0" fontId="2" fillId="0" borderId="56" xfId="3" applyBorder="1" applyAlignment="1">
      <alignment horizontal="center"/>
    </xf>
    <xf numFmtId="0" fontId="2" fillId="0" borderId="57" xfId="3" applyBorder="1" applyAlignment="1">
      <alignment horizontal="center"/>
    </xf>
    <xf numFmtId="0" fontId="79" fillId="4" borderId="74" xfId="3" applyFont="1" applyFill="1" applyBorder="1" applyAlignment="1">
      <alignment horizontal="center" vertical="top" shrinkToFit="1"/>
    </xf>
    <xf numFmtId="0" fontId="2" fillId="4" borderId="73" xfId="3" applyFill="1" applyBorder="1" applyAlignment="1">
      <alignment horizontal="center" vertical="top" shrinkToFit="1"/>
    </xf>
    <xf numFmtId="0" fontId="2" fillId="4" borderId="72" xfId="3" applyFill="1" applyBorder="1" applyAlignment="1">
      <alignment horizontal="center" vertical="top" shrinkToFit="1"/>
    </xf>
    <xf numFmtId="0" fontId="79" fillId="4" borderId="60" xfId="3" applyFont="1" applyFill="1" applyBorder="1" applyAlignment="1">
      <alignment horizontal="center"/>
    </xf>
    <xf numFmtId="0" fontId="79" fillId="4" borderId="62" xfId="3" applyFont="1" applyFill="1" applyBorder="1" applyAlignment="1">
      <alignment horizontal="center"/>
    </xf>
    <xf numFmtId="0" fontId="3" fillId="0" borderId="57" xfId="3" applyFont="1" applyBorder="1" applyAlignment="1">
      <alignment horizontal="center"/>
    </xf>
    <xf numFmtId="0" fontId="79" fillId="4" borderId="55" xfId="3" applyFont="1" applyFill="1" applyBorder="1" applyAlignment="1">
      <alignment horizontal="center"/>
    </xf>
    <xf numFmtId="0" fontId="79" fillId="4" borderId="56" xfId="3" applyFont="1" applyFill="1" applyBorder="1" applyAlignment="1">
      <alignment horizontal="center"/>
    </xf>
    <xf numFmtId="0" fontId="79" fillId="4" borderId="57" xfId="3" applyFont="1" applyFill="1" applyBorder="1" applyAlignment="1">
      <alignment horizontal="center"/>
    </xf>
    <xf numFmtId="0" fontId="2" fillId="4" borderId="61" xfId="3" applyFill="1" applyBorder="1" applyAlignment="1">
      <alignment horizontal="center"/>
    </xf>
    <xf numFmtId="0" fontId="2" fillId="4" borderId="62" xfId="3" applyFill="1" applyBorder="1" applyAlignment="1">
      <alignment horizontal="center"/>
    </xf>
    <xf numFmtId="0" fontId="3" fillId="24" borderId="0" xfId="0" applyFont="1" applyFill="1" applyAlignment="1">
      <alignment horizontal="center"/>
    </xf>
    <xf numFmtId="0" fontId="3" fillId="4" borderId="55" xfId="0" applyFont="1" applyFill="1" applyBorder="1" applyAlignment="1">
      <alignment horizontal="center"/>
    </xf>
    <xf numFmtId="0" fontId="3" fillId="4" borderId="56" xfId="0" applyFont="1" applyFill="1" applyBorder="1" applyAlignment="1">
      <alignment horizontal="center"/>
    </xf>
    <xf numFmtId="0" fontId="3" fillId="4" borderId="57" xfId="0" applyFont="1" applyFill="1" applyBorder="1" applyAlignment="1">
      <alignment horizontal="center"/>
    </xf>
    <xf numFmtId="0" fontId="3" fillId="4" borderId="47" xfId="0" applyFont="1" applyFill="1" applyBorder="1" applyAlignment="1">
      <alignment horizontal="center"/>
    </xf>
    <xf numFmtId="0" fontId="3" fillId="4" borderId="48" xfId="0" applyFont="1" applyFill="1" applyBorder="1" applyAlignment="1">
      <alignment horizontal="center"/>
    </xf>
    <xf numFmtId="0" fontId="3" fillId="4" borderId="81" xfId="0" applyFont="1" applyFill="1" applyBorder="1" applyAlignment="1">
      <alignment horizontal="center"/>
    </xf>
    <xf numFmtId="0" fontId="3" fillId="4" borderId="20" xfId="0" applyFont="1" applyFill="1" applyBorder="1" applyAlignment="1">
      <alignment horizontal="center"/>
    </xf>
    <xf numFmtId="0" fontId="13" fillId="3" borderId="0" xfId="0" applyFont="1" applyFill="1" applyAlignment="1">
      <alignment horizontal="left"/>
    </xf>
    <xf numFmtId="0" fontId="3" fillId="0" borderId="0" xfId="0" applyFont="1" applyAlignment="1">
      <alignment horizontal="left" wrapText="1"/>
    </xf>
    <xf numFmtId="170" fontId="3" fillId="4" borderId="55" xfId="0" applyNumberFormat="1" applyFont="1" applyFill="1" applyBorder="1" applyAlignment="1">
      <alignment horizontal="center"/>
    </xf>
    <xf numFmtId="170" fontId="3" fillId="4" borderId="56" xfId="0" applyNumberFormat="1" applyFont="1" applyFill="1" applyBorder="1" applyAlignment="1">
      <alignment horizontal="center"/>
    </xf>
    <xf numFmtId="170" fontId="3" fillId="4" borderId="57" xfId="0" applyNumberFormat="1" applyFont="1" applyFill="1" applyBorder="1" applyAlignment="1">
      <alignment horizontal="center"/>
    </xf>
    <xf numFmtId="0" fontId="3" fillId="4" borderId="83" xfId="0" applyFont="1" applyFill="1" applyBorder="1" applyAlignment="1">
      <alignment horizontal="center"/>
    </xf>
  </cellXfs>
  <cellStyles count="6">
    <cellStyle name="Comma" xfId="1" builtinId="3"/>
    <cellStyle name="Comma 2" xfId="5" xr:uid="{00000000-0005-0000-0000-000001000000}"/>
    <cellStyle name="Hyperlink" xfId="2" builtinId="8"/>
    <cellStyle name="Normal" xfId="0" builtinId="0"/>
    <cellStyle name="Normal 2" xfId="3" xr:uid="{00000000-0005-0000-0000-000004000000}"/>
    <cellStyle name="Normal 3" xfId="4" xr:uid="{00000000-0005-0000-0000-000005000000}"/>
  </cellStyles>
  <dxfs count="30">
    <dxf>
      <font>
        <color theme="0"/>
      </font>
      <fill>
        <patternFill>
          <bgColor theme="0"/>
        </patternFill>
      </fill>
    </dxf>
    <dxf>
      <font>
        <color theme="0"/>
      </font>
      <fill>
        <patternFill>
          <bgColor theme="0"/>
        </patternFill>
      </fill>
      <border>
        <right/>
        <top/>
        <bottom/>
        <vertical/>
        <horizontal/>
      </border>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rgb="FFC00000"/>
      </font>
    </dxf>
    <dxf>
      <font>
        <color rgb="FFC00000"/>
      </font>
    </dxf>
    <dxf>
      <font>
        <color theme="0"/>
      </font>
      <fill>
        <patternFill patternType="solid">
          <bgColor theme="0"/>
        </patternFill>
      </fill>
      <border>
        <right/>
        <top/>
        <bottom/>
        <vertical/>
        <horizontal/>
      </border>
    </dxf>
    <dxf>
      <font>
        <color theme="0"/>
      </font>
      <fill>
        <patternFill patternType="solid">
          <bgColor theme="0"/>
        </patternFill>
      </fill>
      <border>
        <right/>
        <bottom/>
        <vertical/>
        <horizontal/>
      </border>
    </dxf>
    <dxf>
      <font>
        <color rgb="FFFF0000"/>
      </font>
    </dxf>
    <dxf>
      <font>
        <color rgb="FFFF0000"/>
      </font>
    </dxf>
    <dxf>
      <font>
        <color rgb="FFFF0000"/>
      </font>
    </dxf>
    <dxf>
      <font>
        <color rgb="FFFF0000"/>
      </font>
    </dxf>
    <dxf>
      <font>
        <b/>
        <i val="0"/>
        <color rgb="FFFF0000"/>
      </font>
    </dxf>
    <dxf>
      <font>
        <b/>
        <i val="0"/>
        <color rgb="FFFF0000"/>
      </font>
    </dxf>
    <dxf>
      <font>
        <color theme="0"/>
      </font>
    </dxf>
    <dxf>
      <font>
        <b/>
        <i val="0"/>
        <color rgb="FFC00000"/>
      </font>
    </dxf>
    <dxf>
      <font>
        <color theme="0"/>
      </font>
      <fill>
        <patternFill>
          <bgColor theme="0"/>
        </patternFill>
      </fill>
    </dxf>
    <dxf>
      <font>
        <b/>
        <i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ndense val="0"/>
        <extend val="0"/>
        <color indexed="10"/>
      </font>
    </dxf>
  </dxfs>
  <tableStyles count="0" defaultTableStyle="TableStyleMedium9" defaultPivotStyle="PivotStyleLight16"/>
  <colors>
    <mruColors>
      <color rgb="FFFF9900"/>
      <color rgb="FF0000FF"/>
      <color rgb="FFC00000"/>
      <color rgb="FF99CC00"/>
      <color rgb="FFCC00FF"/>
      <color rgb="FFC0C0C0"/>
      <color rgb="FFE8FCFE"/>
      <color rgb="FFFFFFCC"/>
      <color rgb="FFCCFFFF"/>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LM5143-Q1 Bode Plot</a:t>
            </a:r>
          </a:p>
        </c:rich>
      </c:tx>
      <c:layout>
        <c:manualLayout>
          <c:xMode val="edge"/>
          <c:yMode val="edge"/>
          <c:x val="0.38532555879494657"/>
          <c:y val="2.4449846994932085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0"/>
          <c:order val="0"/>
          <c:tx>
            <c:strRef>
              <c:f>'Stability Calculations'!$Q$12</c:f>
              <c:strCache>
                <c:ptCount val="1"/>
                <c:pt idx="0">
                  <c:v>Gain (dB)</c:v>
                </c:pt>
              </c:strCache>
            </c:strRef>
          </c:tx>
          <c:spPr>
            <a:ln w="25400">
              <a:solidFill>
                <a:srgbClr val="FF0000"/>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Calculations'!$Q$13:$Q$613</c:f>
              <c:numCache>
                <c:formatCode>0.00</c:formatCode>
                <c:ptCount val="601"/>
                <c:pt idx="0">
                  <c:v>89.429252585242423</c:v>
                </c:pt>
                <c:pt idx="1">
                  <c:v>88.902073581740083</c:v>
                </c:pt>
                <c:pt idx="2">
                  <c:v>88.342869581257887</c:v>
                </c:pt>
                <c:pt idx="3">
                  <c:v>87.753886021051969</c:v>
                </c:pt>
                <c:pt idx="4">
                  <c:v>87.137996297651284</c:v>
                </c:pt>
                <c:pt idx="5">
                  <c:v>86.496730624800776</c:v>
                </c:pt>
                <c:pt idx="6">
                  <c:v>85.833556747751885</c:v>
                </c:pt>
                <c:pt idx="7">
                  <c:v>85.150554098369952</c:v>
                </c:pt>
                <c:pt idx="8">
                  <c:v>84.450607310845072</c:v>
                </c:pt>
                <c:pt idx="9">
                  <c:v>83.73540209684883</c:v>
                </c:pt>
                <c:pt idx="10">
                  <c:v>83.007365562033016</c:v>
                </c:pt>
                <c:pt idx="11">
                  <c:v>82.268213340284447</c:v>
                </c:pt>
                <c:pt idx="12">
                  <c:v>81.519158294849788</c:v>
                </c:pt>
                <c:pt idx="13">
                  <c:v>80.762333788068688</c:v>
                </c:pt>
                <c:pt idx="14">
                  <c:v>79.998368348209794</c:v>
                </c:pt>
                <c:pt idx="15">
                  <c:v>79.228616199393272</c:v>
                </c:pt>
                <c:pt idx="16">
                  <c:v>78.453928239848381</c:v>
                </c:pt>
                <c:pt idx="17">
                  <c:v>77.675194368206746</c:v>
                </c:pt>
                <c:pt idx="18">
                  <c:v>76.892850361759969</c:v>
                </c:pt>
                <c:pt idx="19">
                  <c:v>76.107666638028476</c:v>
                </c:pt>
                <c:pt idx="20">
                  <c:v>75.319959665214085</c:v>
                </c:pt>
                <c:pt idx="21">
                  <c:v>74.530288060853977</c:v>
                </c:pt>
                <c:pt idx="22">
                  <c:v>73.738817254459136</c:v>
                </c:pt>
                <c:pt idx="23">
                  <c:v>72.946023120562288</c:v>
                </c:pt>
                <c:pt idx="24">
                  <c:v>72.151938263721092</c:v>
                </c:pt>
                <c:pt idx="25">
                  <c:v>71.356881325591971</c:v>
                </c:pt>
                <c:pt idx="26">
                  <c:v>70.560830466194318</c:v>
                </c:pt>
                <c:pt idx="27">
                  <c:v>69.764175573560095</c:v>
                </c:pt>
                <c:pt idx="28">
                  <c:v>68.966999785105955</c:v>
                </c:pt>
                <c:pt idx="29">
                  <c:v>68.169893895936909</c:v>
                </c:pt>
                <c:pt idx="30">
                  <c:v>67.371589202295837</c:v>
                </c:pt>
                <c:pt idx="31">
                  <c:v>66.573267229390069</c:v>
                </c:pt>
                <c:pt idx="32">
                  <c:v>65.774442109144758</c:v>
                </c:pt>
                <c:pt idx="33">
                  <c:v>64.975729723360601</c:v>
                </c:pt>
                <c:pt idx="34">
                  <c:v>64.176553368998412</c:v>
                </c:pt>
                <c:pt idx="35">
                  <c:v>63.377395838951813</c:v>
                </c:pt>
                <c:pt idx="36">
                  <c:v>62.578162756169817</c:v>
                </c:pt>
                <c:pt idx="37">
                  <c:v>61.778447222010556</c:v>
                </c:pt>
                <c:pt idx="38">
                  <c:v>60.979030667689116</c:v>
                </c:pt>
                <c:pt idx="39">
                  <c:v>60.179285674547948</c:v>
                </c:pt>
                <c:pt idx="40">
                  <c:v>59.379528317943354</c:v>
                </c:pt>
                <c:pt idx="41">
                  <c:v>58.579700634455484</c:v>
                </c:pt>
                <c:pt idx="42">
                  <c:v>57.779920993061502</c:v>
                </c:pt>
                <c:pt idx="43">
                  <c:v>56.979959930802259</c:v>
                </c:pt>
                <c:pt idx="44">
                  <c:v>56.180033351416732</c:v>
                </c:pt>
                <c:pt idx="45">
                  <c:v>55.37998087442201</c:v>
                </c:pt>
                <c:pt idx="46">
                  <c:v>54.579963001160024</c:v>
                </c:pt>
                <c:pt idx="47">
                  <c:v>53.779804414254279</c:v>
                </c:pt>
                <c:pt idx="48">
                  <c:v>52.979696949782571</c:v>
                </c:pt>
                <c:pt idx="49">
                  <c:v>52.179429035972845</c:v>
                </c:pt>
                <c:pt idx="50">
                  <c:v>51.379114653885168</c:v>
                </c:pt>
                <c:pt idx="51">
                  <c:v>50.578555272921164</c:v>
                </c:pt>
                <c:pt idx="52">
                  <c:v>49.77799122725132</c:v>
                </c:pt>
                <c:pt idx="53">
                  <c:v>48.977374045824448</c:v>
                </c:pt>
                <c:pt idx="54">
                  <c:v>48.177180537288464</c:v>
                </c:pt>
                <c:pt idx="55">
                  <c:v>47.37603299986722</c:v>
                </c:pt>
                <c:pt idx="56">
                  <c:v>46.575021646513015</c:v>
                </c:pt>
                <c:pt idx="57">
                  <c:v>45.773568533030399</c:v>
                </c:pt>
                <c:pt idx="58">
                  <c:v>44.972203678772431</c:v>
                </c:pt>
                <c:pt idx="59">
                  <c:v>44.170260266391026</c:v>
                </c:pt>
                <c:pt idx="60">
                  <c:v>43.368131557219144</c:v>
                </c:pt>
                <c:pt idx="61">
                  <c:v>42.565626046262501</c:v>
                </c:pt>
                <c:pt idx="62">
                  <c:v>41.762229612144452</c:v>
                </c:pt>
                <c:pt idx="63">
                  <c:v>40.958610747376795</c:v>
                </c:pt>
                <c:pt idx="64">
                  <c:v>40.154008202842434</c:v>
                </c:pt>
                <c:pt idx="65">
                  <c:v>39.348592103913248</c:v>
                </c:pt>
                <c:pt idx="66">
                  <c:v>38.542136706119543</c:v>
                </c:pt>
                <c:pt idx="67">
                  <c:v>37.734571688765634</c:v>
                </c:pt>
                <c:pt idx="68">
                  <c:v>36.925450725084808</c:v>
                </c:pt>
                <c:pt idx="69">
                  <c:v>36.114751296175321</c:v>
                </c:pt>
                <c:pt idx="70">
                  <c:v>35.302043458944496</c:v>
                </c:pt>
                <c:pt idx="71">
                  <c:v>34.487197625890921</c:v>
                </c:pt>
                <c:pt idx="72">
                  <c:v>33.669721013643546</c:v>
                </c:pt>
                <c:pt idx="73">
                  <c:v>32.849481074417518</c:v>
                </c:pt>
                <c:pt idx="74">
                  <c:v>32.025928918929864</c:v>
                </c:pt>
                <c:pt idx="75">
                  <c:v>31.198861966088657</c:v>
                </c:pt>
                <c:pt idx="76">
                  <c:v>30.367788471072572</c:v>
                </c:pt>
                <c:pt idx="77">
                  <c:v>29.532732107148579</c:v>
                </c:pt>
                <c:pt idx="78">
                  <c:v>28.693509064324097</c:v>
                </c:pt>
                <c:pt idx="79">
                  <c:v>27.85061283663239</c:v>
                </c:pt>
                <c:pt idx="80">
                  <c:v>27.002733272298379</c:v>
                </c:pt>
                <c:pt idx="81">
                  <c:v>26.151341765050063</c:v>
                </c:pt>
                <c:pt idx="82">
                  <c:v>25.296336923711486</c:v>
                </c:pt>
                <c:pt idx="83">
                  <c:v>24.438983905656578</c:v>
                </c:pt>
                <c:pt idx="84">
                  <c:v>23.579433280703391</c:v>
                </c:pt>
                <c:pt idx="85">
                  <c:v>22.719092464828595</c:v>
                </c:pt>
                <c:pt idx="86">
                  <c:v>21.858808630389049</c:v>
                </c:pt>
                <c:pt idx="87">
                  <c:v>20.999086148631065</c:v>
                </c:pt>
                <c:pt idx="88">
                  <c:v>20.141634054385751</c:v>
                </c:pt>
                <c:pt idx="89">
                  <c:v>19.286519060434124</c:v>
                </c:pt>
                <c:pt idx="90">
                  <c:v>18.434650967649013</c:v>
                </c:pt>
                <c:pt idx="91">
                  <c:v>17.58634823193443</c:v>
                </c:pt>
                <c:pt idx="92">
                  <c:v>16.741923210860058</c:v>
                </c:pt>
                <c:pt idx="93">
                  <c:v>15.901140971098638</c:v>
                </c:pt>
                <c:pt idx="94">
                  <c:v>15.691607557307499</c:v>
                </c:pt>
                <c:pt idx="95">
                  <c:v>15.586277068442895</c:v>
                </c:pt>
                <c:pt idx="96">
                  <c:v>15.482207521292139</c:v>
                </c:pt>
                <c:pt idx="97">
                  <c:v>15.376999662224044</c:v>
                </c:pt>
                <c:pt idx="98">
                  <c:v>15.273050100914256</c:v>
                </c:pt>
                <c:pt idx="99">
                  <c:v>15.16793615551537</c:v>
                </c:pt>
                <c:pt idx="100">
                  <c:v>15.064078408455465</c:v>
                </c:pt>
                <c:pt idx="101">
                  <c:v>14.959111008352872</c:v>
                </c:pt>
                <c:pt idx="102">
                  <c:v>14.855396323484229</c:v>
                </c:pt>
                <c:pt idx="103">
                  <c:v>14.750471910964444</c:v>
                </c:pt>
                <c:pt idx="104">
                  <c:v>14.646799057871501</c:v>
                </c:pt>
                <c:pt idx="105">
                  <c:v>14.541972969568139</c:v>
                </c:pt>
                <c:pt idx="106">
                  <c:v>14.438395845537757</c:v>
                </c:pt>
                <c:pt idx="107">
                  <c:v>14.333719146116341</c:v>
                </c:pt>
                <c:pt idx="108">
                  <c:v>14.230287486248667</c:v>
                </c:pt>
                <c:pt idx="109">
                  <c:v>14.12573644582128</c:v>
                </c:pt>
                <c:pt idx="110">
                  <c:v>14.022426966729903</c:v>
                </c:pt>
                <c:pt idx="111">
                  <c:v>13.917911621501029</c:v>
                </c:pt>
                <c:pt idx="112">
                  <c:v>13.814636369114712</c:v>
                </c:pt>
                <c:pt idx="113">
                  <c:v>13.710210792001194</c:v>
                </c:pt>
                <c:pt idx="114">
                  <c:v>13.607022451663058</c:v>
                </c:pt>
                <c:pt idx="115">
                  <c:v>13.502670692157244</c:v>
                </c:pt>
                <c:pt idx="116">
                  <c:v>13.399553581600625</c:v>
                </c:pt>
                <c:pt idx="117">
                  <c:v>13.295261934025216</c:v>
                </c:pt>
                <c:pt idx="118">
                  <c:v>13.192202564658889</c:v>
                </c:pt>
                <c:pt idx="119">
                  <c:v>13.088022192190831</c:v>
                </c:pt>
                <c:pt idx="120">
                  <c:v>12.985070424660133</c:v>
                </c:pt>
                <c:pt idx="121">
                  <c:v>12.880987172563749</c:v>
                </c:pt>
                <c:pt idx="122">
                  <c:v>12.77812908795006</c:v>
                </c:pt>
                <c:pt idx="123">
                  <c:v>12.674070865590622</c:v>
                </c:pt>
                <c:pt idx="124">
                  <c:v>12.571235963298864</c:v>
                </c:pt>
                <c:pt idx="125">
                  <c:v>12.467255071975533</c:v>
                </c:pt>
                <c:pt idx="126">
                  <c:v>12.364494334882369</c:v>
                </c:pt>
                <c:pt idx="127">
                  <c:v>12.260581930545282</c:v>
                </c:pt>
                <c:pt idx="128">
                  <c:v>12.157886628770854</c:v>
                </c:pt>
                <c:pt idx="129">
                  <c:v>12.054035383005877</c:v>
                </c:pt>
                <c:pt idx="130">
                  <c:v>11.951398267523013</c:v>
                </c:pt>
                <c:pt idx="131">
                  <c:v>11.847602234757456</c:v>
                </c:pt>
                <c:pt idx="132">
                  <c:v>11.796160242785474</c:v>
                </c:pt>
                <c:pt idx="133">
                  <c:v>11.745017407601392</c:v>
                </c:pt>
                <c:pt idx="134">
                  <c:v>11.692965002914363</c:v>
                </c:pt>
                <c:pt idx="135">
                  <c:v>11.64121865475652</c:v>
                </c:pt>
                <c:pt idx="136">
                  <c:v>11.589774673358111</c:v>
                </c:pt>
                <c:pt idx="137">
                  <c:v>11.538629434392698</c:v>
                </c:pt>
                <c:pt idx="138">
                  <c:v>11.486628286457631</c:v>
                </c:pt>
                <c:pt idx="139">
                  <c:v>11.43493213555236</c:v>
                </c:pt>
                <c:pt idx="140">
                  <c:v>11.383537307458752</c:v>
                </c:pt>
                <c:pt idx="141">
                  <c:v>11.332440193102366</c:v>
                </c:pt>
                <c:pt idx="142">
                  <c:v>11.280436077333926</c:v>
                </c:pt>
                <c:pt idx="143">
                  <c:v>11.228736510764836</c:v>
                </c:pt>
                <c:pt idx="144">
                  <c:v>11.177337823808243</c:v>
                </c:pt>
                <c:pt idx="145">
                  <c:v>11.126236411972323</c:v>
                </c:pt>
                <c:pt idx="146">
                  <c:v>11.074255272120432</c:v>
                </c:pt>
                <c:pt idx="147">
                  <c:v>11.022577907079143</c:v>
                </c:pt>
                <c:pt idx="148">
                  <c:v>10.971200657856087</c:v>
                </c:pt>
                <c:pt idx="149">
                  <c:v>10.920119930358423</c:v>
                </c:pt>
                <c:pt idx="150">
                  <c:v>10.868161348662952</c:v>
                </c:pt>
                <c:pt idx="151">
                  <c:v>10.816505749330673</c:v>
                </c:pt>
                <c:pt idx="152">
                  <c:v>10.765149484346871</c:v>
                </c:pt>
                <c:pt idx="153">
                  <c:v>10.714088970385941</c:v>
                </c:pt>
                <c:pt idx="154">
                  <c:v>10.662129069435089</c:v>
                </c:pt>
                <c:pt idx="155">
                  <c:v>10.610471612368293</c:v>
                </c:pt>
                <c:pt idx="156">
                  <c:v>10.559112957612577</c:v>
                </c:pt>
                <c:pt idx="157">
                  <c:v>10.508049528175116</c:v>
                </c:pt>
                <c:pt idx="158">
                  <c:v>10.456090227104609</c:v>
                </c:pt>
                <c:pt idx="159">
                  <c:v>10.40443278450814</c:v>
                </c:pt>
                <c:pt idx="160">
                  <c:v>10.353073566116123</c:v>
                </c:pt>
                <c:pt idx="161">
                  <c:v>10.302009002104624</c:v>
                </c:pt>
                <c:pt idx="162">
                  <c:v>10.250075176299728</c:v>
                </c:pt>
                <c:pt idx="163">
                  <c:v>10.198442311126827</c:v>
                </c:pt>
                <c:pt idx="164">
                  <c:v>10.147106785240425</c:v>
                </c:pt>
                <c:pt idx="165">
                  <c:v>10.096065041468851</c:v>
                </c:pt>
                <c:pt idx="166">
                  <c:v>10.044112961764238</c:v>
                </c:pt>
                <c:pt idx="167">
                  <c:v>9.9924614252360424</c:v>
                </c:pt>
                <c:pt idx="168">
                  <c:v>9.9411068147938551</c:v>
                </c:pt>
                <c:pt idx="169">
                  <c:v>9.890045577449019</c:v>
                </c:pt>
                <c:pt idx="170">
                  <c:v>9.838187860408155</c:v>
                </c:pt>
                <c:pt idx="171">
                  <c:v>9.7866289470216383</c:v>
                </c:pt>
                <c:pt idx="172">
                  <c:v>9.7353652481873336</c:v>
                </c:pt>
                <c:pt idx="173">
                  <c:v>9.6843932382699922</c:v>
                </c:pt>
                <c:pt idx="174">
                  <c:v>9.6324354060158051</c:v>
                </c:pt>
                <c:pt idx="175">
                  <c:v>9.5807768486220013</c:v>
                </c:pt>
                <c:pt idx="176">
                  <c:v>9.529413965166496</c:v>
                </c:pt>
                <c:pt idx="177">
                  <c:v>9.4783432184919896</c:v>
                </c:pt>
                <c:pt idx="178">
                  <c:v>9.4263160011699867</c:v>
                </c:pt>
                <c:pt idx="179">
                  <c:v>9.3745881456651574</c:v>
                </c:pt>
                <c:pt idx="180">
                  <c:v>9.3231560460415732</c:v>
                </c:pt>
                <c:pt idx="181">
                  <c:v>9.272016160262389</c:v>
                </c:pt>
                <c:pt idx="182">
                  <c:v>9.2201509071692929</c:v>
                </c:pt>
                <c:pt idx="183">
                  <c:v>9.1685824260537565</c:v>
                </c:pt>
                <c:pt idx="184">
                  <c:v>9.1173071540216988</c:v>
                </c:pt>
                <c:pt idx="185">
                  <c:v>9.0663215910787969</c:v>
                </c:pt>
                <c:pt idx="186">
                  <c:v>9.0142345581062564</c:v>
                </c:pt>
                <c:pt idx="187">
                  <c:v>8.962446064856703</c:v>
                </c:pt>
                <c:pt idx="188">
                  <c:v>8.9109525129825649</c:v>
                </c:pt>
                <c:pt idx="189">
                  <c:v>8.8597503678791156</c:v>
                </c:pt>
                <c:pt idx="190">
                  <c:v>8.8078672894224077</c:v>
                </c:pt>
                <c:pt idx="191">
                  <c:v>8.756279630280531</c:v>
                </c:pt>
                <c:pt idx="192">
                  <c:v>8.7049838444468097</c:v>
                </c:pt>
                <c:pt idx="193">
                  <c:v>8.6539764484343458</c:v>
                </c:pt>
                <c:pt idx="194">
                  <c:v>8.6019280210960467</c:v>
                </c:pt>
                <c:pt idx="195">
                  <c:v>8.5501760659675234</c:v>
                </c:pt>
                <c:pt idx="196">
                  <c:v>8.4987170141861554</c:v>
                </c:pt>
                <c:pt idx="197">
                  <c:v>8.4475473599493149</c:v>
                </c:pt>
                <c:pt idx="198">
                  <c:v>8.395552591219543</c:v>
                </c:pt>
                <c:pt idx="199">
                  <c:v>8.3438528260716431</c:v>
                </c:pt>
                <c:pt idx="200">
                  <c:v>8.2924445179518145</c:v>
                </c:pt>
                <c:pt idx="201">
                  <c:v>8.2413241828442629</c:v>
                </c:pt>
                <c:pt idx="202">
                  <c:v>8.189402148732567</c:v>
                </c:pt>
                <c:pt idx="203">
                  <c:v>8.1377734070872876</c:v>
                </c:pt>
                <c:pt idx="204">
                  <c:v>8.0864344378186743</c:v>
                </c:pt>
                <c:pt idx="205">
                  <c:v>8.0353817827545662</c:v>
                </c:pt>
                <c:pt idx="206">
                  <c:v>7.9833729468566297</c:v>
                </c:pt>
                <c:pt idx="207">
                  <c:v>7.9316574571998935</c:v>
                </c:pt>
                <c:pt idx="208">
                  <c:v>7.8802317882562392</c:v>
                </c:pt>
                <c:pt idx="209">
                  <c:v>7.829092476539512</c:v>
                </c:pt>
                <c:pt idx="210">
                  <c:v>7.7768514861766667</c:v>
                </c:pt>
                <c:pt idx="211">
                  <c:v>7.72490548852576</c:v>
                </c:pt>
                <c:pt idx="212">
                  <c:v>7.6732509236632502</c:v>
                </c:pt>
                <c:pt idx="213">
                  <c:v>7.6218842945087157</c:v>
                </c:pt>
                <c:pt idx="214">
                  <c:v>7.5697867857973318</c:v>
                </c:pt>
                <c:pt idx="215">
                  <c:v>7.5179816514594497</c:v>
                </c:pt>
                <c:pt idx="216">
                  <c:v>7.4664653737579902</c:v>
                </c:pt>
                <c:pt idx="217">
                  <c:v>7.4152344968044357</c:v>
                </c:pt>
                <c:pt idx="218">
                  <c:v>7.363127186464772</c:v>
                </c:pt>
                <c:pt idx="219">
                  <c:v>7.3113113191681673</c:v>
                </c:pt>
                <c:pt idx="220">
                  <c:v>7.2597833887159098</c:v>
                </c:pt>
                <c:pt idx="221">
                  <c:v>7.2085399504803105</c:v>
                </c:pt>
                <c:pt idx="222">
                  <c:v>7.1564446946233229</c:v>
                </c:pt>
                <c:pt idx="223">
                  <c:v>7.1046396674058236</c:v>
                </c:pt>
                <c:pt idx="224">
                  <c:v>7.0531213789893688</c:v>
                </c:pt>
                <c:pt idx="225">
                  <c:v>7.0018864007154926</c:v>
                </c:pt>
                <c:pt idx="226">
                  <c:v>6.9496650028588558</c:v>
                </c:pt>
                <c:pt idx="227">
                  <c:v>6.8977341103308989</c:v>
                </c:pt>
                <c:pt idx="228">
                  <c:v>6.8460902225249018</c:v>
                </c:pt>
                <c:pt idx="229">
                  <c:v>6.7947299002544801</c:v>
                </c:pt>
                <c:pt idx="230">
                  <c:v>6.6903828210236167</c:v>
                </c:pt>
                <c:pt idx="231">
                  <c:v>6.6386413918564271</c:v>
                </c:pt>
                <c:pt idx="232">
                  <c:v>6.5871834244573888</c:v>
                </c:pt>
                <c:pt idx="233">
                  <c:v>6.5347940059253959</c:v>
                </c:pt>
                <c:pt idx="234">
                  <c:v>6.4826945548152457</c:v>
                </c:pt>
                <c:pt idx="235">
                  <c:v>6.4308815675952342</c:v>
                </c:pt>
                <c:pt idx="236">
                  <c:v>6.3793516021971843</c:v>
                </c:pt>
                <c:pt idx="237">
                  <c:v>6.3270642861263218</c:v>
                </c:pt>
                <c:pt idx="238">
                  <c:v>6.2750645436650139</c:v>
                </c:pt>
                <c:pt idx="239">
                  <c:v>6.223348907659128</c:v>
                </c:pt>
                <c:pt idx="240">
                  <c:v>6.1719139715572178</c:v>
                </c:pt>
                <c:pt idx="241">
                  <c:v>6.1194519887192751</c:v>
                </c:pt>
                <c:pt idx="242">
                  <c:v>6.0672781752282514</c:v>
                </c:pt>
                <c:pt idx="243">
                  <c:v>6.015389045973432</c:v>
                </c:pt>
                <c:pt idx="244">
                  <c:v>5.9637811768494551</c:v>
                </c:pt>
                <c:pt idx="245">
                  <c:v>5.9113168190627778</c:v>
                </c:pt>
                <c:pt idx="246">
                  <c:v>5.8591392799346824</c:v>
                </c:pt>
                <c:pt idx="247">
                  <c:v>5.8072450911575224</c:v>
                </c:pt>
                <c:pt idx="248">
                  <c:v>5.7556308450226208</c:v>
                </c:pt>
                <c:pt idx="249">
                  <c:v>5.7030444826710696</c:v>
                </c:pt>
                <c:pt idx="250">
                  <c:v>5.6507448349768072</c:v>
                </c:pt>
                <c:pt idx="251">
                  <c:v>5.5987284274637075</c:v>
                </c:pt>
                <c:pt idx="252">
                  <c:v>5.5469918463814114</c:v>
                </c:pt>
                <c:pt idx="253">
                  <c:v>5.4944455979030824</c:v>
                </c:pt>
                <c:pt idx="254">
                  <c:v>5.4421841383740555</c:v>
                </c:pt>
                <c:pt idx="255">
                  <c:v>5.3902040197092074</c:v>
                </c:pt>
                <c:pt idx="256">
                  <c:v>5.3385018539195688</c:v>
                </c:pt>
                <c:pt idx="257">
                  <c:v>5.285745611945794</c:v>
                </c:pt>
                <c:pt idx="258">
                  <c:v>5.2332748752516123</c:v>
                </c:pt>
                <c:pt idx="259">
                  <c:v>5.1810861737820693</c:v>
                </c:pt>
                <c:pt idx="260">
                  <c:v>5.1291760980699275</c:v>
                </c:pt>
                <c:pt idx="261">
                  <c:v>5.076370952956931</c:v>
                </c:pt>
                <c:pt idx="262">
                  <c:v>5.023850216843301</c:v>
                </c:pt>
                <c:pt idx="263">
                  <c:v>4.971610430085053</c:v>
                </c:pt>
                <c:pt idx="264">
                  <c:v>4.9196481933657408</c:v>
                </c:pt>
                <c:pt idx="265">
                  <c:v>4.8668146327135755</c:v>
                </c:pt>
                <c:pt idx="266">
                  <c:v>4.8142640985402068</c:v>
                </c:pt>
                <c:pt idx="267">
                  <c:v>4.7619931463281828</c:v>
                </c:pt>
                <c:pt idx="268">
                  <c:v>4.7099983915179831</c:v>
                </c:pt>
                <c:pt idx="269">
                  <c:v>4.6570305350210326</c:v>
                </c:pt>
                <c:pt idx="270">
                  <c:v>4.6043453809012655</c:v>
                </c:pt>
                <c:pt idx="271">
                  <c:v>4.5519394799589801</c:v>
                </c:pt>
                <c:pt idx="272">
                  <c:v>4.4998094430408786</c:v>
                </c:pt>
                <c:pt idx="273">
                  <c:v>4.4467321481984863</c:v>
                </c:pt>
                <c:pt idx="274">
                  <c:v>4.3939368844891291</c:v>
                </c:pt>
                <c:pt idx="275">
                  <c:v>4.341420203761527</c:v>
                </c:pt>
                <c:pt idx="276">
                  <c:v>4.2891787178659495</c:v>
                </c:pt>
                <c:pt idx="277">
                  <c:v>4.236134240148127</c:v>
                </c:pt>
                <c:pt idx="278">
                  <c:v>4.1833695408815892</c:v>
                </c:pt>
                <c:pt idx="279">
                  <c:v>4.1308812012948817</c:v>
                </c:pt>
                <c:pt idx="280">
                  <c:v>4.0786658619183944</c:v>
                </c:pt>
                <c:pt idx="281">
                  <c:v>4.0253168369465078</c:v>
                </c:pt>
                <c:pt idx="282">
                  <c:v>3.9722488050048428</c:v>
                </c:pt>
                <c:pt idx="283">
                  <c:v>3.9194583125824503</c:v>
                </c:pt>
                <c:pt idx="284">
                  <c:v>3.8669419662506721</c:v>
                </c:pt>
                <c:pt idx="285">
                  <c:v>3.8136657120914421</c:v>
                </c:pt>
                <c:pt idx="286">
                  <c:v>3.7606676136918353</c:v>
                </c:pt>
                <c:pt idx="287">
                  <c:v>3.7079442564533482</c:v>
                </c:pt>
                <c:pt idx="288">
                  <c:v>3.6554922849390987</c:v>
                </c:pt>
                <c:pt idx="289">
                  <c:v>3.6019623454725611</c:v>
                </c:pt>
                <c:pt idx="290">
                  <c:v>3.5487110418577092</c:v>
                </c:pt>
                <c:pt idx="291">
                  <c:v>3.4957349367498964</c:v>
                </c:pt>
                <c:pt idx="292">
                  <c:v>3.4430306524673115</c:v>
                </c:pt>
                <c:pt idx="293">
                  <c:v>3.3893862663371221</c:v>
                </c:pt>
                <c:pt idx="294">
                  <c:v>3.3360194417768056</c:v>
                </c:pt>
                <c:pt idx="295">
                  <c:v>3.2829267465138345</c:v>
                </c:pt>
                <c:pt idx="296">
                  <c:v>3.2301048077974555</c:v>
                </c:pt>
                <c:pt idx="297">
                  <c:v>3.1763663116107796</c:v>
                </c:pt>
                <c:pt idx="298">
                  <c:v>3.1229039927064077</c:v>
                </c:pt>
                <c:pt idx="299">
                  <c:v>3.0697144288590863</c:v>
                </c:pt>
                <c:pt idx="300">
                  <c:v>3.0167942571090576</c:v>
                </c:pt>
                <c:pt idx="301">
                  <c:v>2.9629801091670198</c:v>
                </c:pt>
                <c:pt idx="302">
                  <c:v>2.9094404652634482</c:v>
                </c:pt>
                <c:pt idx="303">
                  <c:v>2.8561719178087168</c:v>
                </c:pt>
                <c:pt idx="304">
                  <c:v>2.8031711181165142</c:v>
                </c:pt>
                <c:pt idx="305">
                  <c:v>2.7490913090177242</c:v>
                </c:pt>
                <c:pt idx="306">
                  <c:v>2.6952861494951899</c:v>
                </c:pt>
                <c:pt idx="307">
                  <c:v>2.6417522118978463</c:v>
                </c:pt>
                <c:pt idx="308">
                  <c:v>2.588486127912879</c:v>
                </c:pt>
                <c:pt idx="309">
                  <c:v>2.5343705188813761</c:v>
                </c:pt>
                <c:pt idx="310">
                  <c:v>2.4805272569954462</c:v>
                </c:pt>
                <c:pt idx="311">
                  <c:v>2.4269529392502998</c:v>
                </c:pt>
                <c:pt idx="312">
                  <c:v>2.3736442213856446</c:v>
                </c:pt>
                <c:pt idx="313">
                  <c:v>2.3193072513950597</c:v>
                </c:pt>
                <c:pt idx="314">
                  <c:v>2.2652420741830279</c:v>
                </c:pt>
                <c:pt idx="315">
                  <c:v>2.2114452777879783</c:v>
                </c:pt>
                <c:pt idx="316">
                  <c:v>2.1579135091701658</c:v>
                </c:pt>
                <c:pt idx="317">
                  <c:v>2.1033783019607561</c:v>
                </c:pt>
                <c:pt idx="318">
                  <c:v>2.0491139636596816</c:v>
                </c:pt>
                <c:pt idx="319">
                  <c:v>1.9951170791793491</c:v>
                </c:pt>
                <c:pt idx="320">
                  <c:v>1.9413842923964408</c:v>
                </c:pt>
                <c:pt idx="321">
                  <c:v>1.8866718471466992</c:v>
                </c:pt>
                <c:pt idx="322">
                  <c:v>1.8322289995077288</c:v>
                </c:pt>
                <c:pt idx="323">
                  <c:v>1.7780523367097656</c:v>
                </c:pt>
                <c:pt idx="324">
                  <c:v>1.7241385048636899</c:v>
                </c:pt>
                <c:pt idx="325">
                  <c:v>1.6692677825493827</c:v>
                </c:pt>
                <c:pt idx="326">
                  <c:v>1.614665060670585</c:v>
                </c:pt>
                <c:pt idx="327">
                  <c:v>1.5603269338329897</c:v>
                </c:pt>
                <c:pt idx="328">
                  <c:v>1.5062500553225224</c:v>
                </c:pt>
                <c:pt idx="329">
                  <c:v>1.4511462953333458</c:v>
                </c:pt>
                <c:pt idx="330">
                  <c:v>1.3963095186226662</c:v>
                </c:pt>
                <c:pt idx="331">
                  <c:v>1.3417363149443031</c:v>
                </c:pt>
                <c:pt idx="332">
                  <c:v>1.2874233328110307</c:v>
                </c:pt>
                <c:pt idx="333">
                  <c:v>1.2321969325855886</c:v>
                </c:pt>
                <c:pt idx="334">
                  <c:v>1.1772352803914874</c:v>
                </c:pt>
                <c:pt idx="335">
                  <c:v>1.1225349831625591</c:v>
                </c:pt>
                <c:pt idx="336">
                  <c:v>1.0680927061651113</c:v>
                </c:pt>
                <c:pt idx="337">
                  <c:v>1.0125802167614022</c:v>
                </c:pt>
                <c:pt idx="338">
                  <c:v>0.95733164640457391</c:v>
                </c:pt>
                <c:pt idx="339">
                  <c:v>0.90234359093388672</c:v>
                </c:pt>
                <c:pt idx="340">
                  <c:v>0.84761270474038863</c:v>
                </c:pt>
                <c:pt idx="341">
                  <c:v>0.79183550446755624</c:v>
                </c:pt>
                <c:pt idx="342">
                  <c:v>0.73632100863323047</c:v>
                </c:pt>
                <c:pt idx="343">
                  <c:v>0.68106580786980297</c:v>
                </c:pt>
                <c:pt idx="344">
                  <c:v>0.62606655144516865</c:v>
                </c:pt>
                <c:pt idx="345">
                  <c:v>0.57012888512967119</c:v>
                </c:pt>
                <c:pt idx="346">
                  <c:v>0.51445155584087066</c:v>
                </c:pt>
                <c:pt idx="347">
                  <c:v>0.45903116992070842</c:v>
                </c:pt>
                <c:pt idx="348">
                  <c:v>0.403864391951746</c:v>
                </c:pt>
                <c:pt idx="349">
                  <c:v>0.347611617824305</c:v>
                </c:pt>
                <c:pt idx="350">
                  <c:v>0.29161806967849957</c:v>
                </c:pt>
                <c:pt idx="351">
                  <c:v>0.23588034352479431</c:v>
                </c:pt>
                <c:pt idx="352">
                  <c:v>0.18039509381349961</c:v>
                </c:pt>
                <c:pt idx="353">
                  <c:v>0.12384689823434278</c:v>
                </c:pt>
                <c:pt idx="354">
                  <c:v>6.755642984397224E-2</c:v>
                </c:pt>
                <c:pt idx="355">
                  <c:v>1.1520280131038925E-2</c:v>
                </c:pt>
                <c:pt idx="356">
                  <c:v>-4.4264900909761859E-2</c:v>
                </c:pt>
                <c:pt idx="357">
                  <c:v>-0.10101051846938609</c:v>
                </c:pt>
                <c:pt idx="358">
                  <c:v>-0.15750099514522975</c:v>
                </c:pt>
                <c:pt idx="359">
                  <c:v>-0.21373972416042289</c:v>
                </c:pt>
                <c:pt idx="360">
                  <c:v>-0.26973004061744099</c:v>
                </c:pt>
                <c:pt idx="361">
                  <c:v>-0.32682024854304387</c:v>
                </c:pt>
                <c:pt idx="362">
                  <c:v>-0.38365678453242902</c:v>
                </c:pt>
                <c:pt idx="363">
                  <c:v>-0.44024305053762103</c:v>
                </c:pt>
                <c:pt idx="364">
                  <c:v>-0.49658239022750988</c:v>
                </c:pt>
                <c:pt idx="365">
                  <c:v>-0.55392191900923327</c:v>
                </c:pt>
                <c:pt idx="366">
                  <c:v>-0.6110103098769083</c:v>
                </c:pt>
                <c:pt idx="367">
                  <c:v>-0.66785095410594286</c:v>
                </c:pt>
                <c:pt idx="368">
                  <c:v>-0.72444718496680882</c:v>
                </c:pt>
                <c:pt idx="369">
                  <c:v>-0.78217753517782829</c:v>
                </c:pt>
                <c:pt idx="370">
                  <c:v>-0.83965827205407473</c:v>
                </c:pt>
                <c:pt idx="371">
                  <c:v>-0.89689279863480353</c:v>
                </c:pt>
                <c:pt idx="372">
                  <c:v>-0.95388445972014324</c:v>
                </c:pt>
                <c:pt idx="373">
                  <c:v>-1.0119133629809653</c:v>
                </c:pt>
                <c:pt idx="374">
                  <c:v>-1.0696952186055189</c:v>
                </c:pt>
                <c:pt idx="375">
                  <c:v>-1.1272334223996625</c:v>
                </c:pt>
                <c:pt idx="376">
                  <c:v>-1.184531312125344</c:v>
                </c:pt>
                <c:pt idx="377">
                  <c:v>-1.2429953727775693</c:v>
                </c:pt>
                <c:pt idx="378">
                  <c:v>-1.3012140429281986</c:v>
                </c:pt>
                <c:pt idx="379">
                  <c:v>-1.3591907321576067</c:v>
                </c:pt>
                <c:pt idx="380">
                  <c:v>-1.4169287917159372</c:v>
                </c:pt>
                <c:pt idx="381">
                  <c:v>-1.4756663537515236</c:v>
                </c:pt>
                <c:pt idx="382">
                  <c:v>-1.534161794333289</c:v>
                </c:pt>
                <c:pt idx="383">
                  <c:v>-1.5924185057075535</c:v>
                </c:pt>
                <c:pt idx="384">
                  <c:v>-1.6504398222058938</c:v>
                </c:pt>
                <c:pt idx="385">
                  <c:v>-1.7096582999613248</c:v>
                </c:pt>
                <c:pt idx="386">
                  <c:v>-1.76863647983563</c:v>
                </c:pt>
                <c:pt idx="387">
                  <c:v>-1.82737776947718</c:v>
                </c:pt>
                <c:pt idx="388">
                  <c:v>-1.885885518284377</c:v>
                </c:pt>
                <c:pt idx="389">
                  <c:v>-1.9454992414546157</c:v>
                </c:pt>
                <c:pt idx="390">
                  <c:v>-2.0048754791902468</c:v>
                </c:pt>
                <c:pt idx="391">
                  <c:v>-2.0640176363712555</c:v>
                </c:pt>
                <c:pt idx="392">
                  <c:v>-2.1229290596962263</c:v>
                </c:pt>
                <c:pt idx="393">
                  <c:v>-2.1829284144473475</c:v>
                </c:pt>
                <c:pt idx="394">
                  <c:v>-2.2426934505157985</c:v>
                </c:pt>
                <c:pt idx="395">
                  <c:v>-2.3022275649832293</c:v>
                </c:pt>
                <c:pt idx="396">
                  <c:v>-2.3615340969211682</c:v>
                </c:pt>
                <c:pt idx="397">
                  <c:v>-2.4220479333867755</c:v>
                </c:pt>
                <c:pt idx="398">
                  <c:v>-2.4823299133946368</c:v>
                </c:pt>
                <c:pt idx="399">
                  <c:v>-2.5423834443423243</c:v>
                </c:pt>
                <c:pt idx="400">
                  <c:v>-2.6022118753627814</c:v>
                </c:pt>
                <c:pt idx="401">
                  <c:v>-2.66316148591073</c:v>
                </c:pt>
                <c:pt idx="402">
                  <c:v>-2.7238826215849321</c:v>
                </c:pt>
                <c:pt idx="403">
                  <c:v>-2.7843786829050727</c:v>
                </c:pt>
                <c:pt idx="404">
                  <c:v>-2.8446530122445903</c:v>
                </c:pt>
                <c:pt idx="405">
                  <c:v>-2.9060983545039605</c:v>
                </c:pt>
                <c:pt idx="406">
                  <c:v>-2.9673184652023377</c:v>
                </c:pt>
                <c:pt idx="407">
                  <c:v>-3.028316743946184</c:v>
                </c:pt>
                <c:pt idx="408">
                  <c:v>-3.0890965321567379</c:v>
                </c:pt>
                <c:pt idx="409">
                  <c:v>-3.1510958738020305</c:v>
                </c:pt>
                <c:pt idx="410">
                  <c:v>-3.2128731368846024</c:v>
                </c:pt>
                <c:pt idx="411">
                  <c:v>-3.2744317253109805</c:v>
                </c:pt>
                <c:pt idx="412">
                  <c:v>-3.3357749846180185</c:v>
                </c:pt>
                <c:pt idx="413">
                  <c:v>-3.3983208765415003</c:v>
                </c:pt>
                <c:pt idx="414">
                  <c:v>-3.4606482445122766</c:v>
                </c:pt>
                <c:pt idx="415">
                  <c:v>-3.522760490803492</c:v>
                </c:pt>
                <c:pt idx="416">
                  <c:v>-3.5846609592370586</c:v>
                </c:pt>
                <c:pt idx="417">
                  <c:v>-3.6478117282395446</c:v>
                </c:pt>
                <c:pt idx="418">
                  <c:v>-3.7107474769508753</c:v>
                </c:pt>
                <c:pt idx="419">
                  <c:v>-3.7734716105024768</c:v>
                </c:pt>
                <c:pt idx="420">
                  <c:v>-3.8359874753513616</c:v>
                </c:pt>
                <c:pt idx="421">
                  <c:v>-3.8996751808956147</c:v>
                </c:pt>
                <c:pt idx="422">
                  <c:v>-3.9631521843966802</c:v>
                </c:pt>
                <c:pt idx="423">
                  <c:v>-4.0264218777153324</c:v>
                </c:pt>
                <c:pt idx="424">
                  <c:v>-4.0894875941385225</c:v>
                </c:pt>
                <c:pt idx="425">
                  <c:v>-4.1538969825403838</c:v>
                </c:pt>
                <c:pt idx="426">
                  <c:v>-4.2180991340851888</c:v>
                </c:pt>
                <c:pt idx="427">
                  <c:v>-4.2820974511885677</c:v>
                </c:pt>
                <c:pt idx="428">
                  <c:v>-4.3458952771905004</c:v>
                </c:pt>
                <c:pt idx="429">
                  <c:v>-4.4109598944829038</c:v>
                </c:pt>
                <c:pt idx="430">
                  <c:v>-4.4758215649750674</c:v>
                </c:pt>
                <c:pt idx="431">
                  <c:v>-4.5404836849398649</c:v>
                </c:pt>
                <c:pt idx="432">
                  <c:v>-4.6049495913919873</c:v>
                </c:pt>
                <c:pt idx="433">
                  <c:v>-4.6706687706072412</c:v>
                </c:pt>
                <c:pt idx="434">
                  <c:v>-4.7361896659293263</c:v>
                </c:pt>
                <c:pt idx="435">
                  <c:v>-4.8015156611075103</c:v>
                </c:pt>
                <c:pt idx="436">
                  <c:v>-4.8666500805238835</c:v>
                </c:pt>
                <c:pt idx="437">
                  <c:v>-4.9331445112446719</c:v>
                </c:pt>
                <c:pt idx="438">
                  <c:v>-4.9994449772043756</c:v>
                </c:pt>
                <c:pt idx="439">
                  <c:v>-5.0655548613742951</c:v>
                </c:pt>
                <c:pt idx="440">
                  <c:v>-5.1314774868873574</c:v>
                </c:pt>
                <c:pt idx="441">
                  <c:v>-5.1987468677392918</c:v>
                </c:pt>
                <c:pt idx="442">
                  <c:v>-5.2658270094815194</c:v>
                </c:pt>
                <c:pt idx="443">
                  <c:v>-5.3327212867345777</c:v>
                </c:pt>
                <c:pt idx="444">
                  <c:v>-5.3994330138835034</c:v>
                </c:pt>
                <c:pt idx="445">
                  <c:v>-5.4674794586915851</c:v>
                </c:pt>
                <c:pt idx="446">
                  <c:v>-5.5353417648810481</c:v>
                </c:pt>
                <c:pt idx="447">
                  <c:v>-5.6030232911798796</c:v>
                </c:pt>
                <c:pt idx="448">
                  <c:v>-5.6705273357452768</c:v>
                </c:pt>
                <c:pt idx="449">
                  <c:v>-5.7394704771059013</c:v>
                </c:pt>
                <c:pt idx="450">
                  <c:v>-5.808234328241598</c:v>
                </c:pt>
                <c:pt idx="451">
                  <c:v>-5.8768222410927624</c:v>
                </c:pt>
                <c:pt idx="452">
                  <c:v>-5.9452375063386338</c:v>
                </c:pt>
                <c:pt idx="453">
                  <c:v>-6.0150233787108967</c:v>
                </c:pt>
                <c:pt idx="454">
                  <c:v>-6.0846354828382543</c:v>
                </c:pt>
                <c:pt idx="455">
                  <c:v>-6.1540771468203612</c:v>
                </c:pt>
                <c:pt idx="456">
                  <c:v>-6.2233516370643214</c:v>
                </c:pt>
                <c:pt idx="457">
                  <c:v>-6.2941002960638865</c:v>
                </c:pt>
                <c:pt idx="458">
                  <c:v>-6.3646804876172389</c:v>
                </c:pt>
                <c:pt idx="459">
                  <c:v>-6.4350955233275045</c:v>
                </c:pt>
                <c:pt idx="460">
                  <c:v>-6.5053486523174033</c:v>
                </c:pt>
                <c:pt idx="461">
                  <c:v>-6.5770660956908049</c:v>
                </c:pt>
                <c:pt idx="462">
                  <c:v>-6.6486207257383203</c:v>
                </c:pt>
                <c:pt idx="463">
                  <c:v>-6.7200158276854527</c:v>
                </c:pt>
                <c:pt idx="464">
                  <c:v>-6.791254623536175</c:v>
                </c:pt>
                <c:pt idx="465">
                  <c:v>-6.8640045316690728</c:v>
                </c:pt>
                <c:pt idx="466">
                  <c:v>-6.9365973521616908</c:v>
                </c:pt>
                <c:pt idx="467">
                  <c:v>-7.009036341167346</c:v>
                </c:pt>
                <c:pt idx="468">
                  <c:v>-7.081324690720999</c:v>
                </c:pt>
                <c:pt idx="469">
                  <c:v>-7.1551159068726502</c:v>
                </c:pt>
                <c:pt idx="470">
                  <c:v>-7.2287560612318948</c:v>
                </c:pt>
                <c:pt idx="471">
                  <c:v>-7.302248369878602</c:v>
                </c:pt>
                <c:pt idx="472">
                  <c:v>-7.3755959839163818</c:v>
                </c:pt>
                <c:pt idx="473">
                  <c:v>-7.4505484877073647</c:v>
                </c:pt>
                <c:pt idx="474">
                  <c:v>-7.5253557858200217</c:v>
                </c:pt>
                <c:pt idx="475">
                  <c:v>-7.6000210567351756</c:v>
                </c:pt>
                <c:pt idx="476">
                  <c:v>-7.6745474127523661</c:v>
                </c:pt>
                <c:pt idx="477">
                  <c:v>-7.7506713590661569</c:v>
                </c:pt>
                <c:pt idx="478">
                  <c:v>-7.8266562222963785</c:v>
                </c:pt>
                <c:pt idx="479">
                  <c:v>-7.9025051303175333</c:v>
                </c:pt>
                <c:pt idx="480">
                  <c:v>-7.9782211436633768</c:v>
                </c:pt>
                <c:pt idx="481">
                  <c:v>-8.0555285262346246</c:v>
                </c:pt>
                <c:pt idx="482">
                  <c:v>-8.1327031530886327</c:v>
                </c:pt>
                <c:pt idx="483">
                  <c:v>-8.2097480881527982</c:v>
                </c:pt>
                <c:pt idx="484">
                  <c:v>-8.286666326901555</c:v>
                </c:pt>
                <c:pt idx="485">
                  <c:v>-8.3652241410400876</c:v>
                </c:pt>
                <c:pt idx="486">
                  <c:v>-8.4436554963338573</c:v>
                </c:pt>
                <c:pt idx="487">
                  <c:v>-8.5219633851501513</c:v>
                </c:pt>
                <c:pt idx="488">
                  <c:v>-8.6001507301563347</c:v>
                </c:pt>
                <c:pt idx="489">
                  <c:v>-8.6800790398766985</c:v>
                </c:pt>
                <c:pt idx="490">
                  <c:v>-8.7598869749452373</c:v>
                </c:pt>
                <c:pt idx="491">
                  <c:v>-8.8395774529300972</c:v>
                </c:pt>
                <c:pt idx="492">
                  <c:v>-8.9191533201470747</c:v>
                </c:pt>
                <c:pt idx="493">
                  <c:v>-9.0004652727390724</c:v>
                </c:pt>
                <c:pt idx="494">
                  <c:v>-9.0816630251785817</c:v>
                </c:pt>
                <c:pt idx="495">
                  <c:v>-9.1627494036310733</c:v>
                </c:pt>
                <c:pt idx="496">
                  <c:v>-9.2437271615527727</c:v>
                </c:pt>
                <c:pt idx="497">
                  <c:v>-9.3264894726367054</c:v>
                </c:pt>
                <c:pt idx="498">
                  <c:v>-9.4091436293982582</c:v>
                </c:pt>
                <c:pt idx="499">
                  <c:v>-9.4916923548721108</c:v>
                </c:pt>
                <c:pt idx="500">
                  <c:v>-9.5741382978585889</c:v>
                </c:pt>
                <c:pt idx="501">
                  <c:v>-9.6584173212755839</c:v>
                </c:pt>
                <c:pt idx="502">
                  <c:v>-9.7425940584128785</c:v>
                </c:pt>
                <c:pt idx="503">
                  <c:v>-9.8266711161321769</c:v>
                </c:pt>
                <c:pt idx="504">
                  <c:v>-9.9106510255024087</c:v>
                </c:pt>
                <c:pt idx="505">
                  <c:v>-9.9964605556211037</c:v>
                </c:pt>
                <c:pt idx="506">
                  <c:v>-10.082173547525052</c:v>
                </c:pt>
                <c:pt idx="507">
                  <c:v>-10.167792473198178</c:v>
                </c:pt>
                <c:pt idx="508">
                  <c:v>-10.253319727468288</c:v>
                </c:pt>
                <c:pt idx="509">
                  <c:v>-10.340725448160393</c:v>
                </c:pt>
                <c:pt idx="510">
                  <c:v>-10.428040053245201</c:v>
                </c:pt>
                <c:pt idx="511">
                  <c:v>-10.515265865359121</c:v>
                </c:pt>
                <c:pt idx="512">
                  <c:v>-10.602405128674327</c:v>
                </c:pt>
                <c:pt idx="513">
                  <c:v>-10.691523138256482</c:v>
                </c:pt>
                <c:pt idx="514">
                  <c:v>-10.780554959953017</c:v>
                </c:pt>
                <c:pt idx="515">
                  <c:v>-10.869502755359887</c:v>
                </c:pt>
                <c:pt idx="516">
                  <c:v>-10.958368606232058</c:v>
                </c:pt>
                <c:pt idx="517">
                  <c:v>-11.049210003791776</c:v>
                </c:pt>
                <c:pt idx="518">
                  <c:v>-11.139969776669719</c:v>
                </c:pt>
                <c:pt idx="519">
                  <c:v>-11.230649905096437</c:v>
                </c:pt>
                <c:pt idx="520">
                  <c:v>-11.321252288454986</c:v>
                </c:pt>
                <c:pt idx="521">
                  <c:v>-11.413878360444738</c:v>
                </c:pt>
                <c:pt idx="522">
                  <c:v>-11.506426808633597</c:v>
                </c:pt>
                <c:pt idx="523">
                  <c:v>-11.598899415394268</c:v>
                </c:pt>
                <c:pt idx="524">
                  <c:v>-11.691297881503484</c:v>
                </c:pt>
                <c:pt idx="525">
                  <c:v>-11.785767718387746</c:v>
                </c:pt>
                <c:pt idx="526">
                  <c:v>-11.880163278553809</c:v>
                </c:pt>
                <c:pt idx="527">
                  <c:v>-11.974486129929398</c:v>
                </c:pt>
                <c:pt idx="528">
                  <c:v>-12.068737758438431</c:v>
                </c:pt>
                <c:pt idx="529">
                  <c:v>-12.165107841120955</c:v>
                </c:pt>
                <c:pt idx="530">
                  <c:v>-12.261406244205585</c:v>
                </c:pt>
                <c:pt idx="531">
                  <c:v>-12.357634304868714</c:v>
                </c:pt>
                <c:pt idx="532">
                  <c:v>-12.453793278304168</c:v>
                </c:pt>
                <c:pt idx="533">
                  <c:v>-12.552167779045334</c:v>
                </c:pt>
                <c:pt idx="534">
                  <c:v>-12.650472276374396</c:v>
                </c:pt>
                <c:pt idx="535">
                  <c:v>-12.748707862741671</c:v>
                </c:pt>
                <c:pt idx="536">
                  <c:v>-12.846875548990704</c:v>
                </c:pt>
                <c:pt idx="537">
                  <c:v>-12.94720275664571</c:v>
                </c:pt>
                <c:pt idx="538">
                  <c:v>-13.047460832152352</c:v>
                </c:pt>
                <c:pt idx="539">
                  <c:v>-13.147650605386339</c:v>
                </c:pt>
                <c:pt idx="540">
                  <c:v>-13.24777282594215</c:v>
                </c:pt>
                <c:pt idx="541">
                  <c:v>-13.35020001293039</c:v>
                </c:pt>
                <c:pt idx="542">
                  <c:v>-13.452557746920847</c:v>
                </c:pt>
                <c:pt idx="543">
                  <c:v>-13.554846585013088</c:v>
                </c:pt>
                <c:pt idx="544">
                  <c:v>-13.657067005730374</c:v>
                </c:pt>
                <c:pt idx="545">
                  <c:v>-13.761584878738947</c:v>
                </c:pt>
                <c:pt idx="546">
                  <c:v>-13.866031899694867</c:v>
                </c:pt>
                <c:pt idx="547">
                  <c:v>-13.970408340998501</c:v>
                </c:pt>
                <c:pt idx="548">
                  <c:v>-14.074714399129643</c:v>
                </c:pt>
                <c:pt idx="549">
                  <c:v>-14.181359442903773</c:v>
                </c:pt>
                <c:pt idx="550">
                  <c:v>-14.287930994589646</c:v>
                </c:pt>
                <c:pt idx="551">
                  <c:v>-14.394429034026645</c:v>
                </c:pt>
                <c:pt idx="552">
                  <c:v>-14.500853468646959</c:v>
                </c:pt>
                <c:pt idx="553">
                  <c:v>-14.60970679245214</c:v>
                </c:pt>
                <c:pt idx="554">
                  <c:v>-14.718482587933124</c:v>
                </c:pt>
                <c:pt idx="555">
                  <c:v>-14.827180537216162</c:v>
                </c:pt>
                <c:pt idx="556">
                  <c:v>-14.935800254324104</c:v>
                </c:pt>
                <c:pt idx="557">
                  <c:v>-15.157889995415605</c:v>
                </c:pt>
                <c:pt idx="558">
                  <c:v>-15.379645321726212</c:v>
                </c:pt>
                <c:pt idx="559">
                  <c:v>-15.606131654857849</c:v>
                </c:pt>
                <c:pt idx="560">
                  <c:v>-15.83225505832846</c:v>
                </c:pt>
                <c:pt idx="561">
                  <c:v>-16.063359155206292</c:v>
                </c:pt>
                <c:pt idx="562">
                  <c:v>-16.294065113773712</c:v>
                </c:pt>
                <c:pt idx="563">
                  <c:v>-16.529300170543554</c:v>
                </c:pt>
                <c:pt idx="564">
                  <c:v>-16.764097519901537</c:v>
                </c:pt>
                <c:pt idx="565">
                  <c:v>-17.004346862737528</c:v>
                </c:pt>
                <c:pt idx="566">
                  <c:v>-17.2441093810083</c:v>
                </c:pt>
                <c:pt idx="567">
                  <c:v>-17.489247746271037</c:v>
                </c:pt>
                <c:pt idx="568">
                  <c:v>-17.733844062693287</c:v>
                </c:pt>
                <c:pt idx="569">
                  <c:v>-17.982757017061047</c:v>
                </c:pt>
                <c:pt idx="570">
                  <c:v>-18.231071556754877</c:v>
                </c:pt>
                <c:pt idx="571">
                  <c:v>-18.485560653378869</c:v>
                </c:pt>
                <c:pt idx="572">
                  <c:v>-18.739379967552402</c:v>
                </c:pt>
                <c:pt idx="573">
                  <c:v>-18.997334041867099</c:v>
                </c:pt>
                <c:pt idx="574">
                  <c:v>-19.254552010132652</c:v>
                </c:pt>
                <c:pt idx="575">
                  <c:v>-19.517726979251467</c:v>
                </c:pt>
                <c:pt idx="576">
                  <c:v>-19.780083797629651</c:v>
                </c:pt>
                <c:pt idx="577">
                  <c:v>-20.881246390791585</c:v>
                </c:pt>
                <c:pt idx="578">
                  <c:v>-21.965861630060537</c:v>
                </c:pt>
                <c:pt idx="579">
                  <c:v>-24.278719455287753</c:v>
                </c:pt>
                <c:pt idx="580">
                  <c:v>-26.707299239470341</c:v>
                </c:pt>
                <c:pt idx="581">
                  <c:v>-29.230456536178309</c:v>
                </c:pt>
                <c:pt idx="582">
                  <c:v>-31.831261940254286</c:v>
                </c:pt>
                <c:pt idx="583">
                  <c:v>-34.489832865623306</c:v>
                </c:pt>
                <c:pt idx="584">
                  <c:v>-37.191656225994961</c:v>
                </c:pt>
                <c:pt idx="585">
                  <c:v>-39.920565827027893</c:v>
                </c:pt>
                <c:pt idx="586">
                  <c:v>-42.664353775638403</c:v>
                </c:pt>
                <c:pt idx="587">
                  <c:v>-45.413892794838333</c:v>
                </c:pt>
                <c:pt idx="588">
                  <c:v>-48.157855222803299</c:v>
                </c:pt>
                <c:pt idx="589">
                  <c:v>-50.891503803016576</c:v>
                </c:pt>
                <c:pt idx="590">
                  <c:v>-53.608470557841557</c:v>
                </c:pt>
                <c:pt idx="591">
                  <c:v>-56.305131406414716</c:v>
                </c:pt>
                <c:pt idx="592">
                  <c:v>-58.978576161551793</c:v>
                </c:pt>
                <c:pt idx="593">
                  <c:v>-61.628197707574877</c:v>
                </c:pt>
                <c:pt idx="594">
                  <c:v>-64.252872693296638</c:v>
                </c:pt>
                <c:pt idx="595">
                  <c:v>-66.85350669272762</c:v>
                </c:pt>
                <c:pt idx="596">
                  <c:v>-69.430561787742832</c:v>
                </c:pt>
                <c:pt idx="597">
                  <c:v>-71.986019575387616</c:v>
                </c:pt>
                <c:pt idx="598">
                  <c:v>-74.520964214316507</c:v>
                </c:pt>
                <c:pt idx="599">
                  <c:v>-77.037910345774748</c:v>
                </c:pt>
                <c:pt idx="600">
                  <c:v>-79.53838203945763</c:v>
                </c:pt>
              </c:numCache>
            </c:numRef>
          </c:yVal>
          <c:smooth val="0"/>
          <c:extLst>
            <c:ext xmlns:c16="http://schemas.microsoft.com/office/drawing/2014/chart" uri="{C3380CC4-5D6E-409C-BE32-E72D297353CC}">
              <c16:uniqueId val="{00000000-C921-4838-A0BE-4B6A27AAB705}"/>
            </c:ext>
          </c:extLst>
        </c:ser>
        <c:dLbls>
          <c:showLegendKey val="0"/>
          <c:showVal val="0"/>
          <c:showCatName val="0"/>
          <c:showSerName val="0"/>
          <c:showPercent val="0"/>
          <c:showBubbleSize val="0"/>
        </c:dLbls>
        <c:axId val="182162176"/>
        <c:axId val="182164096"/>
      </c:scatterChart>
      <c:scatterChart>
        <c:scatterStyle val="lineMarker"/>
        <c:varyColors val="0"/>
        <c:ser>
          <c:idx val="1"/>
          <c:order val="1"/>
          <c:tx>
            <c:strRef>
              <c:f>'Stability Calculations'!$S$12</c:f>
              <c:strCache>
                <c:ptCount val="1"/>
                <c:pt idx="0">
                  <c:v>Phase Margin (°)</c:v>
                </c:pt>
              </c:strCache>
            </c:strRef>
          </c:tx>
          <c:spPr>
            <a:ln w="25400">
              <a:solidFill>
                <a:srgbClr val="0000FF"/>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Calculations'!$R$13:$R$613</c:f>
              <c:numCache>
                <c:formatCode>0.00</c:formatCode>
                <c:ptCount val="601"/>
                <c:pt idx="0">
                  <c:v>-53.011704004845456</c:v>
                </c:pt>
                <c:pt idx="1">
                  <c:v>-55.51371428594107</c:v>
                </c:pt>
                <c:pt idx="2">
                  <c:v>-57.934352992481216</c:v>
                </c:pt>
                <c:pt idx="3">
                  <c:v>-60.259741843726154</c:v>
                </c:pt>
                <c:pt idx="4">
                  <c:v>-62.477651758510042</c:v>
                </c:pt>
                <c:pt idx="5">
                  <c:v>-64.583962334696295</c:v>
                </c:pt>
                <c:pt idx="6">
                  <c:v>-66.570719910156157</c:v>
                </c:pt>
                <c:pt idx="7">
                  <c:v>-68.437004161242271</c:v>
                </c:pt>
                <c:pt idx="8">
                  <c:v>-70.181479358469929</c:v>
                </c:pt>
                <c:pt idx="9">
                  <c:v>-71.80733338653296</c:v>
                </c:pt>
                <c:pt idx="10">
                  <c:v>-73.316923464036989</c:v>
                </c:pt>
                <c:pt idx="11">
                  <c:v>-74.714928393196573</c:v>
                </c:pt>
                <c:pt idx="12">
                  <c:v>-76.007218156629506</c:v>
                </c:pt>
                <c:pt idx="13">
                  <c:v>-77.198255982381554</c:v>
                </c:pt>
                <c:pt idx="14">
                  <c:v>-78.295005436117805</c:v>
                </c:pt>
                <c:pt idx="15">
                  <c:v>-79.303101241187136</c:v>
                </c:pt>
                <c:pt idx="16">
                  <c:v>-80.228691532040642</c:v>
                </c:pt>
                <c:pt idx="17">
                  <c:v>-81.077582434765858</c:v>
                </c:pt>
                <c:pt idx="18">
                  <c:v>-81.855733515648723</c:v>
                </c:pt>
                <c:pt idx="19">
                  <c:v>-82.568388732621798</c:v>
                </c:pt>
                <c:pt idx="20">
                  <c:v>-83.220862595569955</c:v>
                </c:pt>
                <c:pt idx="21">
                  <c:v>-83.817888346279716</c:v>
                </c:pt>
                <c:pt idx="22">
                  <c:v>-84.364147737606672</c:v>
                </c:pt>
                <c:pt idx="23">
                  <c:v>-84.863751471970403</c:v>
                </c:pt>
                <c:pt idx="24">
                  <c:v>-85.320769952630414</c:v>
                </c:pt>
                <c:pt idx="25">
                  <c:v>-85.738778194158584</c:v>
                </c:pt>
                <c:pt idx="26">
                  <c:v>-86.121239700073943</c:v>
                </c:pt>
                <c:pt idx="27">
                  <c:v>-86.471142894162</c:v>
                </c:pt>
                <c:pt idx="28">
                  <c:v>-86.791380543894491</c:v>
                </c:pt>
                <c:pt idx="29">
                  <c:v>-87.084426644327607</c:v>
                </c:pt>
                <c:pt idx="30">
                  <c:v>-87.35319559875775</c:v>
                </c:pt>
                <c:pt idx="31">
                  <c:v>-87.599526073391246</c:v>
                </c:pt>
                <c:pt idx="32">
                  <c:v>-87.825647541089509</c:v>
                </c:pt>
                <c:pt idx="33">
                  <c:v>-88.033296446614941</c:v>
                </c:pt>
                <c:pt idx="34">
                  <c:v>-88.224379169047765</c:v>
                </c:pt>
                <c:pt idx="35">
                  <c:v>-88.400391928650137</c:v>
                </c:pt>
                <c:pt idx="36">
                  <c:v>-88.56285062032785</c:v>
                </c:pt>
                <c:pt idx="37">
                  <c:v>-88.713205684712051</c:v>
                </c:pt>
                <c:pt idx="38">
                  <c:v>-88.852583241517067</c:v>
                </c:pt>
                <c:pt idx="39">
                  <c:v>-88.982276606059386</c:v>
                </c:pt>
                <c:pt idx="40">
                  <c:v>-89.103329753153858</c:v>
                </c:pt>
                <c:pt idx="41">
                  <c:v>-89.216777975675669</c:v>
                </c:pt>
                <c:pt idx="42">
                  <c:v>-89.323566818281037</c:v>
                </c:pt>
                <c:pt idx="43">
                  <c:v>-89.424631265688859</c:v>
                </c:pt>
                <c:pt idx="44">
                  <c:v>-89.520799176412581</c:v>
                </c:pt>
                <c:pt idx="45">
                  <c:v>-89.612903797784895</c:v>
                </c:pt>
                <c:pt idx="46">
                  <c:v>-89.701705379493589</c:v>
                </c:pt>
                <c:pt idx="47">
                  <c:v>-89.787973422731881</c:v>
                </c:pt>
                <c:pt idx="48">
                  <c:v>-89.872414644530934</c:v>
                </c:pt>
                <c:pt idx="49">
                  <c:v>-89.955762036822819</c:v>
                </c:pt>
                <c:pt idx="50">
                  <c:v>-90.03870301088169</c:v>
                </c:pt>
                <c:pt idx="51">
                  <c:v>-90.121951909598238</c:v>
                </c:pt>
                <c:pt idx="52">
                  <c:v>-90.206176934210887</c:v>
                </c:pt>
                <c:pt idx="53">
                  <c:v>-90.292080176942662</c:v>
                </c:pt>
                <c:pt idx="54">
                  <c:v>-90.380313715984911</c:v>
                </c:pt>
                <c:pt idx="55">
                  <c:v>-90.471749754474033</c:v>
                </c:pt>
                <c:pt idx="56">
                  <c:v>-90.567002844324406</c:v>
                </c:pt>
                <c:pt idx="57">
                  <c:v>-90.666898095281198</c:v>
                </c:pt>
                <c:pt idx="58">
                  <c:v>-90.772148117160683</c:v>
                </c:pt>
                <c:pt idx="59">
                  <c:v>-90.883644700216124</c:v>
                </c:pt>
                <c:pt idx="60">
                  <c:v>-91.002164495521299</c:v>
                </c:pt>
                <c:pt idx="61">
                  <c:v>-91.128587264522153</c:v>
                </c:pt>
                <c:pt idx="62">
                  <c:v>-91.263875174496548</c:v>
                </c:pt>
                <c:pt idx="63">
                  <c:v>-91.408806921096968</c:v>
                </c:pt>
                <c:pt idx="64">
                  <c:v>-91.564415336201947</c:v>
                </c:pt>
                <c:pt idx="65">
                  <c:v>-91.731561987559076</c:v>
                </c:pt>
                <c:pt idx="66">
                  <c:v>-91.911157033805821</c:v>
                </c:pt>
                <c:pt idx="67">
                  <c:v>-92.104026186128408</c:v>
                </c:pt>
                <c:pt idx="68">
                  <c:v>-92.311004102888646</c:v>
                </c:pt>
                <c:pt idx="69">
                  <c:v>-92.53269860183778</c:v>
                </c:pt>
                <c:pt idx="70">
                  <c:v>-92.769650976012741</c:v>
                </c:pt>
                <c:pt idx="71">
                  <c:v>-93.022086240051266</c:v>
                </c:pt>
                <c:pt idx="72">
                  <c:v>-93.290041433195427</c:v>
                </c:pt>
                <c:pt idx="73">
                  <c:v>-93.573069780868991</c:v>
                </c:pt>
                <c:pt idx="74">
                  <c:v>-93.870427361974123</c:v>
                </c:pt>
                <c:pt idx="75">
                  <c:v>-94.180753808552865</c:v>
                </c:pt>
                <c:pt idx="76">
                  <c:v>-94.502261519122854</c:v>
                </c:pt>
                <c:pt idx="77">
                  <c:v>-94.832428416917722</c:v>
                </c:pt>
                <c:pt idx="78">
                  <c:v>-95.168325200462718</c:v>
                </c:pt>
                <c:pt idx="79">
                  <c:v>-95.506388541072866</c:v>
                </c:pt>
                <c:pt idx="80">
                  <c:v>-95.843610311898715</c:v>
                </c:pt>
                <c:pt idx="81">
                  <c:v>-96.175973926661612</c:v>
                </c:pt>
                <c:pt idx="82">
                  <c:v>-96.5005294827493</c:v>
                </c:pt>
                <c:pt idx="83">
                  <c:v>-96.814617477955778</c:v>
                </c:pt>
                <c:pt idx="84">
                  <c:v>-97.117166781672694</c:v>
                </c:pt>
                <c:pt idx="85">
                  <c:v>-97.408124294784514</c:v>
                </c:pt>
                <c:pt idx="86">
                  <c:v>-97.689306823640393</c:v>
                </c:pt>
                <c:pt idx="87">
                  <c:v>-97.964355488457841</c:v>
                </c:pt>
                <c:pt idx="88">
                  <c:v>-98.238158249260522</c:v>
                </c:pt>
                <c:pt idx="89">
                  <c:v>-98.51754315983905</c:v>
                </c:pt>
                <c:pt idx="90">
                  <c:v>-98.810176732140789</c:v>
                </c:pt>
                <c:pt idx="91">
                  <c:v>-99.124683343434967</c:v>
                </c:pt>
                <c:pt idx="92">
                  <c:v>-99.470119814065981</c:v>
                </c:pt>
                <c:pt idx="93">
                  <c:v>-99.855927308359568</c:v>
                </c:pt>
                <c:pt idx="94">
                  <c:v>-99.959735398999257</c:v>
                </c:pt>
                <c:pt idx="95">
                  <c:v>-100.0131802648929</c:v>
                </c:pt>
                <c:pt idx="96">
                  <c:v>-100.06683981443825</c:v>
                </c:pt>
                <c:pt idx="97">
                  <c:v>-100.12196901800024</c:v>
                </c:pt>
                <c:pt idx="98">
                  <c:v>-100.17732960688257</c:v>
                </c:pt>
                <c:pt idx="99">
                  <c:v>-100.23422995493226</c:v>
                </c:pt>
                <c:pt idx="100">
                  <c:v>-100.29137755027566</c:v>
                </c:pt>
                <c:pt idx="101">
                  <c:v>-100.35009147713947</c:v>
                </c:pt>
                <c:pt idx="102">
                  <c:v>-100.40906728923089</c:v>
                </c:pt>
                <c:pt idx="103">
                  <c:v>-100.46972378903514</c:v>
                </c:pt>
                <c:pt idx="104">
                  <c:v>-100.53065636522969</c:v>
                </c:pt>
                <c:pt idx="105">
                  <c:v>-100.5932960800157</c:v>
                </c:pt>
                <c:pt idx="106">
                  <c:v>-100.65622483139089</c:v>
                </c:pt>
                <c:pt idx="107">
                  <c:v>-100.72088622849398</c:v>
                </c:pt>
                <c:pt idx="108">
                  <c:v>-100.78584837446557</c:v>
                </c:pt>
                <c:pt idx="109">
                  <c:v>-100.8526132065563</c:v>
                </c:pt>
                <c:pt idx="110">
                  <c:v>-100.91968967218855</c:v>
                </c:pt>
                <c:pt idx="111">
                  <c:v>-100.98868504847265</c:v>
                </c:pt>
                <c:pt idx="112">
                  <c:v>-101.05800255813239</c:v>
                </c:pt>
                <c:pt idx="113">
                  <c:v>-101.1292638528404</c:v>
                </c:pt>
                <c:pt idx="114">
                  <c:v>-101.20085655573425</c:v>
                </c:pt>
                <c:pt idx="115">
                  <c:v>-101.27446362135167</c:v>
                </c:pt>
                <c:pt idx="116">
                  <c:v>-101.34841058525178</c:v>
                </c:pt>
                <c:pt idx="117">
                  <c:v>-101.42444260798256</c:v>
                </c:pt>
                <c:pt idx="118">
                  <c:v>-101.50082224866239</c:v>
                </c:pt>
                <c:pt idx="119">
                  <c:v>-101.57931002651736</c:v>
                </c:pt>
                <c:pt idx="120">
                  <c:v>-101.65815195917035</c:v>
                </c:pt>
                <c:pt idx="121">
                  <c:v>-101.73917200741244</c:v>
                </c:pt>
                <c:pt idx="122">
                  <c:v>-101.82055201796992</c:v>
                </c:pt>
                <c:pt idx="123">
                  <c:v>-101.90422871138816</c:v>
                </c:pt>
                <c:pt idx="124">
                  <c:v>-101.98827088399403</c:v>
                </c:pt>
                <c:pt idx="125">
                  <c:v>-102.07463161666038</c:v>
                </c:pt>
                <c:pt idx="126">
                  <c:v>-102.16136222229402</c:v>
                </c:pt>
                <c:pt idx="127">
                  <c:v>-102.25048137276139</c:v>
                </c:pt>
                <c:pt idx="128">
                  <c:v>-102.3399741163179</c:v>
                </c:pt>
                <c:pt idx="129">
                  <c:v>-102.4319253370178</c:v>
                </c:pt>
                <c:pt idx="130">
                  <c:v>-102.52425321679605</c:v>
                </c:pt>
                <c:pt idx="131">
                  <c:v>-102.61910942747284</c:v>
                </c:pt>
                <c:pt idx="132">
                  <c:v>-102.66668016934668</c:v>
                </c:pt>
                <c:pt idx="133">
                  <c:v>-102.71434472891758</c:v>
                </c:pt>
                <c:pt idx="134">
                  <c:v>-102.76323856012702</c:v>
                </c:pt>
                <c:pt idx="135">
                  <c:v>-102.81222871806202</c:v>
                </c:pt>
                <c:pt idx="136">
                  <c:v>-102.86131419865468</c:v>
                </c:pt>
                <c:pt idx="137">
                  <c:v>-102.91049400483942</c:v>
                </c:pt>
                <c:pt idx="138">
                  <c:v>-102.96088691113395</c:v>
                </c:pt>
                <c:pt idx="139">
                  <c:v>-103.01137638872414</c:v>
                </c:pt>
                <c:pt idx="140">
                  <c:v>-103.06196139519361</c:v>
                </c:pt>
                <c:pt idx="141">
                  <c:v>-103.11264089665325</c:v>
                </c:pt>
                <c:pt idx="142">
                  <c:v>-103.16461899492677</c:v>
                </c:pt>
                <c:pt idx="143">
                  <c:v>-103.2166939583081</c:v>
                </c:pt>
                <c:pt idx="144">
                  <c:v>-103.26886470639909</c:v>
                </c:pt>
                <c:pt idx="145">
                  <c:v>-103.32113016879958</c:v>
                </c:pt>
                <c:pt idx="146">
                  <c:v>-103.37470323951212</c:v>
                </c:pt>
                <c:pt idx="147">
                  <c:v>-103.42837322874293</c:v>
                </c:pt>
                <c:pt idx="148">
                  <c:v>-103.48213902315277</c:v>
                </c:pt>
                <c:pt idx="149">
                  <c:v>-103.53599952076497</c:v>
                </c:pt>
                <c:pt idx="150">
                  <c:v>-103.59120222352733</c:v>
                </c:pt>
                <c:pt idx="151">
                  <c:v>-103.64650176241389</c:v>
                </c:pt>
                <c:pt idx="152">
                  <c:v>-103.70189699450953</c:v>
                </c:pt>
                <c:pt idx="153">
                  <c:v>-103.75738678953783</c:v>
                </c:pt>
                <c:pt idx="154">
                  <c:v>-103.81427960332921</c:v>
                </c:pt>
                <c:pt idx="155">
                  <c:v>-103.87126912906264</c:v>
                </c:pt>
                <c:pt idx="156">
                  <c:v>-103.92835419591512</c:v>
                </c:pt>
                <c:pt idx="157">
                  <c:v>-103.9855336469155</c:v>
                </c:pt>
                <c:pt idx="158">
                  <c:v>-104.04415101267992</c:v>
                </c:pt>
                <c:pt idx="159">
                  <c:v>-104.10286483493149</c:v>
                </c:pt>
                <c:pt idx="160">
                  <c:v>-104.16167391815132</c:v>
                </c:pt>
                <c:pt idx="161">
                  <c:v>-104.22057708180057</c:v>
                </c:pt>
                <c:pt idx="162">
                  <c:v>-104.28092651005272</c:v>
                </c:pt>
                <c:pt idx="163">
                  <c:v>-104.34137192982887</c:v>
                </c:pt>
                <c:pt idx="164">
                  <c:v>-104.40191212563168</c:v>
                </c:pt>
                <c:pt idx="165">
                  <c:v>-104.46254589795954</c:v>
                </c:pt>
                <c:pt idx="166">
                  <c:v>-104.52471395460333</c:v>
                </c:pt>
                <c:pt idx="167">
                  <c:v>-104.58697758761657</c:v>
                </c:pt>
                <c:pt idx="168">
                  <c:v>-104.6493355613401</c:v>
                </c:pt>
                <c:pt idx="169">
                  <c:v>-104.71178665709802</c:v>
                </c:pt>
                <c:pt idx="170">
                  <c:v>-104.77567279648969</c:v>
                </c:pt>
                <c:pt idx="171">
                  <c:v>-104.83965358055814</c:v>
                </c:pt>
                <c:pt idx="172">
                  <c:v>-104.90372776427368</c:v>
                </c:pt>
                <c:pt idx="173">
                  <c:v>-104.9678941203469</c:v>
                </c:pt>
                <c:pt idx="174">
                  <c:v>-105.03377253648614</c:v>
                </c:pt>
                <c:pt idx="175">
                  <c:v>-105.09974527481793</c:v>
                </c:pt>
                <c:pt idx="176">
                  <c:v>-105.16581106960766</c:v>
                </c:pt>
                <c:pt idx="177">
                  <c:v>-105.23196867380501</c:v>
                </c:pt>
                <c:pt idx="178">
                  <c:v>-105.29984704329267</c:v>
                </c:pt>
                <c:pt idx="179">
                  <c:v>-105.36781920156518</c:v>
                </c:pt>
                <c:pt idx="180">
                  <c:v>-105.43588386675216</c:v>
                </c:pt>
                <c:pt idx="181">
                  <c:v>-105.50403977650419</c:v>
                </c:pt>
                <c:pt idx="182">
                  <c:v>-105.57365151551974</c:v>
                </c:pt>
                <c:pt idx="183">
                  <c:v>-105.64335559326895</c:v>
                </c:pt>
                <c:pt idx="184">
                  <c:v>-105.71315073113345</c:v>
                </c:pt>
                <c:pt idx="185">
                  <c:v>-105.78303567043079</c:v>
                </c:pt>
                <c:pt idx="186">
                  <c:v>-105.85493125059854</c:v>
                </c:pt>
                <c:pt idx="187">
                  <c:v>-105.92691899957669</c:v>
                </c:pt>
                <c:pt idx="188">
                  <c:v>-105.99899761591826</c:v>
                </c:pt>
                <c:pt idx="189">
                  <c:v>-106.07116581904674</c:v>
                </c:pt>
                <c:pt idx="190">
                  <c:v>-106.14480214108008</c:v>
                </c:pt>
                <c:pt idx="191">
                  <c:v>-106.21852888135685</c:v>
                </c:pt>
                <c:pt idx="192">
                  <c:v>-106.29234474931485</c:v>
                </c:pt>
                <c:pt idx="193">
                  <c:v>-106.36624847545684</c:v>
                </c:pt>
                <c:pt idx="194">
                  <c:v>-106.4421797864138</c:v>
                </c:pt>
                <c:pt idx="195">
                  <c:v>-106.51820098038591</c:v>
                </c:pt>
                <c:pt idx="196">
                  <c:v>-106.59431075223145</c:v>
                </c:pt>
                <c:pt idx="197">
                  <c:v>-106.67050781859719</c:v>
                </c:pt>
                <c:pt idx="198">
                  <c:v>-106.74846230354893</c:v>
                </c:pt>
                <c:pt idx="199">
                  <c:v>-106.82650530624603</c:v>
                </c:pt>
                <c:pt idx="200">
                  <c:v>-106.90463552518392</c:v>
                </c:pt>
                <c:pt idx="201">
                  <c:v>-106.98285168094867</c:v>
                </c:pt>
                <c:pt idx="202">
                  <c:v>-107.06283130840474</c:v>
                </c:pt>
                <c:pt idx="203">
                  <c:v>-107.1428979656139</c:v>
                </c:pt>
                <c:pt idx="204">
                  <c:v>-107.22305035789279</c:v>
                </c:pt>
                <c:pt idx="205">
                  <c:v>-107.30328721285342</c:v>
                </c:pt>
                <c:pt idx="206">
                  <c:v>-107.38557418856054</c:v>
                </c:pt>
                <c:pt idx="207">
                  <c:v>-107.4679471784376</c:v>
                </c:pt>
                <c:pt idx="208">
                  <c:v>-107.55040488439496</c:v>
                </c:pt>
                <c:pt idx="209">
                  <c:v>-107.63294603105778</c:v>
                </c:pt>
                <c:pt idx="210">
                  <c:v>-107.71782643346602</c:v>
                </c:pt>
                <c:pt idx="211">
                  <c:v>-107.80279223831573</c:v>
                </c:pt>
                <c:pt idx="212">
                  <c:v>-107.88784213483453</c:v>
                </c:pt>
                <c:pt idx="213">
                  <c:v>-107.97297483558899</c:v>
                </c:pt>
                <c:pt idx="214">
                  <c:v>-108.05988851909267</c:v>
                </c:pt>
                <c:pt idx="215">
                  <c:v>-108.14688570778688</c:v>
                </c:pt>
                <c:pt idx="216">
                  <c:v>-108.23396510770597</c:v>
                </c:pt>
                <c:pt idx="217">
                  <c:v>-108.32112544813359</c:v>
                </c:pt>
                <c:pt idx="218">
                  <c:v>-108.41035558712537</c:v>
                </c:pt>
                <c:pt idx="219">
                  <c:v>-108.49966778323574</c:v>
                </c:pt>
                <c:pt idx="220">
                  <c:v>-108.5890607491973</c:v>
                </c:pt>
                <c:pt idx="221">
                  <c:v>-108.67853322112133</c:v>
                </c:pt>
                <c:pt idx="222">
                  <c:v>-108.77008119443626</c:v>
                </c:pt>
                <c:pt idx="223">
                  <c:v>-108.86170965954074</c:v>
                </c:pt>
                <c:pt idx="224">
                  <c:v>-108.95341733869951</c:v>
                </c:pt>
                <c:pt idx="225">
                  <c:v>-109.04520297759822</c:v>
                </c:pt>
                <c:pt idx="226">
                  <c:v>-109.13935571910581</c:v>
                </c:pt>
                <c:pt idx="227">
                  <c:v>-109.23358775983272</c:v>
                </c:pt>
                <c:pt idx="228">
                  <c:v>-109.32789782263252</c:v>
                </c:pt>
                <c:pt idx="229">
                  <c:v>-109.42228465402363</c:v>
                </c:pt>
                <c:pt idx="230">
                  <c:v>-109.61588312795629</c:v>
                </c:pt>
                <c:pt idx="231">
                  <c:v>-109.71279803001873</c:v>
                </c:pt>
                <c:pt idx="232">
                  <c:v>-109.80978836821265</c:v>
                </c:pt>
                <c:pt idx="233">
                  <c:v>-109.90915801107666</c:v>
                </c:pt>
                <c:pt idx="234">
                  <c:v>-110.00860413816761</c:v>
                </c:pt>
                <c:pt idx="235">
                  <c:v>-110.10812548299091</c:v>
                </c:pt>
                <c:pt idx="236">
                  <c:v>-110.20772080292703</c:v>
                </c:pt>
                <c:pt idx="237">
                  <c:v>-110.30941187420092</c:v>
                </c:pt>
                <c:pt idx="238">
                  <c:v>-110.41117741318163</c:v>
                </c:pt>
                <c:pt idx="239">
                  <c:v>-110.51301617344816</c:v>
                </c:pt>
                <c:pt idx="240">
                  <c:v>-110.61492693216381</c:v>
                </c:pt>
                <c:pt idx="241">
                  <c:v>-110.71951689030419</c:v>
                </c:pt>
                <c:pt idx="242">
                  <c:v>-110.82418004426353</c:v>
                </c:pt>
                <c:pt idx="243">
                  <c:v>-110.92891514875706</c:v>
                </c:pt>
                <c:pt idx="244">
                  <c:v>-111.03372098225427</c:v>
                </c:pt>
                <c:pt idx="245">
                  <c:v>-111.14092123269667</c:v>
                </c:pt>
                <c:pt idx="246">
                  <c:v>-111.24819287442381</c:v>
                </c:pt>
                <c:pt idx="247">
                  <c:v>-111.35553467627112</c:v>
                </c:pt>
                <c:pt idx="248">
                  <c:v>-111.46294543065267</c:v>
                </c:pt>
                <c:pt idx="249">
                  <c:v>-111.57304621713361</c:v>
                </c:pt>
                <c:pt idx="250">
                  <c:v>-111.68321686883601</c:v>
                </c:pt>
                <c:pt idx="251">
                  <c:v>-111.79345616100595</c:v>
                </c:pt>
                <c:pt idx="252">
                  <c:v>-111.90376289247259</c:v>
                </c:pt>
                <c:pt idx="253">
                  <c:v>-112.01647252899919</c:v>
                </c:pt>
                <c:pt idx="254">
                  <c:v>-112.12925003076654</c:v>
                </c:pt>
                <c:pt idx="255">
                  <c:v>-112.24209419124577</c:v>
                </c:pt>
                <c:pt idx="256">
                  <c:v>-112.35500382717565</c:v>
                </c:pt>
                <c:pt idx="257">
                  <c:v>-112.4709054087068</c:v>
                </c:pt>
                <c:pt idx="258">
                  <c:v>-112.5868734519032</c:v>
                </c:pt>
                <c:pt idx="259">
                  <c:v>-112.70290675183519</c:v>
                </c:pt>
                <c:pt idx="260">
                  <c:v>-112.81900412693459</c:v>
                </c:pt>
                <c:pt idx="261">
                  <c:v>-112.9378051473105</c:v>
                </c:pt>
                <c:pt idx="262">
                  <c:v>-113.05667076096127</c:v>
                </c:pt>
                <c:pt idx="263">
                  <c:v>-113.17559977607471</c:v>
                </c:pt>
                <c:pt idx="264">
                  <c:v>-113.29459102398067</c:v>
                </c:pt>
                <c:pt idx="265">
                  <c:v>-113.41628965119473</c:v>
                </c:pt>
                <c:pt idx="266">
                  <c:v>-113.53805090988149</c:v>
                </c:pt>
                <c:pt idx="267">
                  <c:v>-113.65987362304506</c:v>
                </c:pt>
                <c:pt idx="268">
                  <c:v>-113.78175663654923</c:v>
                </c:pt>
                <c:pt idx="269">
                  <c:v>-113.90664500443292</c:v>
                </c:pt>
                <c:pt idx="270">
                  <c:v>-114.03159424158487</c:v>
                </c:pt>
                <c:pt idx="271">
                  <c:v>-114.15660317909762</c:v>
                </c:pt>
                <c:pt idx="272">
                  <c:v>-114.28167067079637</c:v>
                </c:pt>
                <c:pt idx="273">
                  <c:v>-114.40974733634593</c:v>
                </c:pt>
                <c:pt idx="274">
                  <c:v>-114.5378829910898</c:v>
                </c:pt>
                <c:pt idx="275">
                  <c:v>-114.66607647616219</c:v>
                </c:pt>
                <c:pt idx="276">
                  <c:v>-114.79432665523244</c:v>
                </c:pt>
                <c:pt idx="277">
                  <c:v>-114.92529371284451</c:v>
                </c:pt>
                <c:pt idx="278">
                  <c:v>-115.0563175170836</c:v>
                </c:pt>
                <c:pt idx="279">
                  <c:v>-115.18739692847043</c:v>
                </c:pt>
                <c:pt idx="280">
                  <c:v>-115.31853082960242</c:v>
                </c:pt>
                <c:pt idx="281">
                  <c:v>-115.45327246338445</c:v>
                </c:pt>
                <c:pt idx="282">
                  <c:v>-115.58806925862302</c:v>
                </c:pt>
                <c:pt idx="283">
                  <c:v>-115.72292007370299</c:v>
                </c:pt>
                <c:pt idx="284">
                  <c:v>-115.85782378916049</c:v>
                </c:pt>
                <c:pt idx="285">
                  <c:v>-115.99544927204056</c:v>
                </c:pt>
                <c:pt idx="286">
                  <c:v>-116.13312748528126</c:v>
                </c:pt>
                <c:pt idx="287">
                  <c:v>-116.27085730923177</c:v>
                </c:pt>
                <c:pt idx="288">
                  <c:v>-116.40863764582424</c:v>
                </c:pt>
                <c:pt idx="289">
                  <c:v>-116.55003262737024</c:v>
                </c:pt>
                <c:pt idx="290">
                  <c:v>-116.69147849430585</c:v>
                </c:pt>
                <c:pt idx="291">
                  <c:v>-116.83297412834284</c:v>
                </c:pt>
                <c:pt idx="292">
                  <c:v>-116.97451843271317</c:v>
                </c:pt>
                <c:pt idx="293">
                  <c:v>-117.11938296749915</c:v>
                </c:pt>
                <c:pt idx="294">
                  <c:v>-117.26429619204366</c:v>
                </c:pt>
                <c:pt idx="295">
                  <c:v>-117.40925699811322</c:v>
                </c:pt>
                <c:pt idx="296">
                  <c:v>-117.55426429868342</c:v>
                </c:pt>
                <c:pt idx="297">
                  <c:v>-117.70259388883825</c:v>
                </c:pt>
                <c:pt idx="298">
                  <c:v>-117.85096986404599</c:v>
                </c:pt>
                <c:pt idx="299">
                  <c:v>-117.99939112718897</c:v>
                </c:pt>
                <c:pt idx="300">
                  <c:v>-118.14785660199401</c:v>
                </c:pt>
                <c:pt idx="301">
                  <c:v>-118.29964602282492</c:v>
                </c:pt>
                <c:pt idx="302">
                  <c:v>-118.45147942076673</c:v>
                </c:pt>
                <c:pt idx="303">
                  <c:v>-118.60335571062899</c:v>
                </c:pt>
                <c:pt idx="304">
                  <c:v>-118.75527382765361</c:v>
                </c:pt>
                <c:pt idx="305">
                  <c:v>-118.91111432404561</c:v>
                </c:pt>
                <c:pt idx="306">
                  <c:v>-119.06699660676288</c:v>
                </c:pt>
                <c:pt idx="307">
                  <c:v>-119.22291959080667</c:v>
                </c:pt>
                <c:pt idx="308">
                  <c:v>-119.37888221146056</c:v>
                </c:pt>
                <c:pt idx="309">
                  <c:v>-119.53817121333357</c:v>
                </c:pt>
                <c:pt idx="310">
                  <c:v>-119.69749935873871</c:v>
                </c:pt>
                <c:pt idx="311">
                  <c:v>-119.85686557621742</c:v>
                </c:pt>
                <c:pt idx="312">
                  <c:v>-120.01626881407996</c:v>
                </c:pt>
                <c:pt idx="313">
                  <c:v>-120.17959724247649</c:v>
                </c:pt>
                <c:pt idx="314">
                  <c:v>-120.3429623463102</c:v>
                </c:pt>
                <c:pt idx="315">
                  <c:v>-120.50636305614003</c:v>
                </c:pt>
                <c:pt idx="316">
                  <c:v>-120.66979832202907</c:v>
                </c:pt>
                <c:pt idx="317">
                  <c:v>-120.83715962733568</c:v>
                </c:pt>
                <c:pt idx="318">
                  <c:v>-121.00455498692615</c:v>
                </c:pt>
                <c:pt idx="319">
                  <c:v>-121.17198333419414</c:v>
                </c:pt>
                <c:pt idx="320">
                  <c:v>-121.33944362171361</c:v>
                </c:pt>
                <c:pt idx="321">
                  <c:v>-121.51083032452597</c:v>
                </c:pt>
                <c:pt idx="322">
                  <c:v>-121.68224831078572</c:v>
                </c:pt>
                <c:pt idx="323">
                  <c:v>-121.85369651726319</c:v>
                </c:pt>
                <c:pt idx="324">
                  <c:v>-122.02517389953053</c:v>
                </c:pt>
                <c:pt idx="325">
                  <c:v>-122.20057760365682</c:v>
                </c:pt>
                <c:pt idx="326">
                  <c:v>-122.37600967308205</c:v>
                </c:pt>
                <c:pt idx="327">
                  <c:v>-122.55146904822406</c:v>
                </c:pt>
                <c:pt idx="328">
                  <c:v>-122.72695468787464</c:v>
                </c:pt>
                <c:pt idx="329">
                  <c:v>-122.90666612999108</c:v>
                </c:pt>
                <c:pt idx="330">
                  <c:v>-123.08640295618846</c:v>
                </c:pt>
                <c:pt idx="331">
                  <c:v>-123.26616410527755</c:v>
                </c:pt>
                <c:pt idx="332">
                  <c:v>-123.44594853408833</c:v>
                </c:pt>
                <c:pt idx="333">
                  <c:v>-123.62965777144515</c:v>
                </c:pt>
                <c:pt idx="334">
                  <c:v>-123.81338916380679</c:v>
                </c:pt>
                <c:pt idx="335">
                  <c:v>-123.99714165362803</c:v>
                </c:pt>
                <c:pt idx="336">
                  <c:v>-124.18091420086087</c:v>
                </c:pt>
                <c:pt idx="337">
                  <c:v>-124.36921070850234</c:v>
                </c:pt>
                <c:pt idx="338">
                  <c:v>-124.55752611290522</c:v>
                </c:pt>
                <c:pt idx="339">
                  <c:v>-124.74585934957196</c:v>
                </c:pt>
                <c:pt idx="340">
                  <c:v>-124.93420937115835</c:v>
                </c:pt>
                <c:pt idx="341">
                  <c:v>-125.12708168979164</c:v>
                </c:pt>
                <c:pt idx="342">
                  <c:v>-125.31996943665732</c:v>
                </c:pt>
                <c:pt idx="343">
                  <c:v>-125.51287154013636</c:v>
                </c:pt>
                <c:pt idx="344">
                  <c:v>-125.70578694535941</c:v>
                </c:pt>
                <c:pt idx="345">
                  <c:v>-125.90292188804882</c:v>
                </c:pt>
                <c:pt idx="346">
                  <c:v>-126.10006854356874</c:v>
                </c:pt>
                <c:pt idx="347">
                  <c:v>-126.29722583757453</c:v>
                </c:pt>
                <c:pt idx="348">
                  <c:v>-126.49439271191413</c:v>
                </c:pt>
                <c:pt idx="349">
                  <c:v>-126.69637737851231</c:v>
                </c:pt>
                <c:pt idx="350">
                  <c:v>-126.89836990061731</c:v>
                </c:pt>
                <c:pt idx="351">
                  <c:v>-127.10036919049203</c:v>
                </c:pt>
                <c:pt idx="352">
                  <c:v>-127.30237417618062</c:v>
                </c:pt>
                <c:pt idx="353">
                  <c:v>-127.50919360195074</c:v>
                </c:pt>
                <c:pt idx="354">
                  <c:v>-127.71601677265537</c:v>
                </c:pt>
                <c:pt idx="355">
                  <c:v>-127.92284258626158</c:v>
                </c:pt>
                <c:pt idx="356">
                  <c:v>-128.12966995604549</c:v>
                </c:pt>
                <c:pt idx="357">
                  <c:v>-128.34100713576203</c:v>
                </c:pt>
                <c:pt idx="358">
                  <c:v>-128.55234369313146</c:v>
                </c:pt>
                <c:pt idx="359">
                  <c:v>-128.7636785152913</c:v>
                </c:pt>
                <c:pt idx="360">
                  <c:v>-128.97501050407544</c:v>
                </c:pt>
                <c:pt idx="361">
                  <c:v>-129.19144886972785</c:v>
                </c:pt>
                <c:pt idx="362">
                  <c:v>-129.4078819768736</c:v>
                </c:pt>
                <c:pt idx="363">
                  <c:v>-129.62430869067794</c:v>
                </c:pt>
                <c:pt idx="364">
                  <c:v>-129.84072789050327</c:v>
                </c:pt>
                <c:pt idx="365">
                  <c:v>-130.06194748711121</c:v>
                </c:pt>
                <c:pt idx="366">
                  <c:v>-130.2831569074846</c:v>
                </c:pt>
                <c:pt idx="367">
                  <c:v>-130.50435499765371</c:v>
                </c:pt>
                <c:pt idx="368">
                  <c:v>-130.72554061721024</c:v>
                </c:pt>
                <c:pt idx="369">
                  <c:v>-130.95212155741689</c:v>
                </c:pt>
                <c:pt idx="370">
                  <c:v>-131.17868702825444</c:v>
                </c:pt>
                <c:pt idx="371">
                  <c:v>-131.40523584493653</c:v>
                </c:pt>
                <c:pt idx="372">
                  <c:v>-131.63176683569031</c:v>
                </c:pt>
                <c:pt idx="373">
                  <c:v>-131.86338564813033</c:v>
                </c:pt>
                <c:pt idx="374">
                  <c:v>-132.09498338344827</c:v>
                </c:pt>
                <c:pt idx="375">
                  <c:v>-132.32655882814487</c:v>
                </c:pt>
                <c:pt idx="376">
                  <c:v>-132.55811078105421</c:v>
                </c:pt>
                <c:pt idx="377">
                  <c:v>-132.79534333196995</c:v>
                </c:pt>
                <c:pt idx="378">
                  <c:v>-133.03254870353541</c:v>
                </c:pt>
                <c:pt idx="379">
                  <c:v>-133.2697256410153</c:v>
                </c:pt>
                <c:pt idx="380">
                  <c:v>-133.50687290138964</c:v>
                </c:pt>
                <c:pt idx="381">
                  <c:v>-133.74909140790052</c:v>
                </c:pt>
                <c:pt idx="382">
                  <c:v>-133.99127635973855</c:v>
                </c:pt>
                <c:pt idx="383">
                  <c:v>-134.23342646696494</c:v>
                </c:pt>
                <c:pt idx="384">
                  <c:v>-134.47554045055674</c:v>
                </c:pt>
                <c:pt idx="385">
                  <c:v>-134.72361597620215</c:v>
                </c:pt>
                <c:pt idx="386">
                  <c:v>-134.9716508791239</c:v>
                </c:pt>
                <c:pt idx="387">
                  <c:v>-135.21964381573613</c:v>
                </c:pt>
                <c:pt idx="388">
                  <c:v>-135.46759345266676</c:v>
                </c:pt>
                <c:pt idx="389">
                  <c:v>-135.7211934517882</c:v>
                </c:pt>
                <c:pt idx="390">
                  <c:v>-135.97474534695007</c:v>
                </c:pt>
                <c:pt idx="391">
                  <c:v>-136.22824774119914</c:v>
                </c:pt>
                <c:pt idx="392">
                  <c:v>-136.48169924697106</c:v>
                </c:pt>
                <c:pt idx="393">
                  <c:v>-136.74078887439779</c:v>
                </c:pt>
                <c:pt idx="394">
                  <c:v>-136.99982239640559</c:v>
                </c:pt>
                <c:pt idx="395">
                  <c:v>-137.25879835759304</c:v>
                </c:pt>
                <c:pt idx="396">
                  <c:v>-137.51771531105916</c:v>
                </c:pt>
                <c:pt idx="397">
                  <c:v>-137.78285543203998</c:v>
                </c:pt>
                <c:pt idx="398">
                  <c:v>-138.04793059811723</c:v>
                </c:pt>
                <c:pt idx="399">
                  <c:v>-138.31293927952649</c:v>
                </c:pt>
                <c:pt idx="400">
                  <c:v>-138.5778799541232</c:v>
                </c:pt>
                <c:pt idx="401">
                  <c:v>-138.84872932564573</c:v>
                </c:pt>
                <c:pt idx="402">
                  <c:v>-139.11950438887484</c:v>
                </c:pt>
                <c:pt idx="403">
                  <c:v>-139.39020353837665</c:v>
                </c:pt>
                <c:pt idx="404">
                  <c:v>-139.66082517535153</c:v>
                </c:pt>
                <c:pt idx="405">
                  <c:v>-139.93763760989827</c:v>
                </c:pt>
                <c:pt idx="406">
                  <c:v>-140.214365530219</c:v>
                </c:pt>
                <c:pt idx="407">
                  <c:v>-140.49100724278364</c:v>
                </c:pt>
                <c:pt idx="408">
                  <c:v>-140.76756105967536</c:v>
                </c:pt>
                <c:pt idx="409">
                  <c:v>-141.05058537560356</c:v>
                </c:pt>
                <c:pt idx="410">
                  <c:v>-141.33351401082246</c:v>
                </c:pt>
                <c:pt idx="411">
                  <c:v>-141.61634517018283</c:v>
                </c:pt>
                <c:pt idx="412">
                  <c:v>-141.89907706308381</c:v>
                </c:pt>
                <c:pt idx="413">
                  <c:v>-142.1882587224807</c:v>
                </c:pt>
                <c:pt idx="414">
                  <c:v>-142.47733267998629</c:v>
                </c:pt>
                <c:pt idx="415">
                  <c:v>-142.76629702995567</c:v>
                </c:pt>
                <c:pt idx="416">
                  <c:v>-143.05514987016321</c:v>
                </c:pt>
                <c:pt idx="417">
                  <c:v>-143.35072725897012</c:v>
                </c:pt>
                <c:pt idx="418">
                  <c:v>-143.64618376821022</c:v>
                </c:pt>
                <c:pt idx="419">
                  <c:v>-143.94151736608549</c:v>
                </c:pt>
                <c:pt idx="420">
                  <c:v>-144.2367260230447</c:v>
                </c:pt>
                <c:pt idx="421">
                  <c:v>-144.53833724284752</c:v>
                </c:pt>
                <c:pt idx="422">
                  <c:v>-144.83981364796199</c:v>
                </c:pt>
                <c:pt idx="423">
                  <c:v>-145.14115307615577</c:v>
                </c:pt>
                <c:pt idx="424">
                  <c:v>-145.44235336621767</c:v>
                </c:pt>
                <c:pt idx="425">
                  <c:v>-145.75081850568495</c:v>
                </c:pt>
                <c:pt idx="426">
                  <c:v>-146.05913298374094</c:v>
                </c:pt>
                <c:pt idx="427">
                  <c:v>-146.3672944769356</c:v>
                </c:pt>
                <c:pt idx="428">
                  <c:v>-146.67530066159094</c:v>
                </c:pt>
                <c:pt idx="429">
                  <c:v>-146.99024470897783</c:v>
                </c:pt>
                <c:pt idx="430">
                  <c:v>-147.30502128186606</c:v>
                </c:pt>
                <c:pt idx="431">
                  <c:v>-147.61962788945547</c:v>
                </c:pt>
                <c:pt idx="432">
                  <c:v>-147.93406203944426</c:v>
                </c:pt>
                <c:pt idx="433">
                  <c:v>-148.25540110008373</c:v>
                </c:pt>
                <c:pt idx="434">
                  <c:v>-148.57655456630835</c:v>
                </c:pt>
                <c:pt idx="435">
                  <c:v>-148.89751976687813</c:v>
                </c:pt>
                <c:pt idx="436">
                  <c:v>-149.21829402778553</c:v>
                </c:pt>
                <c:pt idx="437">
                  <c:v>-149.54652618310277</c:v>
                </c:pt>
                <c:pt idx="438">
                  <c:v>-149.87455248921947</c:v>
                </c:pt>
                <c:pt idx="439">
                  <c:v>-150.20237006543579</c:v>
                </c:pt>
                <c:pt idx="440">
                  <c:v>-150.52997602702825</c:v>
                </c:pt>
                <c:pt idx="441">
                  <c:v>-150.86499914278934</c:v>
                </c:pt>
                <c:pt idx="442">
                  <c:v>-151.19979453396905</c:v>
                </c:pt>
                <c:pt idx="443">
                  <c:v>-151.5343590949293</c:v>
                </c:pt>
                <c:pt idx="444">
                  <c:v>-151.86868971481141</c:v>
                </c:pt>
                <c:pt idx="445">
                  <c:v>-152.21039349006912</c:v>
                </c:pt>
                <c:pt idx="446">
                  <c:v>-152.55184594109156</c:v>
                </c:pt>
                <c:pt idx="447">
                  <c:v>-152.89304372155212</c:v>
                </c:pt>
                <c:pt idx="448">
                  <c:v>-153.23398347881383</c:v>
                </c:pt>
                <c:pt idx="449">
                  <c:v>-153.58283256060545</c:v>
                </c:pt>
                <c:pt idx="450">
                  <c:v>-153.93140395313446</c:v>
                </c:pt>
                <c:pt idx="451">
                  <c:v>-154.27969403542306</c:v>
                </c:pt>
                <c:pt idx="452">
                  <c:v>-154.62769917920596</c:v>
                </c:pt>
                <c:pt idx="453">
                  <c:v>-154.98326874447201</c:v>
                </c:pt>
                <c:pt idx="454">
                  <c:v>-155.3385326525453</c:v>
                </c:pt>
                <c:pt idx="455">
                  <c:v>-155.69348699980551</c:v>
                </c:pt>
                <c:pt idx="456">
                  <c:v>-156.04812787460907</c:v>
                </c:pt>
                <c:pt idx="457">
                  <c:v>-156.41085612842801</c:v>
                </c:pt>
                <c:pt idx="458">
                  <c:v>-156.77324753296816</c:v>
                </c:pt>
                <c:pt idx="459">
                  <c:v>-157.13529786563291</c:v>
                </c:pt>
                <c:pt idx="460">
                  <c:v>-157.49700289530597</c:v>
                </c:pt>
                <c:pt idx="461">
                  <c:v>-157.86673094905672</c:v>
                </c:pt>
                <c:pt idx="462">
                  <c:v>-158.23608851646614</c:v>
                </c:pt>
                <c:pt idx="463">
                  <c:v>-158.60507103852282</c:v>
                </c:pt>
                <c:pt idx="464">
                  <c:v>-158.97367394757705</c:v>
                </c:pt>
                <c:pt idx="465">
                  <c:v>-159.35051814901871</c:v>
                </c:pt>
                <c:pt idx="466">
                  <c:v>-159.72695502721464</c:v>
                </c:pt>
                <c:pt idx="467">
                  <c:v>-160.10297965927833</c:v>
                </c:pt>
                <c:pt idx="468">
                  <c:v>-160.47858711401759</c:v>
                </c:pt>
                <c:pt idx="469">
                  <c:v>-160.86235949979823</c:v>
                </c:pt>
                <c:pt idx="470">
                  <c:v>-161.24568491962171</c:v>
                </c:pt>
                <c:pt idx="471">
                  <c:v>-161.62855807113675</c:v>
                </c:pt>
                <c:pt idx="472">
                  <c:v>-162.01097364461123</c:v>
                </c:pt>
                <c:pt idx="473">
                  <c:v>-162.40204187844557</c:v>
                </c:pt>
                <c:pt idx="474">
                  <c:v>-162.79261913161213</c:v>
                </c:pt>
                <c:pt idx="475">
                  <c:v>-163.18269968411266</c:v>
                </c:pt>
                <c:pt idx="476">
                  <c:v>-163.57227781017673</c:v>
                </c:pt>
                <c:pt idx="477">
                  <c:v>-163.9704161867306</c:v>
                </c:pt>
                <c:pt idx="478">
                  <c:v>-164.36801627924967</c:v>
                </c:pt>
                <c:pt idx="479">
                  <c:v>-164.76507193751729</c:v>
                </c:pt>
                <c:pt idx="480">
                  <c:v>-165.1615770080297</c:v>
                </c:pt>
                <c:pt idx="481">
                  <c:v>-165.56654326045944</c:v>
                </c:pt>
                <c:pt idx="482">
                  <c:v>-165.9709205130481</c:v>
                </c:pt>
                <c:pt idx="483">
                  <c:v>-166.3747021767461</c:v>
                </c:pt>
                <c:pt idx="484">
                  <c:v>-166.77788166272936</c:v>
                </c:pt>
                <c:pt idx="485">
                  <c:v>-167.18969645261902</c:v>
                </c:pt>
                <c:pt idx="486">
                  <c:v>-167.60086712653055</c:v>
                </c:pt>
                <c:pt idx="487">
                  <c:v>-168.01138663843093</c:v>
                </c:pt>
                <c:pt idx="488">
                  <c:v>-168.42124794721832</c:v>
                </c:pt>
                <c:pt idx="489">
                  <c:v>-168.84018524224621</c:v>
                </c:pt>
                <c:pt idx="490">
                  <c:v>-169.25841768030404</c:v>
                </c:pt>
                <c:pt idx="491">
                  <c:v>-169.67593772923621</c:v>
                </c:pt>
                <c:pt idx="492">
                  <c:v>-170.09273786794793</c:v>
                </c:pt>
                <c:pt idx="493">
                  <c:v>-170.51848441007195</c:v>
                </c:pt>
                <c:pt idx="494">
                  <c:v>-170.94346125379042</c:v>
                </c:pt>
                <c:pt idx="495">
                  <c:v>-171.36766038635889</c:v>
                </c:pt>
                <c:pt idx="496">
                  <c:v>-171.79107381382218</c:v>
                </c:pt>
                <c:pt idx="497">
                  <c:v>-172.22356984065308</c:v>
                </c:pt>
                <c:pt idx="498">
                  <c:v>-172.65522610157083</c:v>
                </c:pt>
                <c:pt idx="499">
                  <c:v>-173.08603410093266</c:v>
                </c:pt>
                <c:pt idx="500">
                  <c:v>-173.5159853714471</c:v>
                </c:pt>
                <c:pt idx="501">
                  <c:v>-173.95514112495874</c:v>
                </c:pt>
                <c:pt idx="502">
                  <c:v>-174.39338157573289</c:v>
                </c:pt>
                <c:pt idx="503">
                  <c:v>-174.8306977509462</c:v>
                </c:pt>
                <c:pt idx="504">
                  <c:v>-175.26708071774456</c:v>
                </c:pt>
                <c:pt idx="505">
                  <c:v>-175.7125050657686</c:v>
                </c:pt>
                <c:pt idx="506">
                  <c:v>-176.15693410206006</c:v>
                </c:pt>
                <c:pt idx="507">
                  <c:v>-176.6003584090229</c:v>
                </c:pt>
                <c:pt idx="508">
                  <c:v>-177.04276862278954</c:v>
                </c:pt>
                <c:pt idx="509">
                  <c:v>-177.49431473515938</c:v>
                </c:pt>
                <c:pt idx="510">
                  <c:v>-177.94477983403027</c:v>
                </c:pt>
                <c:pt idx="511">
                  <c:v>-178.39415408412512</c:v>
                </c:pt>
                <c:pt idx="512">
                  <c:v>-178.84242772005283</c:v>
                </c:pt>
                <c:pt idx="513">
                  <c:v>-179.300180063525</c:v>
                </c:pt>
                <c:pt idx="514">
                  <c:v>-179.75675850694114</c:v>
                </c:pt>
                <c:pt idx="515">
                  <c:v>-180.21215281924191</c:v>
                </c:pt>
                <c:pt idx="516">
                  <c:v>-180.66635285817483</c:v>
                </c:pt>
                <c:pt idx="517">
                  <c:v>-181.12982630721518</c:v>
                </c:pt>
                <c:pt idx="518">
                  <c:v>-181.59202833624525</c:v>
                </c:pt>
                <c:pt idx="519">
                  <c:v>-182.05294838983892</c:v>
                </c:pt>
                <c:pt idx="520">
                  <c:v>-182.51257602281004</c:v>
                </c:pt>
                <c:pt idx="521">
                  <c:v>-182.98151994641952</c:v>
                </c:pt>
                <c:pt idx="522">
                  <c:v>-183.44908901918024</c:v>
                </c:pt>
                <c:pt idx="523">
                  <c:v>-183.91527243061546</c:v>
                </c:pt>
                <c:pt idx="524">
                  <c:v>-184.38005950465336</c:v>
                </c:pt>
                <c:pt idx="525">
                  <c:v>-184.85418726175598</c:v>
                </c:pt>
                <c:pt idx="526">
                  <c:v>-185.32683088340045</c:v>
                </c:pt>
                <c:pt idx="527">
                  <c:v>-185.79797939014534</c:v>
                </c:pt>
                <c:pt idx="528">
                  <c:v>-186.26762196383399</c:v>
                </c:pt>
                <c:pt idx="529">
                  <c:v>-186.74661059778958</c:v>
                </c:pt>
                <c:pt idx="530">
                  <c:v>-187.22400009373362</c:v>
                </c:pt>
                <c:pt idx="531">
                  <c:v>-187.69977940712681</c:v>
                </c:pt>
                <c:pt idx="532">
                  <c:v>-188.17393768420533</c:v>
                </c:pt>
                <c:pt idx="533">
                  <c:v>-188.65767712676924</c:v>
                </c:pt>
                <c:pt idx="534">
                  <c:v>-189.13969515126655</c:v>
                </c:pt>
                <c:pt idx="535">
                  <c:v>-189.61998075352508</c:v>
                </c:pt>
                <c:pt idx="536">
                  <c:v>-190.09852315250461</c:v>
                </c:pt>
                <c:pt idx="537">
                  <c:v>-190.58611627429687</c:v>
                </c:pt>
                <c:pt idx="538">
                  <c:v>-191.07186405857698</c:v>
                </c:pt>
                <c:pt idx="539">
                  <c:v>-191.55575571677747</c:v>
                </c:pt>
                <c:pt idx="540">
                  <c:v>-192.03778071697681</c:v>
                </c:pt>
                <c:pt idx="541">
                  <c:v>-192.52929187541608</c:v>
                </c:pt>
                <c:pt idx="542">
                  <c:v>-193.01882529567135</c:v>
                </c:pt>
                <c:pt idx="543">
                  <c:v>-193.50637053169453</c:v>
                </c:pt>
                <c:pt idx="544">
                  <c:v>-193.99191743026594</c:v>
                </c:pt>
                <c:pt idx="545">
                  <c:v>-194.48663300711112</c:v>
                </c:pt>
                <c:pt idx="546">
                  <c:v>-194.97923603866772</c:v>
                </c:pt>
                <c:pt idx="547">
                  <c:v>-195.4697166154476</c:v>
                </c:pt>
                <c:pt idx="548">
                  <c:v>-195.9580651575105</c:v>
                </c:pt>
                <c:pt idx="549">
                  <c:v>-196.45548880353093</c:v>
                </c:pt>
                <c:pt idx="550">
                  <c:v>-196.95066145874685</c:v>
                </c:pt>
                <c:pt idx="551">
                  <c:v>-197.44357394373793</c:v>
                </c:pt>
                <c:pt idx="552">
                  <c:v>-197.93421744570051</c:v>
                </c:pt>
                <c:pt idx="553">
                  <c:v>-198.43405239240215</c:v>
                </c:pt>
                <c:pt idx="554">
                  <c:v>-198.93149276961631</c:v>
                </c:pt>
                <c:pt idx="555">
                  <c:v>-199.42653032439151</c:v>
                </c:pt>
                <c:pt idx="556">
                  <c:v>-199.91915720773193</c:v>
                </c:pt>
                <c:pt idx="557">
                  <c:v>-200.91997579909943</c:v>
                </c:pt>
                <c:pt idx="558">
                  <c:v>-201.91060464146511</c:v>
                </c:pt>
                <c:pt idx="559">
                  <c:v>-202.91334355440142</c:v>
                </c:pt>
                <c:pt idx="560">
                  <c:v>-203.90531869591177</c:v>
                </c:pt>
                <c:pt idx="561">
                  <c:v>-204.90963762540696</c:v>
                </c:pt>
                <c:pt idx="562">
                  <c:v>-205.90259913034126</c:v>
                </c:pt>
                <c:pt idx="563">
                  <c:v>-206.90511535658851</c:v>
                </c:pt>
                <c:pt idx="564">
                  <c:v>-207.89573346296888</c:v>
                </c:pt>
                <c:pt idx="565">
                  <c:v>-208.8989611629963</c:v>
                </c:pt>
                <c:pt idx="566">
                  <c:v>-209.88966746580894</c:v>
                </c:pt>
                <c:pt idx="567">
                  <c:v>-210.89175386532733</c:v>
                </c:pt>
                <c:pt idx="568">
                  <c:v>-211.88071589622936</c:v>
                </c:pt>
                <c:pt idx="569">
                  <c:v>-212.87596136423807</c:v>
                </c:pt>
                <c:pt idx="570">
                  <c:v>-213.85761205297371</c:v>
                </c:pt>
                <c:pt idx="571">
                  <c:v>-214.85209654711107</c:v>
                </c:pt>
                <c:pt idx="572">
                  <c:v>-215.83233320927903</c:v>
                </c:pt>
                <c:pt idx="573">
                  <c:v>-216.81668717557497</c:v>
                </c:pt>
                <c:pt idx="574">
                  <c:v>-217.78639289604641</c:v>
                </c:pt>
                <c:pt idx="575">
                  <c:v>-218.76638517506476</c:v>
                </c:pt>
                <c:pt idx="576">
                  <c:v>-219.73114918392784</c:v>
                </c:pt>
                <c:pt idx="577">
                  <c:v>-223.64960803904333</c:v>
                </c:pt>
                <c:pt idx="578">
                  <c:v>-227.30742024945258</c:v>
                </c:pt>
                <c:pt idx="579">
                  <c:v>-234.47159621612755</c:v>
                </c:pt>
                <c:pt idx="580">
                  <c:v>-241.12882898669938</c:v>
                </c:pt>
                <c:pt idx="581">
                  <c:v>-247.19486916025838</c:v>
                </c:pt>
                <c:pt idx="582">
                  <c:v>-252.63151419394032</c:v>
                </c:pt>
                <c:pt idx="583">
                  <c:v>-257.42074602901675</c:v>
                </c:pt>
                <c:pt idx="584">
                  <c:v>-261.57451090281171</c:v>
                </c:pt>
                <c:pt idx="585">
                  <c:v>-265.11524339725679</c:v>
                </c:pt>
                <c:pt idx="586">
                  <c:v>-268.08040520761438</c:v>
                </c:pt>
                <c:pt idx="587">
                  <c:v>-270.51578493988336</c:v>
                </c:pt>
                <c:pt idx="588">
                  <c:v>-272.46844559668966</c:v>
                </c:pt>
                <c:pt idx="589">
                  <c:v>-273.99202230349408</c:v>
                </c:pt>
                <c:pt idx="590">
                  <c:v>-275.13844541181317</c:v>
                </c:pt>
                <c:pt idx="591">
                  <c:v>-275.95974015068964</c:v>
                </c:pt>
                <c:pt idx="592">
                  <c:v>-276.50569769625281</c:v>
                </c:pt>
                <c:pt idx="593">
                  <c:v>-276.82324611455886</c:v>
                </c:pt>
                <c:pt idx="594">
                  <c:v>-276.95517263601607</c:v>
                </c:pt>
                <c:pt idx="595">
                  <c:v>-276.93995774190603</c:v>
                </c:pt>
                <c:pt idx="596">
                  <c:v>-276.81130406879726</c:v>
                </c:pt>
                <c:pt idx="597">
                  <c:v>-276.59807795992521</c:v>
                </c:pt>
                <c:pt idx="598">
                  <c:v>-276.3245699209985</c:v>
                </c:pt>
                <c:pt idx="599">
                  <c:v>-276.01061036421163</c:v>
                </c:pt>
                <c:pt idx="600">
                  <c:v>-275.67222794263148</c:v>
                </c:pt>
              </c:numCache>
            </c:numRef>
          </c:yVal>
          <c:smooth val="0"/>
          <c:extLst>
            <c:ext xmlns:c16="http://schemas.microsoft.com/office/drawing/2014/chart" uri="{C3380CC4-5D6E-409C-BE32-E72D297353CC}">
              <c16:uniqueId val="{00000001-C921-4838-A0BE-4B6A27AAB705}"/>
            </c:ext>
          </c:extLst>
        </c:ser>
        <c:dLbls>
          <c:showLegendKey val="0"/>
          <c:showVal val="0"/>
          <c:showCatName val="0"/>
          <c:showSerName val="0"/>
          <c:showPercent val="0"/>
          <c:showBubbleSize val="0"/>
        </c:dLbls>
        <c:axId val="182174464"/>
        <c:axId val="182176000"/>
      </c:scatterChart>
      <c:valAx>
        <c:axId val="182162176"/>
        <c:scaling>
          <c:logBase val="10"/>
          <c:orientation val="minMax"/>
          <c:max val="1000000"/>
          <c:min val="10"/>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2164096"/>
        <c:crossesAt val="-40"/>
        <c:crossBetween val="midCat"/>
        <c:majorUnit val="10"/>
        <c:minorUnit val="10"/>
      </c:valAx>
      <c:valAx>
        <c:axId val="182164096"/>
        <c:scaling>
          <c:orientation val="minMax"/>
          <c:max val="10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182162176"/>
        <c:crossesAt val="0.1"/>
        <c:crossBetween val="midCat"/>
        <c:majorUnit val="20"/>
        <c:minorUnit val="4"/>
      </c:valAx>
      <c:valAx>
        <c:axId val="182174464"/>
        <c:scaling>
          <c:logBase val="10"/>
          <c:orientation val="minMax"/>
        </c:scaling>
        <c:delete val="1"/>
        <c:axPos val="t"/>
        <c:numFmt formatCode="General" sourceLinked="1"/>
        <c:majorTickMark val="out"/>
        <c:minorTickMark val="none"/>
        <c:tickLblPos val="none"/>
        <c:crossAx val="182176000"/>
        <c:crossesAt val="0"/>
        <c:crossBetween val="midCat"/>
      </c:valAx>
      <c:valAx>
        <c:axId val="182176000"/>
        <c:scaling>
          <c:orientation val="minMax"/>
          <c:max val="-45"/>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182174464"/>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LM5143-Q1 Ch2 Bode Plot</a:t>
            </a:r>
          </a:p>
        </c:rich>
      </c:tx>
      <c:layout>
        <c:manualLayout>
          <c:xMode val="edge"/>
          <c:yMode val="edge"/>
          <c:x val="0.35617103984450921"/>
          <c:y val="2.4449846994932085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0"/>
          <c:order val="0"/>
          <c:tx>
            <c:strRef>
              <c:f>'Ch2 Stability Calculations'!$Q$12</c:f>
              <c:strCache>
                <c:ptCount val="1"/>
                <c:pt idx="0">
                  <c:v>Gain (dB)</c:v>
                </c:pt>
              </c:strCache>
            </c:strRef>
          </c:tx>
          <c:spPr>
            <a:ln w="25400">
              <a:solidFill>
                <a:srgbClr val="FF0000"/>
              </a:solidFill>
              <a:prstDash val="solid"/>
            </a:ln>
          </c:spPr>
          <c:marker>
            <c:symbol val="none"/>
          </c:marker>
          <c:xVal>
            <c:numRef>
              <c:f>'Ch2 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'Ch2 Stability Calculations'!$Q$13:$Q$613</c:f>
              <c:numCache>
                <c:formatCode>0.00</c:formatCode>
                <c:ptCount val="601"/>
                <c:pt idx="0">
                  <c:v>93.378696633405241</c:v>
                </c:pt>
                <c:pt idx="1">
                  <c:v>93.086580832166646</c:v>
                </c:pt>
                <c:pt idx="2">
                  <c:v>92.759584118936999</c:v>
                </c:pt>
                <c:pt idx="3">
                  <c:v>92.396513415815093</c:v>
                </c:pt>
                <c:pt idx="4">
                  <c:v>91.997018888528402</c:v>
                </c:pt>
                <c:pt idx="5">
                  <c:v>91.560403577231909</c:v>
                </c:pt>
                <c:pt idx="6">
                  <c:v>91.087853183150798</c:v>
                </c:pt>
                <c:pt idx="7">
                  <c:v>90.580236157469301</c:v>
                </c:pt>
                <c:pt idx="8">
                  <c:v>90.039602576569436</c:v>
                </c:pt>
                <c:pt idx="9">
                  <c:v>89.467620133301565</c:v>
                </c:pt>
                <c:pt idx="10">
                  <c:v>88.866970548288876</c:v>
                </c:pt>
                <c:pt idx="11">
                  <c:v>88.240110481718744</c:v>
                </c:pt>
                <c:pt idx="12">
                  <c:v>87.589289561707048</c:v>
                </c:pt>
                <c:pt idx="13">
                  <c:v>86.917703847959132</c:v>
                </c:pt>
                <c:pt idx="14">
                  <c:v>86.227296210303308</c:v>
                </c:pt>
                <c:pt idx="15">
                  <c:v>85.520649045136537</c:v>
                </c:pt>
                <c:pt idx="16">
                  <c:v>84.799847125827895</c:v>
                </c:pt>
                <c:pt idx="17">
                  <c:v>84.066933852483672</c:v>
                </c:pt>
                <c:pt idx="18">
                  <c:v>83.323427783828009</c:v>
                </c:pt>
                <c:pt idx="19">
                  <c:v>82.571056836568232</c:v>
                </c:pt>
                <c:pt idx="20">
                  <c:v>81.811008008041398</c:v>
                </c:pt>
                <c:pt idx="21">
                  <c:v>81.044595352603181</c:v>
                </c:pt>
                <c:pt idx="22">
                  <c:v>80.272653139460616</c:v>
                </c:pt>
                <c:pt idx="23">
                  <c:v>79.496226823857953</c:v>
                </c:pt>
                <c:pt idx="24">
                  <c:v>78.715846818173659</c:v>
                </c:pt>
                <c:pt idx="25">
                  <c:v>77.932251090817516</c:v>
                </c:pt>
                <c:pt idx="26">
                  <c:v>77.145778856225164</c:v>
                </c:pt>
                <c:pt idx="27">
                  <c:v>76.357120890231215</c:v>
                </c:pt>
                <c:pt idx="28">
                  <c:v>75.566618028015952</c:v>
                </c:pt>
                <c:pt idx="29">
                  <c:v>74.77507466326027</c:v>
                </c:pt>
                <c:pt idx="30">
                  <c:v>73.98141303690555</c:v>
                </c:pt>
                <c:pt idx="31">
                  <c:v>73.186960157100373</c:v>
                </c:pt>
                <c:pt idx="32">
                  <c:v>72.39136108244945</c:v>
                </c:pt>
                <c:pt idx="33">
                  <c:v>71.595336799162709</c:v>
                </c:pt>
                <c:pt idx="34">
                  <c:v>70.798402539788668</c:v>
                </c:pt>
                <c:pt idx="35">
                  <c:v>70.001114842832791</c:v>
                </c:pt>
                <c:pt idx="36">
                  <c:v>69.203442570582453</c:v>
                </c:pt>
                <c:pt idx="37">
                  <c:v>68.405032050426698</c:v>
                </c:pt>
                <c:pt idx="38">
                  <c:v>67.606707470846146</c:v>
                </c:pt>
                <c:pt idx="39">
                  <c:v>66.80787924500774</c:v>
                </c:pt>
                <c:pt idx="40">
                  <c:v>66.008894040973431</c:v>
                </c:pt>
                <c:pt idx="41">
                  <c:v>65.209720117814911</c:v>
                </c:pt>
                <c:pt idx="42">
                  <c:v>64.410497922938092</c:v>
                </c:pt>
                <c:pt idx="43">
                  <c:v>63.611017055672207</c:v>
                </c:pt>
                <c:pt idx="44">
                  <c:v>62.811509572417663</c:v>
                </c:pt>
                <c:pt idx="45">
                  <c:v>62.011829399993687</c:v>
                </c:pt>
                <c:pt idx="46">
                  <c:v>61.212149596248189</c:v>
                </c:pt>
                <c:pt idx="47">
                  <c:v>60.412306385095675</c:v>
                </c:pt>
                <c:pt idx="48">
                  <c:v>59.612502213631615</c:v>
                </c:pt>
                <c:pt idx="49">
                  <c:v>58.812535856249902</c:v>
                </c:pt>
                <c:pt idx="50">
                  <c:v>58.012531436900154</c:v>
                </c:pt>
                <c:pt idx="51">
                  <c:v>57.212300951268844</c:v>
                </c:pt>
                <c:pt idx="52">
                  <c:v>56.412095682908955</c:v>
                </c:pt>
                <c:pt idx="53">
                  <c:v>55.611879172848191</c:v>
                </c:pt>
                <c:pt idx="54">
                  <c:v>54.81214125825916</c:v>
                </c:pt>
                <c:pt idx="55">
                  <c:v>54.011520126370264</c:v>
                </c:pt>
                <c:pt idx="56">
                  <c:v>53.211122616602552</c:v>
                </c:pt>
                <c:pt idx="57">
                  <c:v>52.410391208935145</c:v>
                </c:pt>
                <c:pt idx="58">
                  <c:v>51.609878671041983</c:v>
                </c:pt>
                <c:pt idx="59">
                  <c:v>50.808946023132563</c:v>
                </c:pt>
                <c:pt idx="60">
                  <c:v>50.00801776329682</c:v>
                </c:pt>
                <c:pt idx="61">
                  <c:v>49.20693958260248</c:v>
                </c:pt>
                <c:pt idx="62">
                  <c:v>48.405241491546498</c:v>
                </c:pt>
                <c:pt idx="63">
                  <c:v>47.603640445502904</c:v>
                </c:pt>
                <c:pt idx="64">
                  <c:v>46.801434462228499</c:v>
                </c:pt>
                <c:pt idx="65">
                  <c:v>45.998858844168346</c:v>
                </c:pt>
                <c:pt idx="66">
                  <c:v>45.195762564794315</c:v>
                </c:pt>
                <c:pt idx="67">
                  <c:v>44.392157697936014</c:v>
                </c:pt>
                <c:pt idx="68">
                  <c:v>43.587689724445809</c:v>
                </c:pt>
                <c:pt idx="69">
                  <c:v>42.78243134464735</c:v>
                </c:pt>
                <c:pt idx="70">
                  <c:v>41.976052551255947</c:v>
                </c:pt>
                <c:pt idx="71">
                  <c:v>41.168518327119862</c:v>
                </c:pt>
                <c:pt idx="72">
                  <c:v>40.359422253684116</c:v>
                </c:pt>
                <c:pt idx="73">
                  <c:v>39.548691839528352</c:v>
                </c:pt>
                <c:pt idx="74">
                  <c:v>38.735804582410239</c:v>
                </c:pt>
                <c:pt idx="75">
                  <c:v>37.92052214611774</c:v>
                </c:pt>
                <c:pt idx="76">
                  <c:v>37.102238746231492</c:v>
                </c:pt>
                <c:pt idx="77">
                  <c:v>36.280746088589446</c:v>
                </c:pt>
                <c:pt idx="78">
                  <c:v>35.455491907201527</c:v>
                </c:pt>
                <c:pt idx="79">
                  <c:v>34.626423702660702</c:v>
                </c:pt>
                <c:pt idx="80">
                  <c:v>33.791526996404329</c:v>
                </c:pt>
                <c:pt idx="81">
                  <c:v>32.951328271193972</c:v>
                </c:pt>
                <c:pt idx="82">
                  <c:v>32.104620455441093</c:v>
                </c:pt>
                <c:pt idx="83">
                  <c:v>31.251400721634006</c:v>
                </c:pt>
                <c:pt idx="84">
                  <c:v>30.390476351434192</c:v>
                </c:pt>
                <c:pt idx="85">
                  <c:v>29.521918019709396</c:v>
                </c:pt>
                <c:pt idx="86">
                  <c:v>28.645363859969258</c:v>
                </c:pt>
                <c:pt idx="87">
                  <c:v>27.760343509659833</c:v>
                </c:pt>
                <c:pt idx="88">
                  <c:v>26.867998221940912</c:v>
                </c:pt>
                <c:pt idx="89">
                  <c:v>25.968239408113405</c:v>
                </c:pt>
                <c:pt idx="90">
                  <c:v>25.062377138726557</c:v>
                </c:pt>
                <c:pt idx="91">
                  <c:v>24.151632942002411</c:v>
                </c:pt>
                <c:pt idx="92">
                  <c:v>23.237705140510592</c:v>
                </c:pt>
                <c:pt idx="93">
                  <c:v>22.322084289066435</c:v>
                </c:pt>
                <c:pt idx="94">
                  <c:v>22.093246368724412</c:v>
                </c:pt>
                <c:pt idx="95">
                  <c:v>21.978134969081303</c:v>
                </c:pt>
                <c:pt idx="96">
                  <c:v>21.864356531733552</c:v>
                </c:pt>
                <c:pt idx="97">
                  <c:v>21.749292132397137</c:v>
                </c:pt>
                <c:pt idx="98">
                  <c:v>21.635567011903561</c:v>
                </c:pt>
                <c:pt idx="99">
                  <c:v>21.520534807436679</c:v>
                </c:pt>
                <c:pt idx="100">
                  <c:v>21.406848585974195</c:v>
                </c:pt>
                <c:pt idx="101">
                  <c:v>21.291922766478603</c:v>
                </c:pt>
                <c:pt idx="102">
                  <c:v>21.178347918687884</c:v>
                </c:pt>
                <c:pt idx="103">
                  <c:v>21.063431591843326</c:v>
                </c:pt>
                <c:pt idx="104">
                  <c:v>20.949873478671002</c:v>
                </c:pt>
                <c:pt idx="105">
                  <c:v>20.83504355503997</c:v>
                </c:pt>
                <c:pt idx="106">
                  <c:v>20.721577246040617</c:v>
                </c:pt>
                <c:pt idx="107">
                  <c:v>20.606905786203654</c:v>
                </c:pt>
                <c:pt idx="108">
                  <c:v>20.493601561095069</c:v>
                </c:pt>
                <c:pt idx="109">
                  <c:v>20.379078381972107</c:v>
                </c:pt>
                <c:pt idx="110">
                  <c:v>20.265926187569107</c:v>
                </c:pt>
                <c:pt idx="111">
                  <c:v>20.151468208624507</c:v>
                </c:pt>
                <c:pt idx="112">
                  <c:v>20.038386819925783</c:v>
                </c:pt>
                <c:pt idx="113">
                  <c:v>19.924068350783884</c:v>
                </c:pt>
                <c:pt idx="114">
                  <c:v>19.811130158105769</c:v>
                </c:pt>
                <c:pt idx="115">
                  <c:v>19.696948364520242</c:v>
                </c:pt>
                <c:pt idx="116">
                  <c:v>19.584150428828508</c:v>
                </c:pt>
                <c:pt idx="117">
                  <c:v>19.470104471560884</c:v>
                </c:pt>
                <c:pt idx="118">
                  <c:v>19.357445781965506</c:v>
                </c:pt>
                <c:pt idx="119">
                  <c:v>19.243605201529409</c:v>
                </c:pt>
                <c:pt idx="120">
                  <c:v>19.131153399655766</c:v>
                </c:pt>
                <c:pt idx="121">
                  <c:v>19.017515676689815</c:v>
                </c:pt>
                <c:pt idx="122">
                  <c:v>18.905268063638985</c:v>
                </c:pt>
                <c:pt idx="123">
                  <c:v>18.791766928137349</c:v>
                </c:pt>
                <c:pt idx="124">
                  <c:v>18.679658596781504</c:v>
                </c:pt>
                <c:pt idx="125">
                  <c:v>18.56636296991346</c:v>
                </c:pt>
                <c:pt idx="126">
                  <c:v>18.454460897972726</c:v>
                </c:pt>
                <c:pt idx="127">
                  <c:v>18.341372277844606</c:v>
                </c:pt>
                <c:pt idx="128">
                  <c:v>18.229677646286156</c:v>
                </c:pt>
                <c:pt idx="129">
                  <c:v>18.116798550960283</c:v>
                </c:pt>
                <c:pt idx="130">
                  <c:v>18.005313525346509</c:v>
                </c:pt>
                <c:pt idx="131">
                  <c:v>17.892647334750411</c:v>
                </c:pt>
                <c:pt idx="132">
                  <c:v>17.836838911996914</c:v>
                </c:pt>
                <c:pt idx="133">
                  <c:v>17.781374912366861</c:v>
                </c:pt>
                <c:pt idx="134">
                  <c:v>17.724945121544039</c:v>
                </c:pt>
                <c:pt idx="135">
                  <c:v>17.668868031267163</c:v>
                </c:pt>
                <c:pt idx="136">
                  <c:v>17.613139545110212</c:v>
                </c:pt>
                <c:pt idx="137">
                  <c:v>17.557755631163246</c:v>
                </c:pt>
                <c:pt idx="138">
                  <c:v>17.501466551048356</c:v>
                </c:pt>
                <c:pt idx="139">
                  <c:v>17.44552953828418</c:v>
                </c:pt>
                <c:pt idx="140">
                  <c:v>17.389940481374307</c:v>
                </c:pt>
                <c:pt idx="141">
                  <c:v>17.334695334056935</c:v>
                </c:pt>
                <c:pt idx="142">
                  <c:v>17.278492217223977</c:v>
                </c:pt>
                <c:pt idx="143">
                  <c:v>17.22264113647109</c:v>
                </c:pt>
                <c:pt idx="144">
                  <c:v>17.167137955013665</c:v>
                </c:pt>
                <c:pt idx="145">
                  <c:v>17.111978602253465</c:v>
                </c:pt>
                <c:pt idx="146">
                  <c:v>17.055893221691303</c:v>
                </c:pt>
                <c:pt idx="147">
                  <c:v>17.000159368450355</c:v>
                </c:pt>
                <c:pt idx="148">
                  <c:v>16.944772889191565</c:v>
                </c:pt>
                <c:pt idx="149">
                  <c:v>16.889729697543615</c:v>
                </c:pt>
                <c:pt idx="150">
                  <c:v>16.833764923310564</c:v>
                </c:pt>
                <c:pt idx="151">
                  <c:v>16.778151049806379</c:v>
                </c:pt>
                <c:pt idx="152">
                  <c:v>16.722883909692364</c:v>
                </c:pt>
                <c:pt idx="153">
                  <c:v>16.667959403335178</c:v>
                </c:pt>
                <c:pt idx="154">
                  <c:v>16.612092565358804</c:v>
                </c:pt>
                <c:pt idx="155">
                  <c:v>16.556576203076627</c:v>
                </c:pt>
                <c:pt idx="156">
                  <c:v>16.501406132086601</c:v>
                </c:pt>
                <c:pt idx="157">
                  <c:v>16.446578236504624</c:v>
                </c:pt>
                <c:pt idx="158">
                  <c:v>16.390814215466509</c:v>
                </c:pt>
                <c:pt idx="159">
                  <c:v>16.335400102633564</c:v>
                </c:pt>
                <c:pt idx="160">
                  <c:v>16.280331699637355</c:v>
                </c:pt>
                <c:pt idx="161">
                  <c:v>16.225604877379244</c:v>
                </c:pt>
                <c:pt idx="162">
                  <c:v>16.169972823630523</c:v>
                </c:pt>
                <c:pt idx="163">
                  <c:v>16.114689664801421</c:v>
                </c:pt>
                <c:pt idx="164">
                  <c:v>16.059751197205884</c:v>
                </c:pt>
                <c:pt idx="165">
                  <c:v>16.005153286992279</c:v>
                </c:pt>
                <c:pt idx="166">
                  <c:v>15.949608524863518</c:v>
                </c:pt>
                <c:pt idx="167">
                  <c:v>15.894412122465395</c:v>
                </c:pt>
                <c:pt idx="168">
                  <c:v>15.839559862860241</c:v>
                </c:pt>
                <c:pt idx="169">
                  <c:v>15.785047599685116</c:v>
                </c:pt>
                <c:pt idx="170">
                  <c:v>15.729712325102206</c:v>
                </c:pt>
                <c:pt idx="171">
                  <c:v>15.674723269284074</c:v>
                </c:pt>
                <c:pt idx="172">
                  <c:v>15.620076231885431</c:v>
                </c:pt>
                <c:pt idx="173">
                  <c:v>15.565767083207461</c:v>
                </c:pt>
                <c:pt idx="174">
                  <c:v>15.510435319389984</c:v>
                </c:pt>
                <c:pt idx="175">
                  <c:v>15.455450126385131</c:v>
                </c:pt>
                <c:pt idx="176">
                  <c:v>15.400807275920336</c:v>
                </c:pt>
                <c:pt idx="177">
                  <c:v>15.346502611433607</c:v>
                </c:pt>
                <c:pt idx="178">
                  <c:v>15.291209076025968</c:v>
                </c:pt>
                <c:pt idx="179">
                  <c:v>15.236261953225299</c:v>
                </c:pt>
                <c:pt idx="180">
                  <c:v>15.181656996698891</c:v>
                </c:pt>
                <c:pt idx="181">
                  <c:v>15.127390032666826</c:v>
                </c:pt>
                <c:pt idx="182">
                  <c:v>15.072381674736516</c:v>
                </c:pt>
                <c:pt idx="183">
                  <c:v>15.017716416525138</c:v>
                </c:pt>
                <c:pt idx="184">
                  <c:v>14.963390052262788</c:v>
                </c:pt>
                <c:pt idx="185">
                  <c:v>14.909398448232508</c:v>
                </c:pt>
                <c:pt idx="186">
                  <c:v>14.854269122082391</c:v>
                </c:pt>
                <c:pt idx="187">
                  <c:v>14.799484567197435</c:v>
                </c:pt>
                <c:pt idx="188">
                  <c:v>14.745040527603146</c:v>
                </c:pt>
                <c:pt idx="189">
                  <c:v>14.690932820940766</c:v>
                </c:pt>
                <c:pt idx="190">
                  <c:v>14.636134291193112</c:v>
                </c:pt>
                <c:pt idx="191">
                  <c:v>14.581676510642311</c:v>
                </c:pt>
                <c:pt idx="192">
                  <c:v>14.527555278760698</c:v>
                </c:pt>
                <c:pt idx="193">
                  <c:v>14.473766467762948</c:v>
                </c:pt>
                <c:pt idx="194">
                  <c:v>14.418908817158705</c:v>
                </c:pt>
                <c:pt idx="195">
                  <c:v>14.364392666549664</c:v>
                </c:pt>
                <c:pt idx="196">
                  <c:v>14.31021378356485</c:v>
                </c:pt>
                <c:pt idx="197">
                  <c:v>14.256368009700404</c:v>
                </c:pt>
                <c:pt idx="198">
                  <c:v>14.201683009963666</c:v>
                </c:pt>
                <c:pt idx="199">
                  <c:v>14.14733731651592</c:v>
                </c:pt>
                <c:pt idx="200">
                  <c:v>14.093326720339807</c:v>
                </c:pt>
                <c:pt idx="201">
                  <c:v>14.039647086119189</c:v>
                </c:pt>
                <c:pt idx="202">
                  <c:v>13.985154625685428</c:v>
                </c:pt>
                <c:pt idx="203">
                  <c:v>13.930998970123822</c:v>
                </c:pt>
                <c:pt idx="204">
                  <c:v>13.877175940300289</c:v>
                </c:pt>
                <c:pt idx="205">
                  <c:v>13.8236814304452</c:v>
                </c:pt>
                <c:pt idx="206">
                  <c:v>13.76921407680415</c:v>
                </c:pt>
                <c:pt idx="207">
                  <c:v>13.715083026521839</c:v>
                </c:pt>
                <c:pt idx="208">
                  <c:v>13.661284093952624</c:v>
                </c:pt>
                <c:pt idx="209">
                  <c:v>13.607813167312152</c:v>
                </c:pt>
                <c:pt idx="210">
                  <c:v>13.553219601218697</c:v>
                </c:pt>
                <c:pt idx="211">
                  <c:v>13.498963632345824</c:v>
                </c:pt>
                <c:pt idx="212">
                  <c:v>13.44504103556126</c:v>
                </c:pt>
                <c:pt idx="213">
                  <c:v>13.391447660857157</c:v>
                </c:pt>
                <c:pt idx="214">
                  <c:v>13.337120884213425</c:v>
                </c:pt>
                <c:pt idx="215">
                  <c:v>13.283128096793753</c:v>
                </c:pt>
                <c:pt idx="216">
                  <c:v>13.229465126175462</c:v>
                </c:pt>
                <c:pt idx="217">
                  <c:v>13.176127874132053</c:v>
                </c:pt>
                <c:pt idx="218">
                  <c:v>13.121907211037726</c:v>
                </c:pt>
                <c:pt idx="219">
                  <c:v>13.068018847671874</c:v>
                </c:pt>
                <c:pt idx="220">
                  <c:v>13.014458629133934</c:v>
                </c:pt>
                <c:pt idx="221">
                  <c:v>12.961222474603346</c:v>
                </c:pt>
                <c:pt idx="222">
                  <c:v>12.907130334053576</c:v>
                </c:pt>
                <c:pt idx="223">
                  <c:v>12.853368472328153</c:v>
                </c:pt>
                <c:pt idx="224">
                  <c:v>12.799932758844905</c:v>
                </c:pt>
                <c:pt idx="225">
                  <c:v>12.746819136805863</c:v>
                </c:pt>
                <c:pt idx="226">
                  <c:v>12.692711874282478</c:v>
                </c:pt>
                <c:pt idx="227">
                  <c:v>12.638934558877359</c:v>
                </c:pt>
                <c:pt idx="228">
                  <c:v>12.585483053240365</c:v>
                </c:pt>
                <c:pt idx="229">
                  <c:v>12.532353294231701</c:v>
                </c:pt>
                <c:pt idx="230">
                  <c:v>12.424497957161794</c:v>
                </c:pt>
                <c:pt idx="231">
                  <c:v>12.371059931292184</c:v>
                </c:pt>
                <c:pt idx="232">
                  <c:v>12.317942894099117</c:v>
                </c:pt>
                <c:pt idx="233">
                  <c:v>12.263893263405228</c:v>
                </c:pt>
                <c:pt idx="234">
                  <c:v>12.210171659997179</c:v>
                </c:pt>
                <c:pt idx="235">
                  <c:v>12.15677395780888</c:v>
                </c:pt>
                <c:pt idx="236">
                  <c:v>12.103696105198855</c:v>
                </c:pt>
                <c:pt idx="237">
                  <c:v>12.04986683240146</c:v>
                </c:pt>
                <c:pt idx="238">
                  <c:v>11.99636222856582</c:v>
                </c:pt>
                <c:pt idx="239">
                  <c:v>11.943178218951385</c:v>
                </c:pt>
                <c:pt idx="240">
                  <c:v>11.890310802228527</c:v>
                </c:pt>
                <c:pt idx="241">
                  <c:v>11.836416384283048</c:v>
                </c:pt>
                <c:pt idx="242">
                  <c:v>11.782846660479089</c:v>
                </c:pt>
                <c:pt idx="243">
                  <c:v>11.729597544180159</c:v>
                </c:pt>
                <c:pt idx="244">
                  <c:v>11.676665022645656</c:v>
                </c:pt>
                <c:pt idx="245">
                  <c:v>11.622882575472387</c:v>
                </c:pt>
                <c:pt idx="246">
                  <c:v>11.569422661268163</c:v>
                </c:pt>
                <c:pt idx="247">
                  <c:v>11.516281222876634</c:v>
                </c:pt>
                <c:pt idx="248">
                  <c:v>11.463454276512604</c:v>
                </c:pt>
                <c:pt idx="249">
                  <c:v>11.40966087046699</c:v>
                </c:pt>
                <c:pt idx="250">
                  <c:v>11.356189250325661</c:v>
                </c:pt>
                <c:pt idx="251">
                  <c:v>11.303035362036365</c:v>
                </c:pt>
                <c:pt idx="252">
                  <c:v>11.250195225011247</c:v>
                </c:pt>
                <c:pt idx="253">
                  <c:v>11.196556498211358</c:v>
                </c:pt>
                <c:pt idx="254">
                  <c:v>11.143236780949033</c:v>
                </c:pt>
                <c:pt idx="255">
                  <c:v>11.0902320606553</c:v>
                </c:pt>
                <c:pt idx="256">
                  <c:v>11.03753839737889</c:v>
                </c:pt>
                <c:pt idx="257">
                  <c:v>10.983798807462472</c:v>
                </c:pt>
                <c:pt idx="258">
                  <c:v>10.930378426607586</c:v>
                </c:pt>
                <c:pt idx="259">
                  <c:v>10.877273227813806</c:v>
                </c:pt>
                <c:pt idx="260">
                  <c:v>10.824479257182825</c:v>
                </c:pt>
                <c:pt idx="261">
                  <c:v>10.770803296281953</c:v>
                </c:pt>
                <c:pt idx="262">
                  <c:v>10.717444732389749</c:v>
                </c:pt>
                <c:pt idx="263">
                  <c:v>10.664399562015587</c:v>
                </c:pt>
                <c:pt idx="264">
                  <c:v>10.61166385432594</c:v>
                </c:pt>
                <c:pt idx="265">
                  <c:v>10.558072077876632</c:v>
                </c:pt>
                <c:pt idx="266">
                  <c:v>10.504795589553577</c:v>
                </c:pt>
                <c:pt idx="267">
                  <c:v>10.451830414983563</c:v>
                </c:pt>
                <c:pt idx="268">
                  <c:v>10.39917265185538</c:v>
                </c:pt>
                <c:pt idx="269">
                  <c:v>10.345557597839321</c:v>
                </c:pt>
                <c:pt idx="270">
                  <c:v>10.29225692466688</c:v>
                </c:pt>
                <c:pt idx="271">
                  <c:v>10.239266664368397</c:v>
                </c:pt>
                <c:pt idx="272">
                  <c:v>10.186582920974335</c:v>
                </c:pt>
                <c:pt idx="273">
                  <c:v>10.132970089563855</c:v>
                </c:pt>
                <c:pt idx="274">
                  <c:v>10.079670367568436</c:v>
                </c:pt>
                <c:pt idx="275">
                  <c:v>10.026679800155803</c:v>
                </c:pt>
                <c:pt idx="276">
                  <c:v>9.9739945042555398</c:v>
                </c:pt>
                <c:pt idx="277">
                  <c:v>9.9205275298026407</c:v>
                </c:pt>
                <c:pt idx="278">
                  <c:v>9.867370664906721</c:v>
                </c:pt>
                <c:pt idx="279">
                  <c:v>9.8145200003170014</c:v>
                </c:pt>
                <c:pt idx="280">
                  <c:v>9.7619716975111075</c:v>
                </c:pt>
                <c:pt idx="281">
                  <c:v>9.7083107637053185</c:v>
                </c:pt>
                <c:pt idx="282">
                  <c:v>9.6549608080198421</c:v>
                </c:pt>
                <c:pt idx="283">
                  <c:v>9.6019178934945302</c:v>
                </c:pt>
                <c:pt idx="284">
                  <c:v>9.5491781546161292</c:v>
                </c:pt>
                <c:pt idx="285">
                  <c:v>9.4957035078270486</c:v>
                </c:pt>
                <c:pt idx="286">
                  <c:v>9.4425362492755429</c:v>
                </c:pt>
                <c:pt idx="287">
                  <c:v>9.3896724982115316</c:v>
                </c:pt>
                <c:pt idx="288">
                  <c:v>9.3371084440164296</c:v>
                </c:pt>
                <c:pt idx="289">
                  <c:v>9.2834924762444011</c:v>
                </c:pt>
                <c:pt idx="290">
                  <c:v>9.2301840024323578</c:v>
                </c:pt>
                <c:pt idx="291">
                  <c:v>9.1771791278048571</c:v>
                </c:pt>
                <c:pt idx="292">
                  <c:v>9.1244740280797547</c:v>
                </c:pt>
                <c:pt idx="293">
                  <c:v>9.0708572834753145</c:v>
                </c:pt>
                <c:pt idx="294">
                  <c:v>9.0175464490746684</c:v>
                </c:pt>
                <c:pt idx="295">
                  <c:v>8.964537647540423</c:v>
                </c:pt>
                <c:pt idx="296">
                  <c:v>8.9118270716210706</c:v>
                </c:pt>
                <c:pt idx="297">
                  <c:v>8.8582304183987084</c:v>
                </c:pt>
                <c:pt idx="298">
                  <c:v>8.8049377799936774</c:v>
                </c:pt>
                <c:pt idx="299">
                  <c:v>8.751945301892226</c:v>
                </c:pt>
                <c:pt idx="300">
                  <c:v>8.6992491991176877</c:v>
                </c:pt>
                <c:pt idx="301">
                  <c:v>8.6456915244256614</c:v>
                </c:pt>
                <c:pt idx="302">
                  <c:v>8.5924356822845205</c:v>
                </c:pt>
                <c:pt idx="303">
                  <c:v>8.5394778458600644</c:v>
                </c:pt>
                <c:pt idx="304">
                  <c:v>8.4868142571786862</c:v>
                </c:pt>
                <c:pt idx="305">
                  <c:v>8.4331073768696498</c:v>
                </c:pt>
                <c:pt idx="306">
                  <c:v>8.3797021760024819</c:v>
                </c:pt>
                <c:pt idx="307">
                  <c:v>8.3265948162149073</c:v>
                </c:pt>
                <c:pt idx="308">
                  <c:v>8.2737815282549487</c:v>
                </c:pt>
                <c:pt idx="309">
                  <c:v>8.220154902997006</c:v>
                </c:pt>
                <c:pt idx="310">
                  <c:v>8.1668271447994769</c:v>
                </c:pt>
                <c:pt idx="311">
                  <c:v>8.1137944535305255</c:v>
                </c:pt>
                <c:pt idx="312">
                  <c:v>8.0610530972166963</c:v>
                </c:pt>
                <c:pt idx="313">
                  <c:v>8.0073236154426723</c:v>
                </c:pt>
                <c:pt idx="314">
                  <c:v>7.9538921376445977</c:v>
                </c:pt>
                <c:pt idx="315">
                  <c:v>7.9007548640022893</c:v>
                </c:pt>
                <c:pt idx="316">
                  <c:v>7.8479080627954172</c:v>
                </c:pt>
                <c:pt idx="317">
                  <c:v>7.7941001062767867</c:v>
                </c:pt>
                <c:pt idx="318">
                  <c:v>7.7405889143875131</c:v>
                </c:pt>
                <c:pt idx="319">
                  <c:v>7.6873706937859261</c:v>
                </c:pt>
                <c:pt idx="320">
                  <c:v>7.6344417190119707</c:v>
                </c:pt>
                <c:pt idx="321">
                  <c:v>7.5805774350517989</c:v>
                </c:pt>
                <c:pt idx="322">
                  <c:v>7.5270083251280626</c:v>
                </c:pt>
                <c:pt idx="323">
                  <c:v>7.4737306080215538</c:v>
                </c:pt>
                <c:pt idx="324">
                  <c:v>7.4207405700296549</c:v>
                </c:pt>
                <c:pt idx="325">
                  <c:v>7.3668399723418005</c:v>
                </c:pt>
                <c:pt idx="326">
                  <c:v>7.3132326308088116</c:v>
                </c:pt>
                <c:pt idx="327">
                  <c:v>7.2599147814656897</c:v>
                </c:pt>
                <c:pt idx="328">
                  <c:v>7.2068827273651976</c:v>
                </c:pt>
                <c:pt idx="329">
                  <c:v>7.1528738739348343</c:v>
                </c:pt>
                <c:pt idx="330">
                  <c:v>7.0991570221550582</c:v>
                </c:pt>
                <c:pt idx="331">
                  <c:v>7.0457284113140028</c:v>
                </c:pt>
                <c:pt idx="332">
                  <c:v>6.9925843475374343</c:v>
                </c:pt>
                <c:pt idx="333">
                  <c:v>6.9385770096754049</c:v>
                </c:pt>
                <c:pt idx="334">
                  <c:v>6.8848591148325164</c:v>
                </c:pt>
                <c:pt idx="335">
                  <c:v>6.8314269293017214</c:v>
                </c:pt>
                <c:pt idx="336">
                  <c:v>6.7782767854603296</c:v>
                </c:pt>
                <c:pt idx="337">
                  <c:v>6.7241126708076449</c:v>
                </c:pt>
                <c:pt idx="338">
                  <c:v>6.6702370051375866</c:v>
                </c:pt>
                <c:pt idx="339">
                  <c:v>6.6166460500670263</c:v>
                </c:pt>
                <c:pt idx="340">
                  <c:v>6.5633361332767661</c:v>
                </c:pt>
                <c:pt idx="341">
                  <c:v>6.5090382956817052</c:v>
                </c:pt>
                <c:pt idx="342">
                  <c:v>6.4550275171090679</c:v>
                </c:pt>
                <c:pt idx="343">
                  <c:v>6.4013000604207697</c:v>
                </c:pt>
                <c:pt idx="344">
                  <c:v>6.3478522543680551</c:v>
                </c:pt>
                <c:pt idx="345">
                  <c:v>6.293524031909806</c:v>
                </c:pt>
                <c:pt idx="346">
                  <c:v>6.2394802435523919</c:v>
                </c:pt>
                <c:pt idx="347">
                  <c:v>6.1857171756831928</c:v>
                </c:pt>
                <c:pt idx="348">
                  <c:v>6.1322311798688194</c:v>
                </c:pt>
                <c:pt idx="349">
                  <c:v>6.0777241919696721</c:v>
                </c:pt>
                <c:pt idx="350">
                  <c:v>6.0235004091125557</c:v>
                </c:pt>
                <c:pt idx="351">
                  <c:v>5.969556112034792</c:v>
                </c:pt>
                <c:pt idx="352">
                  <c:v>5.9158876466095425</c:v>
                </c:pt>
                <c:pt idx="353">
                  <c:v>5.8612233726109064</c:v>
                </c:pt>
                <c:pt idx="354">
                  <c:v>5.8068406723815249</c:v>
                </c:pt>
                <c:pt idx="355">
                  <c:v>5.7527358266753215</c:v>
                </c:pt>
                <c:pt idx="356">
                  <c:v>5.6989051811900096</c:v>
                </c:pt>
                <c:pt idx="357">
                  <c:v>5.644180399336002</c:v>
                </c:pt>
                <c:pt idx="358">
                  <c:v>5.5897343912697863</c:v>
                </c:pt>
                <c:pt idx="359">
                  <c:v>5.5355634586083236</c:v>
                </c:pt>
                <c:pt idx="360">
                  <c:v>5.481663967221742</c:v>
                </c:pt>
                <c:pt idx="361">
                  <c:v>5.4267387094035646</c:v>
                </c:pt>
                <c:pt idx="362">
                  <c:v>5.3720906633972429</c:v>
                </c:pt>
                <c:pt idx="363">
                  <c:v>5.3177161246930735</c:v>
                </c:pt>
                <c:pt idx="364">
                  <c:v>5.2636114529517268</c:v>
                </c:pt>
                <c:pt idx="365">
                  <c:v>5.2085796594578282</c:v>
                </c:pt>
                <c:pt idx="366">
                  <c:v>5.1538223665230012</c:v>
                </c:pt>
                <c:pt idx="367">
                  <c:v>5.0993358837897933</c:v>
                </c:pt>
                <c:pt idx="368">
                  <c:v>5.0451165845047488</c:v>
                </c:pt>
                <c:pt idx="369">
                  <c:v>4.9898446084227306</c:v>
                </c:pt>
                <c:pt idx="370">
                  <c:v>4.9348455367647714</c:v>
                </c:pt>
                <c:pt idx="371">
                  <c:v>4.8801156679971402</c:v>
                </c:pt>
                <c:pt idx="372">
                  <c:v>4.8256513641867542</c:v>
                </c:pt>
                <c:pt idx="373">
                  <c:v>4.7702299739988492</c:v>
                </c:pt>
                <c:pt idx="374">
                  <c:v>4.7150787624871739</c:v>
                </c:pt>
                <c:pt idx="375">
                  <c:v>4.6601940366407764</c:v>
                </c:pt>
                <c:pt idx="376">
                  <c:v>4.6055721665778222</c:v>
                </c:pt>
                <c:pt idx="377">
                  <c:v>4.5498731530780674</c:v>
                </c:pt>
                <c:pt idx="378">
                  <c:v>4.4944425911460986</c:v>
                </c:pt>
                <c:pt idx="379">
                  <c:v>4.4392767724123692</c:v>
                </c:pt>
                <c:pt idx="380">
                  <c:v>4.3843720516890166</c:v>
                </c:pt>
                <c:pt idx="381">
                  <c:v>4.3285516970757341</c:v>
                </c:pt>
                <c:pt idx="382">
                  <c:v>4.2729963043458916</c:v>
                </c:pt>
                <c:pt idx="383">
                  <c:v>4.2177021825060912</c:v>
                </c:pt>
                <c:pt idx="384">
                  <c:v>4.1626657030384138</c:v>
                </c:pt>
                <c:pt idx="385">
                  <c:v>4.1065288142334202</c:v>
                </c:pt>
                <c:pt idx="386">
                  <c:v>4.0506549756182277</c:v>
                </c:pt>
                <c:pt idx="387">
                  <c:v>3.9950404767785686</c:v>
                </c:pt>
                <c:pt idx="388">
                  <c:v>3.9396816698804171</c:v>
                </c:pt>
                <c:pt idx="389">
                  <c:v>3.8833118478523088</c:v>
                </c:pt>
                <c:pt idx="390">
                  <c:v>3.8272020732850165</c:v>
                </c:pt>
                <c:pt idx="391">
                  <c:v>3.7713486348558742</c:v>
                </c:pt>
                <c:pt idx="392">
                  <c:v>3.7157478834928637</c:v>
                </c:pt>
                <c:pt idx="393">
                  <c:v>3.6591559412853467</c:v>
                </c:pt>
                <c:pt idx="394">
                  <c:v>3.6028206411682762</c:v>
                </c:pt>
                <c:pt idx="395">
                  <c:v>3.5467382750635386</c:v>
                </c:pt>
                <c:pt idx="396">
                  <c:v>3.4909051967063114</c:v>
                </c:pt>
                <c:pt idx="397">
                  <c:v>3.433971325270945</c:v>
                </c:pt>
                <c:pt idx="398">
                  <c:v>3.3772914413932402</c:v>
                </c:pt>
                <c:pt idx="399">
                  <c:v>3.3208618190230608</c:v>
                </c:pt>
                <c:pt idx="400">
                  <c:v>3.2646787939407194</c:v>
                </c:pt>
                <c:pt idx="401">
                  <c:v>3.2074787844423702</c:v>
                </c:pt>
                <c:pt idx="402">
                  <c:v>3.1505290730928777</c:v>
                </c:pt>
                <c:pt idx="403">
                  <c:v>3.093825933124295</c:v>
                </c:pt>
                <c:pt idx="404">
                  <c:v>3.0373656992216396</c:v>
                </c:pt>
                <c:pt idx="405">
                  <c:v>2.9798444410305986</c:v>
                </c:pt>
                <c:pt idx="406">
                  <c:v>2.9225699074575715</c:v>
                </c:pt>
                <c:pt idx="407">
                  <c:v>2.8655383628585844</c:v>
                </c:pt>
                <c:pt idx="408">
                  <c:v>2.8087461328342163</c:v>
                </c:pt>
                <c:pt idx="409">
                  <c:v>2.7508502106190629</c:v>
                </c:pt>
                <c:pt idx="410">
                  <c:v>2.6931974941984596</c:v>
                </c:pt>
                <c:pt idx="411">
                  <c:v>2.6357842315529751</c:v>
                </c:pt>
                <c:pt idx="412">
                  <c:v>2.5786067318547894</c:v>
                </c:pt>
                <c:pt idx="413">
                  <c:v>2.5203439639695553</c:v>
                </c:pt>
                <c:pt idx="414">
                  <c:v>2.4623203894255772</c:v>
                </c:pt>
                <c:pt idx="415">
                  <c:v>2.404532244475686</c:v>
                </c:pt>
                <c:pt idx="416">
                  <c:v>2.3469758264070997</c:v>
                </c:pt>
                <c:pt idx="417">
                  <c:v>2.2882922962752081</c:v>
                </c:pt>
                <c:pt idx="418">
                  <c:v>2.229843938415728</c:v>
                </c:pt>
                <c:pt idx="419">
                  <c:v>2.1716269703682478</c:v>
                </c:pt>
                <c:pt idx="420">
                  <c:v>2.1136376707027282</c:v>
                </c:pt>
                <c:pt idx="421">
                  <c:v>2.0545963763533539</c:v>
                </c:pt>
                <c:pt idx="422">
                  <c:v>1.9957852668568878</c:v>
                </c:pt>
                <c:pt idx="423">
                  <c:v>1.9372005568699895</c:v>
                </c:pt>
                <c:pt idx="424">
                  <c:v>1.8788385217476149</c:v>
                </c:pt>
                <c:pt idx="425">
                  <c:v>1.8192675414758903</c:v>
                </c:pt>
                <c:pt idx="426">
                  <c:v>1.7599226021175451</c:v>
                </c:pt>
                <c:pt idx="427">
                  <c:v>1.7007998865919411</c:v>
                </c:pt>
                <c:pt idx="428">
                  <c:v>1.6418956388196801</c:v>
                </c:pt>
                <c:pt idx="429">
                  <c:v>1.5818555946217618</c:v>
                </c:pt>
                <c:pt idx="430">
                  <c:v>1.5220364441634613</c:v>
                </c:pt>
                <c:pt idx="431">
                  <c:v>1.4624343548925711</c:v>
                </c:pt>
                <c:pt idx="432">
                  <c:v>1.4030455552450618</c:v>
                </c:pt>
                <c:pt idx="433">
                  <c:v>1.3425351031767758</c:v>
                </c:pt>
                <c:pt idx="434">
                  <c:v>1.2822398756441864</c:v>
                </c:pt>
                <c:pt idx="435">
                  <c:v>1.2221560293888007</c:v>
                </c:pt>
                <c:pt idx="436">
                  <c:v>1.1622797820719259</c:v>
                </c:pt>
                <c:pt idx="437">
                  <c:v>1.101185187779133</c:v>
                </c:pt>
                <c:pt idx="438">
                  <c:v>1.0403003887112352</c:v>
                </c:pt>
                <c:pt idx="439">
                  <c:v>0.97962151494641148</c:v>
                </c:pt>
                <c:pt idx="440">
                  <c:v>0.91914475781159921</c:v>
                </c:pt>
                <c:pt idx="441">
                  <c:v>0.85746311075730541</c:v>
                </c:pt>
                <c:pt idx="442">
                  <c:v>0.79598523729844572</c:v>
                </c:pt>
                <c:pt idx="443">
                  <c:v>0.7347072467058291</c:v>
                </c:pt>
                <c:pt idx="444">
                  <c:v>0.67362530978462498</c:v>
                </c:pt>
                <c:pt idx="445">
                  <c:v>0.61135037475281251</c:v>
                </c:pt>
                <c:pt idx="446">
                  <c:v>0.54927261892809254</c:v>
                </c:pt>
                <c:pt idx="447">
                  <c:v>0.48738813667737235</c:v>
                </c:pt>
                <c:pt idx="448">
                  <c:v>0.42569308416631618</c:v>
                </c:pt>
                <c:pt idx="449">
                  <c:v>0.36271012355426763</c:v>
                </c:pt>
                <c:pt idx="450">
                  <c:v>0.29991782710264164</c:v>
                </c:pt>
                <c:pt idx="451">
                  <c:v>0.23731226074707612</c:v>
                </c:pt>
                <c:pt idx="452">
                  <c:v>0.17488955290086061</c:v>
                </c:pt>
                <c:pt idx="453">
                  <c:v>0.11124159017702986</c:v>
                </c:pt>
                <c:pt idx="454">
                  <c:v>4.7776848400044203E-2</c:v>
                </c:pt>
                <c:pt idx="455">
                  <c:v>-1.5508617883755389E-2</c:v>
                </c:pt>
                <c:pt idx="456">
                  <c:v>-7.8618691170775787E-2</c:v>
                </c:pt>
                <c:pt idx="457">
                  <c:v>-0.14304876957419191</c:v>
                </c:pt>
                <c:pt idx="458">
                  <c:v>-0.20730306916371971</c:v>
                </c:pt>
                <c:pt idx="459">
                  <c:v>-0.27138555843325313</c:v>
                </c:pt>
                <c:pt idx="460">
                  <c:v>-0.33530014199674563</c:v>
                </c:pt>
                <c:pt idx="461">
                  <c:v>-0.40052657626276639</c:v>
                </c:pt>
                <c:pt idx="462">
                  <c:v>-0.46558530068351334</c:v>
                </c:pt>
                <c:pt idx="463">
                  <c:v>-0.53048029795954155</c:v>
                </c:pt>
                <c:pt idx="464">
                  <c:v>-0.59521548594028406</c:v>
                </c:pt>
                <c:pt idx="465">
                  <c:v>-0.66130645495348406</c:v>
                </c:pt>
                <c:pt idx="466">
                  <c:v>-0.72723813637497747</c:v>
                </c:pt>
                <c:pt idx="467">
                  <c:v>-0.79301452672570116</c:v>
                </c:pt>
                <c:pt idx="468">
                  <c:v>-0.85863955642971601</c:v>
                </c:pt>
                <c:pt idx="469">
                  <c:v>-0.92561487910402251</c:v>
                </c:pt>
                <c:pt idx="470">
                  <c:v>-0.99243994166418215</c:v>
                </c:pt>
                <c:pt idx="471">
                  <c:v>-1.0591187436392171</c:v>
                </c:pt>
                <c:pt idx="472">
                  <c:v>-1.1256552171202237</c:v>
                </c:pt>
                <c:pt idx="473">
                  <c:v>-1.1936371907473804</c:v>
                </c:pt>
                <c:pt idx="474">
                  <c:v>-1.2614780879042076</c:v>
                </c:pt>
                <c:pt idx="475">
                  <c:v>-1.329181916748988</c:v>
                </c:pt>
                <c:pt idx="476">
                  <c:v>-1.3967526161415327</c:v>
                </c:pt>
                <c:pt idx="477">
                  <c:v>-1.4657655231607261</c:v>
                </c:pt>
                <c:pt idx="478">
                  <c:v>-1.5346471463880711</c:v>
                </c:pt>
                <c:pt idx="479">
                  <c:v>-1.603401488540336</c:v>
                </c:pt>
                <c:pt idx="480">
                  <c:v>-1.672032481037762</c:v>
                </c:pt>
                <c:pt idx="481">
                  <c:v>-1.7421041380595761</c:v>
                </c:pt>
                <c:pt idx="482">
                  <c:v>-1.8120548539835131</c:v>
                </c:pt>
                <c:pt idx="483">
                  <c:v>-1.8818886107235309</c:v>
                </c:pt>
                <c:pt idx="484">
                  <c:v>-1.9516093167417861</c:v>
                </c:pt>
                <c:pt idx="485">
                  <c:v>-2.0228192613165592</c:v>
                </c:pt>
                <c:pt idx="486">
                  <c:v>-2.0939189430455629</c:v>
                </c:pt>
                <c:pt idx="487">
                  <c:v>-2.1649123142636135</c:v>
                </c:pt>
                <c:pt idx="488">
                  <c:v>-2.2358032513227371</c:v>
                </c:pt>
                <c:pt idx="489">
                  <c:v>-2.3082810619046361</c:v>
                </c:pt>
                <c:pt idx="490">
                  <c:v>-2.3806594827838925</c:v>
                </c:pt>
                <c:pt idx="491">
                  <c:v>-2.4529424331476317</c:v>
                </c:pt>
                <c:pt idx="492">
                  <c:v>-2.525133753073975</c:v>
                </c:pt>
                <c:pt idx="493">
                  <c:v>-2.5989141274561147</c:v>
                </c:pt>
                <c:pt idx="494">
                  <c:v>-2.6726064430935943</c:v>
                </c:pt>
                <c:pt idx="495">
                  <c:v>-2.7462145637553474</c:v>
                </c:pt>
                <c:pt idx="496">
                  <c:v>-2.8197422707925006</c:v>
                </c:pt>
                <c:pt idx="497">
                  <c:v>-2.8949105271934537</c:v>
                </c:pt>
                <c:pt idx="498">
                  <c:v>-2.9700023171699801</c:v>
                </c:pt>
                <c:pt idx="499">
                  <c:v>-3.0450214320797797</c:v>
                </c:pt>
                <c:pt idx="500">
                  <c:v>-3.1199715771686205</c:v>
                </c:pt>
                <c:pt idx="501">
                  <c:v>-3.1966148141565505</c:v>
                </c:pt>
                <c:pt idx="502">
                  <c:v>-3.2731933847460408</c:v>
                </c:pt>
                <c:pt idx="503">
                  <c:v>-3.34971098780135</c:v>
                </c:pt>
                <c:pt idx="504">
                  <c:v>-3.4261712320140609</c:v>
                </c:pt>
                <c:pt idx="505">
                  <c:v>-3.5043307772249399</c:v>
                </c:pt>
                <c:pt idx="506">
                  <c:v>-3.5824376549679577</c:v>
                </c:pt>
                <c:pt idx="507">
                  <c:v>-3.6604954419083451</c:v>
                </c:pt>
                <c:pt idx="508">
                  <c:v>-3.7385076203743979</c:v>
                </c:pt>
                <c:pt idx="509">
                  <c:v>-3.818273868861541</c:v>
                </c:pt>
                <c:pt idx="510">
                  <c:v>-3.8979994581915776</c:v>
                </c:pt>
                <c:pt idx="511">
                  <c:v>-3.9776878173635044</c:v>
                </c:pt>
                <c:pt idx="512">
                  <c:v>-4.0573422766078506</c:v>
                </c:pt>
                <c:pt idx="513">
                  <c:v>-4.138853660330212</c:v>
                </c:pt>
                <c:pt idx="514">
                  <c:v>-4.2203362679623968</c:v>
                </c:pt>
                <c:pt idx="515">
                  <c:v>-4.3017933578736436</c:v>
                </c:pt>
                <c:pt idx="516">
                  <c:v>-4.3832280848070688</c:v>
                </c:pt>
                <c:pt idx="517">
                  <c:v>-4.4665290034222984</c:v>
                </c:pt>
                <c:pt idx="518">
                  <c:v>-4.5498128657293151</c:v>
                </c:pt>
                <c:pt idx="519">
                  <c:v>-4.6330827217494939</c:v>
                </c:pt>
                <c:pt idx="520">
                  <c:v>-4.7163415131745756</c:v>
                </c:pt>
                <c:pt idx="521">
                  <c:v>-4.801523675893149</c:v>
                </c:pt>
                <c:pt idx="522">
                  <c:v>-4.8867001439439157</c:v>
                </c:pt>
                <c:pt idx="523">
                  <c:v>-4.971873724940937</c:v>
                </c:pt>
                <c:pt idx="524">
                  <c:v>-5.0570471135179575</c:v>
                </c:pt>
                <c:pt idx="525">
                  <c:v>-5.1442015821167679</c:v>
                </c:pt>
                <c:pt idx="526">
                  <c:v>-5.2313612013603983</c:v>
                </c:pt>
                <c:pt idx="527">
                  <c:v>-5.3185285002563001</c:v>
                </c:pt>
                <c:pt idx="528">
                  <c:v>-5.4057058903980639</c:v>
                </c:pt>
                <c:pt idx="529">
                  <c:v>-5.4949224058209847</c:v>
                </c:pt>
                <c:pt idx="530">
                  <c:v>-5.584154226318514</c:v>
                </c:pt>
                <c:pt idx="531">
                  <c:v>-5.6734035645646923</c:v>
                </c:pt>
                <c:pt idx="532">
                  <c:v>-5.7626725117969277</c:v>
                </c:pt>
                <c:pt idx="533">
                  <c:v>-5.8540859134787144</c:v>
                </c:pt>
                <c:pt idx="534">
                  <c:v>-5.9455239213786149</c:v>
                </c:pt>
                <c:pt idx="535">
                  <c:v>-6.0369883961457891</c:v>
                </c:pt>
                <c:pt idx="536">
                  <c:v>-6.1284810733457507</c:v>
                </c:pt>
                <c:pt idx="537">
                  <c:v>-6.2220818336782147</c:v>
                </c:pt>
                <c:pt idx="538">
                  <c:v>-6.3157153720600441</c:v>
                </c:pt>
                <c:pt idx="539">
                  <c:v>-6.4093831530224072</c:v>
                </c:pt>
                <c:pt idx="540">
                  <c:v>-6.5030865137568084</c:v>
                </c:pt>
                <c:pt idx="541">
                  <c:v>-6.5990500219758097</c:v>
                </c:pt>
                <c:pt idx="542">
                  <c:v>-6.6950532550282897</c:v>
                </c:pt>
                <c:pt idx="543">
                  <c:v>-6.7910972488416368</c:v>
                </c:pt>
                <c:pt idx="544">
                  <c:v>-6.887182910368673</c:v>
                </c:pt>
                <c:pt idx="545">
                  <c:v>-6.9855382519890563</c:v>
                </c:pt>
                <c:pt idx="546">
                  <c:v>-7.0839387335271962</c:v>
                </c:pt>
                <c:pt idx="547">
                  <c:v>-7.1823849254928751</c:v>
                </c:pt>
                <c:pt idx="548">
                  <c:v>-7.2808772694453481</c:v>
                </c:pt>
                <c:pt idx="549">
                  <c:v>-7.3816949865734429</c:v>
                </c:pt>
                <c:pt idx="550">
                  <c:v>-7.4825615499552747</c:v>
                </c:pt>
                <c:pt idx="551">
                  <c:v>-7.5834770341301008</c:v>
                </c:pt>
                <c:pt idx="552">
                  <c:v>-7.6844413863656964</c:v>
                </c:pt>
                <c:pt idx="553">
                  <c:v>-7.7878329111505487</c:v>
                </c:pt>
                <c:pt idx="554">
                  <c:v>-7.8912751269413119</c:v>
                </c:pt>
                <c:pt idx="555">
                  <c:v>-7.9947675862975629</c:v>
                </c:pt>
                <c:pt idx="556">
                  <c:v>-8.0983097178504586</c:v>
                </c:pt>
                <c:pt idx="557">
                  <c:v>-8.3104038451676416</c:v>
                </c:pt>
                <c:pt idx="558">
                  <c:v>-8.5226956490181465</c:v>
                </c:pt>
                <c:pt idx="559">
                  <c:v>-8.7400482717735741</c:v>
                </c:pt>
                <c:pt idx="560">
                  <c:v>-8.9575861162295034</c:v>
                </c:pt>
                <c:pt idx="561">
                  <c:v>-9.1804628450897443</c:v>
                </c:pt>
                <c:pt idx="562">
                  <c:v>-9.4035030050183455</c:v>
                </c:pt>
                <c:pt idx="563">
                  <c:v>-9.6314794433268105</c:v>
                </c:pt>
                <c:pt idx="564">
                  <c:v>-9.859586881925086</c:v>
                </c:pt>
                <c:pt idx="565">
                  <c:v>-10.093557737605732</c:v>
                </c:pt>
                <c:pt idx="566">
                  <c:v>-10.327617804267941</c:v>
                </c:pt>
                <c:pt idx="567">
                  <c:v>-10.567498383252662</c:v>
                </c:pt>
                <c:pt idx="568">
                  <c:v>-10.807415454328474</c:v>
                </c:pt>
                <c:pt idx="569">
                  <c:v>-11.052136953365629</c:v>
                </c:pt>
                <c:pt idx="570">
                  <c:v>-11.296831788870481</c:v>
                </c:pt>
                <c:pt idx="571">
                  <c:v>-11.54818061459838</c:v>
                </c:pt>
                <c:pt idx="572">
                  <c:v>-11.799428840597885</c:v>
                </c:pt>
                <c:pt idx="573">
                  <c:v>-12.055329823896862</c:v>
                </c:pt>
                <c:pt idx="574">
                  <c:v>-12.311048116003573</c:v>
                </c:pt>
                <c:pt idx="575">
                  <c:v>-12.573239281019298</c:v>
                </c:pt>
                <c:pt idx="576">
                  <c:v>-12.835154019592929</c:v>
                </c:pt>
                <c:pt idx="577">
                  <c:v>-13.939971355864735</c:v>
                </c:pt>
                <c:pt idx="578">
                  <c:v>-15.036052829742356</c:v>
                </c:pt>
                <c:pt idx="579">
                  <c:v>-17.394698517303691</c:v>
                </c:pt>
                <c:pt idx="580">
                  <c:v>-19.895068831731223</c:v>
                </c:pt>
                <c:pt idx="581">
                  <c:v>-22.510945470334512</c:v>
                </c:pt>
                <c:pt idx="582">
                  <c:v>-25.221343589408988</c:v>
                </c:pt>
                <c:pt idx="583">
                  <c:v>-28.003517029619843</c:v>
                </c:pt>
                <c:pt idx="584">
                  <c:v>-30.84150389543273</c:v>
                </c:pt>
                <c:pt idx="585">
                  <c:v>-33.718392502600949</c:v>
                </c:pt>
                <c:pt idx="586">
                  <c:v>-36.621751687558316</c:v>
                </c:pt>
                <c:pt idx="587">
                  <c:v>-39.542342464989467</c:v>
                </c:pt>
                <c:pt idx="588">
                  <c:v>-42.468205664145174</c:v>
                </c:pt>
                <c:pt idx="589">
                  <c:v>-45.393819360137456</c:v>
                </c:pt>
                <c:pt idx="590">
                  <c:v>-48.31126223073894</c:v>
                </c:pt>
                <c:pt idx="591">
                  <c:v>-51.214880913818931</c:v>
                </c:pt>
                <c:pt idx="592">
                  <c:v>-54.099203067621545</c:v>
                </c:pt>
                <c:pt idx="593">
                  <c:v>-56.96080094427748</c:v>
                </c:pt>
                <c:pt idx="594">
                  <c:v>-59.795443164971608</c:v>
                </c:pt>
                <c:pt idx="595">
                  <c:v>-62.601055444717495</c:v>
                </c:pt>
                <c:pt idx="596">
                  <c:v>-65.375258927844953</c:v>
                </c:pt>
                <c:pt idx="597">
                  <c:v>-68.117662144350916</c:v>
                </c:pt>
                <c:pt idx="598">
                  <c:v>-70.827388784367699</c:v>
                </c:pt>
                <c:pt idx="599">
                  <c:v>-73.505644371494782</c:v>
                </c:pt>
                <c:pt idx="600">
                  <c:v>-76.153140211808193</c:v>
                </c:pt>
              </c:numCache>
            </c:numRef>
          </c:yVal>
          <c:smooth val="0"/>
          <c:extLst>
            <c:ext xmlns:c16="http://schemas.microsoft.com/office/drawing/2014/chart" uri="{C3380CC4-5D6E-409C-BE32-E72D297353CC}">
              <c16:uniqueId val="{00000000-5314-496C-84FB-BC9D9C42BA7D}"/>
            </c:ext>
          </c:extLst>
        </c:ser>
        <c:dLbls>
          <c:showLegendKey val="0"/>
          <c:showVal val="0"/>
          <c:showCatName val="0"/>
          <c:showSerName val="0"/>
          <c:showPercent val="0"/>
          <c:showBubbleSize val="0"/>
        </c:dLbls>
        <c:axId val="184325248"/>
        <c:axId val="184327168"/>
      </c:scatterChart>
      <c:scatterChart>
        <c:scatterStyle val="lineMarker"/>
        <c:varyColors val="0"/>
        <c:ser>
          <c:idx val="1"/>
          <c:order val="1"/>
          <c:tx>
            <c:strRef>
              <c:f>'Ch2 Stability Calculations'!$S$12</c:f>
              <c:strCache>
                <c:ptCount val="1"/>
                <c:pt idx="0">
                  <c:v>Phase Margin (°)</c:v>
                </c:pt>
              </c:strCache>
            </c:strRef>
          </c:tx>
          <c:spPr>
            <a:ln w="25400">
              <a:solidFill>
                <a:srgbClr val="0000FF"/>
              </a:solidFill>
              <a:prstDash val="solid"/>
            </a:ln>
          </c:spPr>
          <c:marker>
            <c:symbol val="none"/>
          </c:marker>
          <c:xVal>
            <c:numRef>
              <c:f>'Ch2 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'Ch2 Stability Calculations'!$R$13:$R$613</c:f>
              <c:numCache>
                <c:formatCode>0.00</c:formatCode>
                <c:ptCount val="601"/>
                <c:pt idx="0">
                  <c:v>-35.908630646594688</c:v>
                </c:pt>
                <c:pt idx="1">
                  <c:v>-38.449372918048745</c:v>
                </c:pt>
                <c:pt idx="2">
                  <c:v>-41.043401142602363</c:v>
                </c:pt>
                <c:pt idx="3">
                  <c:v>-43.670363424530372</c:v>
                </c:pt>
                <c:pt idx="4">
                  <c:v>-46.306827926370779</c:v>
                </c:pt>
                <c:pt idx="5">
                  <c:v>-48.934997448139512</c:v>
                </c:pt>
                <c:pt idx="6">
                  <c:v>-51.52938943411484</c:v>
                </c:pt>
                <c:pt idx="7">
                  <c:v>-54.071299733606821</c:v>
                </c:pt>
                <c:pt idx="8">
                  <c:v>-56.540567424987508</c:v>
                </c:pt>
                <c:pt idx="9">
                  <c:v>-58.923394131674875</c:v>
                </c:pt>
                <c:pt idx="10">
                  <c:v>-61.205708606379552</c:v>
                </c:pt>
                <c:pt idx="11">
                  <c:v>-63.378301104031991</c:v>
                </c:pt>
                <c:pt idx="12">
                  <c:v>-65.435700485664455</c:v>
                </c:pt>
                <c:pt idx="13">
                  <c:v>-67.372182544505577</c:v>
                </c:pt>
                <c:pt idx="14">
                  <c:v>-69.188043973110098</c:v>
                </c:pt>
                <c:pt idx="15">
                  <c:v>-70.883350403439636</c:v>
                </c:pt>
                <c:pt idx="16">
                  <c:v>-72.460749186786899</c:v>
                </c:pt>
                <c:pt idx="17">
                  <c:v>-73.923846637566044</c:v>
                </c:pt>
                <c:pt idx="18">
                  <c:v>-75.277836631550599</c:v>
                </c:pt>
                <c:pt idx="19">
                  <c:v>-76.527782888833272</c:v>
                </c:pt>
                <c:pt idx="20">
                  <c:v>-77.679784211107204</c:v>
                </c:pt>
                <c:pt idx="21">
                  <c:v>-78.739660214288577</c:v>
                </c:pt>
                <c:pt idx="22">
                  <c:v>-79.713735906751097</c:v>
                </c:pt>
                <c:pt idx="23">
                  <c:v>-80.607794497970374</c:v>
                </c:pt>
                <c:pt idx="24">
                  <c:v>-81.427920376905334</c:v>
                </c:pt>
                <c:pt idx="25">
                  <c:v>-82.17960223740036</c:v>
                </c:pt>
                <c:pt idx="26">
                  <c:v>-82.868354211172814</c:v>
                </c:pt>
                <c:pt idx="27">
                  <c:v>-83.499008973471632</c:v>
                </c:pt>
                <c:pt idx="28">
                  <c:v>-84.07635907034151</c:v>
                </c:pt>
                <c:pt idx="29">
                  <c:v>-84.604542581916448</c:v>
                </c:pt>
                <c:pt idx="30">
                  <c:v>-85.088565777443662</c:v>
                </c:pt>
                <c:pt idx="31">
                  <c:v>-85.531551202733255</c:v>
                </c:pt>
                <c:pt idx="32">
                  <c:v>-85.937364573541728</c:v>
                </c:pt>
                <c:pt idx="33">
                  <c:v>-86.309012923363341</c:v>
                </c:pt>
                <c:pt idx="34">
                  <c:v>-86.649824971373917</c:v>
                </c:pt>
                <c:pt idx="35">
                  <c:v>-86.962405628200244</c:v>
                </c:pt>
                <c:pt idx="36">
                  <c:v>-87.24939935476975</c:v>
                </c:pt>
                <c:pt idx="37">
                  <c:v>-87.513330818859217</c:v>
                </c:pt>
                <c:pt idx="38">
                  <c:v>-87.756149129270128</c:v>
                </c:pt>
                <c:pt idx="39">
                  <c:v>-87.980087067410253</c:v>
                </c:pt>
                <c:pt idx="40">
                  <c:v>-88.186930797723733</c:v>
                </c:pt>
                <c:pt idx="41">
                  <c:v>-88.37843796075272</c:v>
                </c:pt>
                <c:pt idx="42">
                  <c:v>-88.55619677585112</c:v>
                </c:pt>
                <c:pt idx="43">
                  <c:v>-88.721757694576908</c:v>
                </c:pt>
                <c:pt idx="44">
                  <c:v>-88.87647301425767</c:v>
                </c:pt>
                <c:pt idx="45">
                  <c:v>-89.021681524251292</c:v>
                </c:pt>
                <c:pt idx="46">
                  <c:v>-89.1585817617148</c:v>
                </c:pt>
                <c:pt idx="47">
                  <c:v>-89.288361562692856</c:v>
                </c:pt>
                <c:pt idx="48">
                  <c:v>-89.412087490762701</c:v>
                </c:pt>
                <c:pt idx="49">
                  <c:v>-89.530838757991802</c:v>
                </c:pt>
                <c:pt idx="50">
                  <c:v>-89.645601590491694</c:v>
                </c:pt>
                <c:pt idx="51">
                  <c:v>-89.757373339321077</c:v>
                </c:pt>
                <c:pt idx="52">
                  <c:v>-89.867063582906681</c:v>
                </c:pt>
                <c:pt idx="53">
                  <c:v>-89.975604310863773</c:v>
                </c:pt>
                <c:pt idx="54">
                  <c:v>-90.083844570898265</c:v>
                </c:pt>
                <c:pt idx="55">
                  <c:v>-90.192880208916208</c:v>
                </c:pt>
                <c:pt idx="56">
                  <c:v>-90.303476144130386</c:v>
                </c:pt>
                <c:pt idx="57">
                  <c:v>-90.416635228859207</c:v>
                </c:pt>
                <c:pt idx="58">
                  <c:v>-90.533221712140119</c:v>
                </c:pt>
                <c:pt idx="59">
                  <c:v>-90.654295699482745</c:v>
                </c:pt>
                <c:pt idx="60">
                  <c:v>-90.780791883734082</c:v>
                </c:pt>
                <c:pt idx="61">
                  <c:v>-90.91376730198202</c:v>
                </c:pt>
                <c:pt idx="62">
                  <c:v>-91.054382830771573</c:v>
                </c:pt>
                <c:pt idx="63">
                  <c:v>-91.203639673584021</c:v>
                </c:pt>
                <c:pt idx="64">
                  <c:v>-91.362847484246927</c:v>
                </c:pt>
                <c:pt idx="65">
                  <c:v>-91.533201930601479</c:v>
                </c:pt>
                <c:pt idx="66">
                  <c:v>-91.716033132232596</c:v>
                </c:pt>
                <c:pt idx="67">
                  <c:v>-91.912695708695225</c:v>
                </c:pt>
                <c:pt idx="68">
                  <c:v>-92.124695937832087</c:v>
                </c:pt>
                <c:pt idx="69">
                  <c:v>-92.353488510743148</c:v>
                </c:pt>
                <c:pt idx="70">
                  <c:v>-92.600684034624933</c:v>
                </c:pt>
                <c:pt idx="71">
                  <c:v>-92.86783889459096</c:v>
                </c:pt>
                <c:pt idx="72">
                  <c:v>-93.156640463269397</c:v>
                </c:pt>
                <c:pt idx="73">
                  <c:v>-93.468641599005451</c:v>
                </c:pt>
                <c:pt idx="74">
                  <c:v>-93.805503912379891</c:v>
                </c:pt>
                <c:pt idx="75">
                  <c:v>-94.168668186732233</c:v>
                </c:pt>
                <c:pt idx="76">
                  <c:v>-94.559557782799473</c:v>
                </c:pt>
                <c:pt idx="77">
                  <c:v>-94.979144258249136</c:v>
                </c:pt>
                <c:pt idx="78">
                  <c:v>-95.428189566433957</c:v>
                </c:pt>
                <c:pt idx="79">
                  <c:v>-95.906680059679928</c:v>
                </c:pt>
                <c:pt idx="80">
                  <c:v>-96.415154177042552</c:v>
                </c:pt>
                <c:pt idx="81">
                  <c:v>-96.951922574471368</c:v>
                </c:pt>
                <c:pt idx="82">
                  <c:v>-97.515483132541632</c:v>
                </c:pt>
                <c:pt idx="83">
                  <c:v>-98.10260036962184</c:v>
                </c:pt>
                <c:pt idx="84">
                  <c:v>-98.709857092941675</c:v>
                </c:pt>
                <c:pt idx="85">
                  <c:v>-99.332014403585063</c:v>
                </c:pt>
                <c:pt idx="86">
                  <c:v>-99.963331734126243</c:v>
                </c:pt>
                <c:pt idx="87">
                  <c:v>-100.59762614469088</c:v>
                </c:pt>
                <c:pt idx="88">
                  <c:v>-101.22745606111788</c:v>
                </c:pt>
                <c:pt idx="89">
                  <c:v>-101.84670403943484</c:v>
                </c:pt>
                <c:pt idx="90">
                  <c:v>-102.44936105332211</c:v>
                </c:pt>
                <c:pt idx="91">
                  <c:v>-103.03126151578618</c:v>
                </c:pt>
                <c:pt idx="92">
                  <c:v>-103.59033426864163</c:v>
                </c:pt>
                <c:pt idx="93">
                  <c:v>-104.12752320512286</c:v>
                </c:pt>
                <c:pt idx="94">
                  <c:v>-104.25871985909863</c:v>
                </c:pt>
                <c:pt idx="95">
                  <c:v>-104.32432038649313</c:v>
                </c:pt>
                <c:pt idx="96">
                  <c:v>-104.38892085440577</c:v>
                </c:pt>
                <c:pt idx="97">
                  <c:v>-104.4540239558395</c:v>
                </c:pt>
                <c:pt idx="98">
                  <c:v>-104.51816058352536</c:v>
                </c:pt>
                <c:pt idx="99">
                  <c:v>-104.58284036391836</c:v>
                </c:pt>
                <c:pt idx="100">
                  <c:v>-104.64658920559511</c:v>
                </c:pt>
                <c:pt idx="101">
                  <c:v>-104.71087576494806</c:v>
                </c:pt>
                <c:pt idx="102">
                  <c:v>-104.77427016739894</c:v>
                </c:pt>
                <c:pt idx="103">
                  <c:v>-104.8382953162189</c:v>
                </c:pt>
                <c:pt idx="104">
                  <c:v>-104.90146755964793</c:v>
                </c:pt>
                <c:pt idx="105">
                  <c:v>-104.96527156374033</c:v>
                </c:pt>
                <c:pt idx="106">
                  <c:v>-105.02826491494621</c:v>
                </c:pt>
                <c:pt idx="107">
                  <c:v>-105.09189668271594</c:v>
                </c:pt>
                <c:pt idx="108">
                  <c:v>-105.15476266684215</c:v>
                </c:pt>
                <c:pt idx="109">
                  <c:v>-105.21832198427053</c:v>
                </c:pt>
                <c:pt idx="110">
                  <c:v>-105.28116165918978</c:v>
                </c:pt>
                <c:pt idx="111">
                  <c:v>-105.34479371097815</c:v>
                </c:pt>
                <c:pt idx="112">
                  <c:v>-105.40775257630473</c:v>
                </c:pt>
                <c:pt idx="113">
                  <c:v>-105.47152003303508</c:v>
                </c:pt>
                <c:pt idx="114">
                  <c:v>-105.53466284125605</c:v>
                </c:pt>
                <c:pt idx="115">
                  <c:v>-105.59867570231661</c:v>
                </c:pt>
                <c:pt idx="116">
                  <c:v>-105.66211340864037</c:v>
                </c:pt>
                <c:pt idx="117">
                  <c:v>-105.7264849080446</c:v>
                </c:pt>
                <c:pt idx="118">
                  <c:v>-105.79033157055841</c:v>
                </c:pt>
                <c:pt idx="119">
                  <c:v>-105.85513891395779</c:v>
                </c:pt>
                <c:pt idx="120">
                  <c:v>-105.91947297126777</c:v>
                </c:pt>
                <c:pt idx="121">
                  <c:v>-105.98483709088524</c:v>
                </c:pt>
                <c:pt idx="122">
                  <c:v>-106.04977981415828</c:v>
                </c:pt>
                <c:pt idx="123">
                  <c:v>-106.11586215604132</c:v>
                </c:pt>
                <c:pt idx="124">
                  <c:v>-106.18157477598994</c:v>
                </c:pt>
                <c:pt idx="125">
                  <c:v>-106.24846188258292</c:v>
                </c:pt>
                <c:pt idx="126">
                  <c:v>-106.31503149665028</c:v>
                </c:pt>
                <c:pt idx="127">
                  <c:v>-106.38285100320275</c:v>
                </c:pt>
                <c:pt idx="128">
                  <c:v>-106.45040512532465</c:v>
                </c:pt>
                <c:pt idx="129">
                  <c:v>-106.51928638944689</c:v>
                </c:pt>
                <c:pt idx="130">
                  <c:v>-106.58795409886527</c:v>
                </c:pt>
                <c:pt idx="131">
                  <c:v>-106.65802795055967</c:v>
                </c:pt>
                <c:pt idx="132">
                  <c:v>-106.69300224933345</c:v>
                </c:pt>
                <c:pt idx="133">
                  <c:v>-106.72793964184976</c:v>
                </c:pt>
                <c:pt idx="134">
                  <c:v>-106.76367298026028</c:v>
                </c:pt>
                <c:pt idx="135">
                  <c:v>-106.79937494861767</c:v>
                </c:pt>
                <c:pt idx="136">
                  <c:v>-106.8350490795457</c:v>
                </c:pt>
                <c:pt idx="137">
                  <c:v>-106.87069879772731</c:v>
                </c:pt>
                <c:pt idx="138">
                  <c:v>-106.90713610905605</c:v>
                </c:pt>
                <c:pt idx="139">
                  <c:v>-106.94355479829036</c:v>
                </c:pt>
                <c:pt idx="140">
                  <c:v>-106.97995819663691</c:v>
                </c:pt>
                <c:pt idx="141">
                  <c:v>-107.01634952929999</c:v>
                </c:pt>
                <c:pt idx="142">
                  <c:v>-107.05359458563885</c:v>
                </c:pt>
                <c:pt idx="143">
                  <c:v>-107.09083350937038</c:v>
                </c:pt>
                <c:pt idx="144">
                  <c:v>-107.12806943400153</c:v>
                </c:pt>
                <c:pt idx="145">
                  <c:v>-107.16530538892604</c:v>
                </c:pt>
                <c:pt idx="146">
                  <c:v>-107.20340696687757</c:v>
                </c:pt>
                <c:pt idx="147">
                  <c:v>-107.24151467148636</c:v>
                </c:pt>
                <c:pt idx="148">
                  <c:v>-107.27963142799651</c:v>
                </c:pt>
                <c:pt idx="149">
                  <c:v>-107.31776006000858</c:v>
                </c:pt>
                <c:pt idx="150">
                  <c:v>-107.35678541072321</c:v>
                </c:pt>
                <c:pt idx="151">
                  <c:v>-107.39582885895926</c:v>
                </c:pt>
                <c:pt idx="152">
                  <c:v>-107.43489311738072</c:v>
                </c:pt>
                <c:pt idx="153">
                  <c:v>-107.47398079982126</c:v>
                </c:pt>
                <c:pt idx="154">
                  <c:v>-107.51401551053245</c:v>
                </c:pt>
                <c:pt idx="155">
                  <c:v>-107.55407999773921</c:v>
                </c:pt>
                <c:pt idx="156">
                  <c:v>-107.59417676167016</c:v>
                </c:pt>
                <c:pt idx="157">
                  <c:v>-107.63430820668465</c:v>
                </c:pt>
                <c:pt idx="158">
                  <c:v>-107.67541942033615</c:v>
                </c:pt>
                <c:pt idx="159">
                  <c:v>-107.71657176250211</c:v>
                </c:pt>
                <c:pt idx="160">
                  <c:v>-107.75776751791871</c:v>
                </c:pt>
                <c:pt idx="161">
                  <c:v>-107.79900887873583</c:v>
                </c:pt>
                <c:pt idx="162">
                  <c:v>-107.84124492399697</c:v>
                </c:pt>
                <c:pt idx="163">
                  <c:v>-107.8835330454979</c:v>
                </c:pt>
                <c:pt idx="164">
                  <c:v>-107.9258753079064</c:v>
                </c:pt>
                <c:pt idx="165">
                  <c:v>-107.96827368703525</c:v>
                </c:pt>
                <c:pt idx="166">
                  <c:v>-108.01173810538332</c:v>
                </c:pt>
                <c:pt idx="167">
                  <c:v>-108.05526525260854</c:v>
                </c:pt>
                <c:pt idx="168">
                  <c:v>-108.09885697800058</c:v>
                </c:pt>
                <c:pt idx="169">
                  <c:v>-108.1425150456781</c:v>
                </c:pt>
                <c:pt idx="170">
                  <c:v>-108.18718022314837</c:v>
                </c:pt>
                <c:pt idx="171">
                  <c:v>-108.23191808216265</c:v>
                </c:pt>
                <c:pt idx="172">
                  <c:v>-108.27673024613112</c:v>
                </c:pt>
                <c:pt idx="173">
                  <c:v>-108.32161825790331</c:v>
                </c:pt>
                <c:pt idx="174">
                  <c:v>-108.3677181735947</c:v>
                </c:pt>
                <c:pt idx="175">
                  <c:v>-108.41390084608665</c:v>
                </c:pt>
                <c:pt idx="176">
                  <c:v>-108.46016769247407</c:v>
                </c:pt>
                <c:pt idx="177">
                  <c:v>-108.50652005289476</c:v>
                </c:pt>
                <c:pt idx="178">
                  <c:v>-108.55410224290829</c:v>
                </c:pt>
                <c:pt idx="179">
                  <c:v>-108.6017768168866</c:v>
                </c:pt>
                <c:pt idx="180">
                  <c:v>-108.64954498295219</c:v>
                </c:pt>
                <c:pt idx="181">
                  <c:v>-108.69740787627697</c:v>
                </c:pt>
                <c:pt idx="182">
                  <c:v>-108.746326719584</c:v>
                </c:pt>
                <c:pt idx="183">
                  <c:v>-108.79534628267115</c:v>
                </c:pt>
                <c:pt idx="184">
                  <c:v>-108.84446755302838</c:v>
                </c:pt>
                <c:pt idx="185">
                  <c:v>-108.89369145058002</c:v>
                </c:pt>
                <c:pt idx="186">
                  <c:v>-108.94437438227591</c:v>
                </c:pt>
                <c:pt idx="187">
                  <c:v>-108.99516741397741</c:v>
                </c:pt>
                <c:pt idx="188">
                  <c:v>-109.0460713377161</c:v>
                </c:pt>
                <c:pt idx="189">
                  <c:v>-109.09708688147633</c:v>
                </c:pt>
                <c:pt idx="190">
                  <c:v>-109.14919152969705</c:v>
                </c:pt>
                <c:pt idx="191">
                  <c:v>-109.20141343338521</c:v>
                </c:pt>
                <c:pt idx="192">
                  <c:v>-109.25375317407527</c:v>
                </c:pt>
                <c:pt idx="193">
                  <c:v>-109.30621127491686</c:v>
                </c:pt>
                <c:pt idx="194">
                  <c:v>-109.36016822683894</c:v>
                </c:pt>
                <c:pt idx="195">
                  <c:v>-109.41425076451503</c:v>
                </c:pt>
                <c:pt idx="196">
                  <c:v>-109.4684592774237</c:v>
                </c:pt>
                <c:pt idx="197">
                  <c:v>-109.52279410069384</c:v>
                </c:pt>
                <c:pt idx="198">
                  <c:v>-109.57844952152368</c:v>
                </c:pt>
                <c:pt idx="199">
                  <c:v>-109.63423738925898</c:v>
                </c:pt>
                <c:pt idx="200">
                  <c:v>-109.69015790081639</c:v>
                </c:pt>
                <c:pt idx="201">
                  <c:v>-109.74621120376591</c:v>
                </c:pt>
                <c:pt idx="202">
                  <c:v>-109.80360284332669</c:v>
                </c:pt>
                <c:pt idx="203">
                  <c:v>-109.86113318973275</c:v>
                </c:pt>
                <c:pt idx="204">
                  <c:v>-109.91880225517043</c:v>
                </c:pt>
                <c:pt idx="205">
                  <c:v>-109.97661000749406</c:v>
                </c:pt>
                <c:pt idx="206">
                  <c:v>-110.03597637697057</c:v>
                </c:pt>
                <c:pt idx="207">
                  <c:v>-110.09548810347835</c:v>
                </c:pt>
                <c:pt idx="208">
                  <c:v>-110.15514502140479</c:v>
                </c:pt>
                <c:pt idx="209">
                  <c:v>-110.21494692525248</c:v>
                </c:pt>
                <c:pt idx="210">
                  <c:v>-110.27653236757075</c:v>
                </c:pt>
                <c:pt idx="211">
                  <c:v>-110.33827026096839</c:v>
                </c:pt>
                <c:pt idx="212">
                  <c:v>-110.40016026433788</c:v>
                </c:pt>
                <c:pt idx="213">
                  <c:v>-110.46220200076172</c:v>
                </c:pt>
                <c:pt idx="214">
                  <c:v>-110.52563632349222</c:v>
                </c:pt>
                <c:pt idx="215">
                  <c:v>-110.58922759121336</c:v>
                </c:pt>
                <c:pt idx="216">
                  <c:v>-110.65297530119307</c:v>
                </c:pt>
                <c:pt idx="217">
                  <c:v>-110.7168789199399</c:v>
                </c:pt>
                <c:pt idx="218">
                  <c:v>-110.78240031971623</c:v>
                </c:pt>
                <c:pt idx="219">
                  <c:v>-110.84808359939456</c:v>
                </c:pt>
                <c:pt idx="220">
                  <c:v>-110.91392809973583</c:v>
                </c:pt>
                <c:pt idx="221">
                  <c:v>-110.97993313528201</c:v>
                </c:pt>
                <c:pt idx="222">
                  <c:v>-111.04757482446547</c:v>
                </c:pt>
                <c:pt idx="223">
                  <c:v>-111.11538276082472</c:v>
                </c:pt>
                <c:pt idx="224">
                  <c:v>-111.18335613766313</c:v>
                </c:pt>
                <c:pt idx="225">
                  <c:v>-111.25149412653498</c:v>
                </c:pt>
                <c:pt idx="226">
                  <c:v>-111.32150018722538</c:v>
                </c:pt>
                <c:pt idx="227">
                  <c:v>-111.39167734148342</c:v>
                </c:pt>
                <c:pt idx="228">
                  <c:v>-111.46202463610472</c:v>
                </c:pt>
                <c:pt idx="229">
                  <c:v>-111.53254110028946</c:v>
                </c:pt>
                <c:pt idx="230">
                  <c:v>-111.67752750152161</c:v>
                </c:pt>
                <c:pt idx="231">
                  <c:v>-111.75028268684224</c:v>
                </c:pt>
                <c:pt idx="232">
                  <c:v>-111.82321105960872</c:v>
                </c:pt>
                <c:pt idx="233">
                  <c:v>-111.89804890624877</c:v>
                </c:pt>
                <c:pt idx="234">
                  <c:v>-111.97306587886901</c:v>
                </c:pt>
                <c:pt idx="235">
                  <c:v>-112.04826075620647</c:v>
                </c:pt>
                <c:pt idx="236">
                  <c:v>-112.12363230758793</c:v>
                </c:pt>
                <c:pt idx="237">
                  <c:v>-112.20071393873877</c:v>
                </c:pt>
                <c:pt idx="238">
                  <c:v>-112.27797687288862</c:v>
                </c:pt>
                <c:pt idx="239">
                  <c:v>-112.35541978006378</c:v>
                </c:pt>
                <c:pt idx="240">
                  <c:v>-112.43304132487964</c:v>
                </c:pt>
                <c:pt idx="241">
                  <c:v>-112.51283165520516</c:v>
                </c:pt>
                <c:pt idx="242">
                  <c:v>-112.59280701684628</c:v>
                </c:pt>
                <c:pt idx="243">
                  <c:v>-112.67296595828945</c:v>
                </c:pt>
                <c:pt idx="244">
                  <c:v>-112.75330702633978</c:v>
                </c:pt>
                <c:pt idx="245">
                  <c:v>-112.83561521754153</c:v>
                </c:pt>
                <c:pt idx="246">
                  <c:v>-112.91811062519113</c:v>
                </c:pt>
                <c:pt idx="247">
                  <c:v>-113.00079169776022</c:v>
                </c:pt>
                <c:pt idx="248">
                  <c:v>-113.08365688565905</c:v>
                </c:pt>
                <c:pt idx="249">
                  <c:v>-113.16873246481308</c:v>
                </c:pt>
                <c:pt idx="250">
                  <c:v>-113.25399796788612</c:v>
                </c:pt>
                <c:pt idx="251">
                  <c:v>-113.33945174057317</c:v>
                </c:pt>
                <c:pt idx="252">
                  <c:v>-113.42509213398819</c:v>
                </c:pt>
                <c:pt idx="253">
                  <c:v>-113.51273590228196</c:v>
                </c:pt>
                <c:pt idx="254">
                  <c:v>-113.60057081916746</c:v>
                </c:pt>
                <c:pt idx="255">
                  <c:v>-113.68859515067486</c:v>
                </c:pt>
                <c:pt idx="256">
                  <c:v>-113.77680717149127</c:v>
                </c:pt>
                <c:pt idx="257">
                  <c:v>-113.8674977250661</c:v>
                </c:pt>
                <c:pt idx="258">
                  <c:v>-113.95838217041099</c:v>
                </c:pt>
                <c:pt idx="259">
                  <c:v>-114.04945867666714</c:v>
                </c:pt>
                <c:pt idx="260">
                  <c:v>-114.14072542487612</c:v>
                </c:pt>
                <c:pt idx="261">
                  <c:v>-114.23426131124982</c:v>
                </c:pt>
                <c:pt idx="262">
                  <c:v>-114.32799237690212</c:v>
                </c:pt>
                <c:pt idx="263">
                  <c:v>-114.42191671757149</c:v>
                </c:pt>
                <c:pt idx="264">
                  <c:v>-114.51603244385558</c:v>
                </c:pt>
                <c:pt idx="265">
                  <c:v>-114.61243549174169</c:v>
                </c:pt>
                <c:pt idx="266">
                  <c:v>-114.70903458232198</c:v>
                </c:pt>
                <c:pt idx="267">
                  <c:v>-114.80582774778784</c:v>
                </c:pt>
                <c:pt idx="268">
                  <c:v>-114.90281303793475</c:v>
                </c:pt>
                <c:pt idx="269">
                  <c:v>-115.00233809077716</c:v>
                </c:pt>
                <c:pt idx="270">
                  <c:v>-115.10206057893367</c:v>
                </c:pt>
                <c:pt idx="271">
                  <c:v>-115.2019784664238</c:v>
                </c:pt>
                <c:pt idx="272">
                  <c:v>-115.3020897375818</c:v>
                </c:pt>
                <c:pt idx="273">
                  <c:v>-115.40476032003279</c:v>
                </c:pt>
                <c:pt idx="274">
                  <c:v>-115.50762930790967</c:v>
                </c:pt>
                <c:pt idx="275">
                  <c:v>-115.61069460659604</c:v>
                </c:pt>
                <c:pt idx="276">
                  <c:v>-115.71395414430405</c:v>
                </c:pt>
                <c:pt idx="277">
                  <c:v>-115.81955320406261</c:v>
                </c:pt>
                <c:pt idx="278">
                  <c:v>-115.92535035331629</c:v>
                </c:pt>
                <c:pt idx="279">
                  <c:v>-116.03134346259465</c:v>
                </c:pt>
                <c:pt idx="280">
                  <c:v>-116.13753042733265</c:v>
                </c:pt>
                <c:pt idx="281">
                  <c:v>-116.24679340740991</c:v>
                </c:pt>
                <c:pt idx="282">
                  <c:v>-116.35625646770977</c:v>
                </c:pt>
                <c:pt idx="283">
                  <c:v>-116.46591740973955</c:v>
                </c:pt>
                <c:pt idx="284">
                  <c:v>-116.57577406246132</c:v>
                </c:pt>
                <c:pt idx="285">
                  <c:v>-116.6880030375566</c:v>
                </c:pt>
                <c:pt idx="286">
                  <c:v>-116.80043106875824</c:v>
                </c:pt>
                <c:pt idx="287">
                  <c:v>-116.91305594101068</c:v>
                </c:pt>
                <c:pt idx="288">
                  <c:v>-117.02587546832868</c:v>
                </c:pt>
                <c:pt idx="289">
                  <c:v>-117.14181275283549</c:v>
                </c:pt>
                <c:pt idx="290">
                  <c:v>-117.25795032346771</c:v>
                </c:pt>
                <c:pt idx="291">
                  <c:v>-117.37428591421151</c:v>
                </c:pt>
                <c:pt idx="292">
                  <c:v>-117.49081729027228</c:v>
                </c:pt>
                <c:pt idx="293">
                  <c:v>-117.61024194434947</c:v>
                </c:pt>
                <c:pt idx="294">
                  <c:v>-117.72986690343137</c:v>
                </c:pt>
                <c:pt idx="295">
                  <c:v>-117.84968987375863</c:v>
                </c:pt>
                <c:pt idx="296">
                  <c:v>-117.96970859446917</c:v>
                </c:pt>
                <c:pt idx="297">
                  <c:v>-118.09263832128073</c:v>
                </c:pt>
                <c:pt idx="298">
                  <c:v>-118.21576806332949</c:v>
                </c:pt>
                <c:pt idx="299">
                  <c:v>-118.339095507433</c:v>
                </c:pt>
                <c:pt idx="300">
                  <c:v>-118.46261837476365</c:v>
                </c:pt>
                <c:pt idx="301">
                  <c:v>-118.58906926789724</c:v>
                </c:pt>
                <c:pt idx="302">
                  <c:v>-118.71571960691861</c:v>
                </c:pt>
                <c:pt idx="303">
                  <c:v>-118.84256706709957</c:v>
                </c:pt>
                <c:pt idx="304">
                  <c:v>-118.96960935930352</c:v>
                </c:pt>
                <c:pt idx="305">
                  <c:v>-119.1000963454358</c:v>
                </c:pt>
                <c:pt idx="306">
                  <c:v>-119.2307834789389</c:v>
                </c:pt>
                <c:pt idx="307">
                  <c:v>-119.3616684041576</c:v>
                </c:pt>
                <c:pt idx="308">
                  <c:v>-119.49274880260971</c:v>
                </c:pt>
                <c:pt idx="309">
                  <c:v>-119.62679075622519</c:v>
                </c:pt>
                <c:pt idx="310">
                  <c:v>-119.76103173889845</c:v>
                </c:pt>
                <c:pt idx="311">
                  <c:v>-119.89546939881571</c:v>
                </c:pt>
                <c:pt idx="312">
                  <c:v>-120.03010142213394</c:v>
                </c:pt>
                <c:pt idx="313">
                  <c:v>-120.16821630600737</c:v>
                </c:pt>
                <c:pt idx="314">
                  <c:v>-120.30653035416029</c:v>
                </c:pt>
                <c:pt idx="315">
                  <c:v>-120.44504119922898</c:v>
                </c:pt>
                <c:pt idx="316">
                  <c:v>-120.58374651297551</c:v>
                </c:pt>
                <c:pt idx="317">
                  <c:v>-120.72595341250442</c:v>
                </c:pt>
                <c:pt idx="318">
                  <c:v>-120.8683593351906</c:v>
                </c:pt>
                <c:pt idx="319">
                  <c:v>-121.01096190560588</c:v>
                </c:pt>
                <c:pt idx="320">
                  <c:v>-121.15375878838805</c:v>
                </c:pt>
                <c:pt idx="321">
                  <c:v>-121.30007527724052</c:v>
                </c:pt>
                <c:pt idx="322">
                  <c:v>-121.4465903993548</c:v>
                </c:pt>
                <c:pt idx="323">
                  <c:v>-121.59330177821073</c:v>
                </c:pt>
                <c:pt idx="324">
                  <c:v>-121.74020707808108</c:v>
                </c:pt>
                <c:pt idx="325">
                  <c:v>-121.89064932449581</c:v>
                </c:pt>
                <c:pt idx="326">
                  <c:v>-122.04128959227049</c:v>
                </c:pt>
                <c:pt idx="327">
                  <c:v>-122.19212551020352</c:v>
                </c:pt>
                <c:pt idx="328">
                  <c:v>-122.34315474840395</c:v>
                </c:pt>
                <c:pt idx="329">
                  <c:v>-122.49799628596226</c:v>
                </c:pt>
                <c:pt idx="330">
                  <c:v>-122.65303569273996</c:v>
                </c:pt>
                <c:pt idx="331">
                  <c:v>-122.80827059691042</c:v>
                </c:pt>
                <c:pt idx="332">
                  <c:v>-122.96369866854783</c:v>
                </c:pt>
                <c:pt idx="333">
                  <c:v>-123.12269709103631</c:v>
                </c:pt>
                <c:pt idx="334">
                  <c:v>-123.28189236957688</c:v>
                </c:pt>
                <c:pt idx="335">
                  <c:v>-123.44128214926231</c:v>
                </c:pt>
                <c:pt idx="336">
                  <c:v>-123.60086411719381</c:v>
                </c:pt>
                <c:pt idx="337">
                  <c:v>-123.76455434462169</c:v>
                </c:pt>
                <c:pt idx="338">
                  <c:v>-123.92844151329273</c:v>
                </c:pt>
                <c:pt idx="339">
                  <c:v>-124.0925232674811</c:v>
                </c:pt>
                <c:pt idx="340">
                  <c:v>-124.25679729392192</c:v>
                </c:pt>
                <c:pt idx="341">
                  <c:v>-124.42519817557998</c:v>
                </c:pt>
                <c:pt idx="342">
                  <c:v>-124.59379586305332</c:v>
                </c:pt>
                <c:pt idx="343">
                  <c:v>-124.76258800545341</c:v>
                </c:pt>
                <c:pt idx="344">
                  <c:v>-124.93157229459122</c:v>
                </c:pt>
                <c:pt idx="345">
                  <c:v>-125.10443771907413</c:v>
                </c:pt>
                <c:pt idx="346">
                  <c:v>-125.27749902171588</c:v>
                </c:pt>
                <c:pt idx="347">
                  <c:v>-125.45075387201537</c:v>
                </c:pt>
                <c:pt idx="348">
                  <c:v>-125.62419998194333</c:v>
                </c:pt>
                <c:pt idx="349">
                  <c:v>-125.80207245054642</c:v>
                </c:pt>
                <c:pt idx="350">
                  <c:v>-125.98014089415504</c:v>
                </c:pt>
                <c:pt idx="351">
                  <c:v>-126.15840298550299</c:v>
                </c:pt>
                <c:pt idx="352">
                  <c:v>-126.3368564398841</c:v>
                </c:pt>
                <c:pt idx="353">
                  <c:v>-126.51975469561265</c:v>
                </c:pt>
                <c:pt idx="354">
                  <c:v>-126.70284882112936</c:v>
                </c:pt>
                <c:pt idx="355">
                  <c:v>-126.88613649674251</c:v>
                </c:pt>
                <c:pt idx="356">
                  <c:v>-127.06961544519314</c:v>
                </c:pt>
                <c:pt idx="357">
                  <c:v>-127.25728990893661</c:v>
                </c:pt>
                <c:pt idx="358">
                  <c:v>-127.44515940079867</c:v>
                </c:pt>
                <c:pt idx="359">
                  <c:v>-127.63322162194802</c:v>
                </c:pt>
                <c:pt idx="360">
                  <c:v>-127.8214743154133</c:v>
                </c:pt>
                <c:pt idx="361">
                  <c:v>-128.01447447154627</c:v>
                </c:pt>
                <c:pt idx="362">
                  <c:v>-128.20766976134388</c:v>
                </c:pt>
                <c:pt idx="363">
                  <c:v>-128.40105788986409</c:v>
                </c:pt>
                <c:pt idx="364">
                  <c:v>-128.59463660372523</c:v>
                </c:pt>
                <c:pt idx="365">
                  <c:v>-128.79271174811296</c:v>
                </c:pt>
                <c:pt idx="366">
                  <c:v>-128.9909814091059</c:v>
                </c:pt>
                <c:pt idx="367">
                  <c:v>-129.18944330750557</c:v>
                </c:pt>
                <c:pt idx="368">
                  <c:v>-129.38809520493669</c:v>
                </c:pt>
                <c:pt idx="369">
                  <c:v>-129.59180016445484</c:v>
                </c:pt>
                <c:pt idx="370">
                  <c:v>-129.79569990091613</c:v>
                </c:pt>
                <c:pt idx="371">
                  <c:v>-129.99979213393198</c:v>
                </c:pt>
                <c:pt idx="372">
                  <c:v>-130.20407462342985</c:v>
                </c:pt>
                <c:pt idx="373">
                  <c:v>-130.41315739806231</c:v>
                </c:pt>
                <c:pt idx="374">
                  <c:v>-130.62243449213884</c:v>
                </c:pt>
                <c:pt idx="375">
                  <c:v>-130.83190363429222</c:v>
                </c:pt>
                <c:pt idx="376">
                  <c:v>-131.04156259253111</c:v>
                </c:pt>
                <c:pt idx="377">
                  <c:v>-131.2565828399776</c:v>
                </c:pt>
                <c:pt idx="378">
                  <c:v>-131.47179775168934</c:v>
                </c:pt>
                <c:pt idx="379">
                  <c:v>-131.68720504797864</c:v>
                </c:pt>
                <c:pt idx="380">
                  <c:v>-131.9028024877762</c:v>
                </c:pt>
                <c:pt idx="381">
                  <c:v>-132.12323339988862</c:v>
                </c:pt>
                <c:pt idx="382">
                  <c:v>-132.34385811790108</c:v>
                </c:pt>
                <c:pt idx="383">
                  <c:v>-132.5646743704859</c:v>
                </c:pt>
                <c:pt idx="384">
                  <c:v>-132.78567992356378</c:v>
                </c:pt>
                <c:pt idx="385">
                  <c:v>-133.01235678671333</c:v>
                </c:pt>
                <c:pt idx="386">
                  <c:v>-133.23922781409877</c:v>
                </c:pt>
                <c:pt idx="387">
                  <c:v>-133.46629071576709</c:v>
                </c:pt>
                <c:pt idx="388">
                  <c:v>-133.69354323796867</c:v>
                </c:pt>
                <c:pt idx="389">
                  <c:v>-133.9262106896993</c:v>
                </c:pt>
                <c:pt idx="390">
                  <c:v>-134.15907191484015</c:v>
                </c:pt>
                <c:pt idx="391">
                  <c:v>-134.39212461087249</c:v>
                </c:pt>
                <c:pt idx="392">
                  <c:v>-134.62536651000809</c:v>
                </c:pt>
                <c:pt idx="393">
                  <c:v>-134.86403999991717</c:v>
                </c:pt>
                <c:pt idx="394">
                  <c:v>-135.10290659816133</c:v>
                </c:pt>
                <c:pt idx="395">
                  <c:v>-135.34196398584899</c:v>
                </c:pt>
                <c:pt idx="396">
                  <c:v>-135.58120987711033</c:v>
                </c:pt>
                <c:pt idx="397">
                  <c:v>-135.82645711835653</c:v>
                </c:pt>
                <c:pt idx="398">
                  <c:v>-136.07189737360326</c:v>
                </c:pt>
                <c:pt idx="399">
                  <c:v>-136.31752828662323</c:v>
                </c:pt>
                <c:pt idx="400">
                  <c:v>-136.56334753254797</c:v>
                </c:pt>
                <c:pt idx="401">
                  <c:v>-136.81490811284303</c:v>
                </c:pt>
                <c:pt idx="402">
                  <c:v>-137.06666080304367</c:v>
                </c:pt>
                <c:pt idx="403">
                  <c:v>-137.31860321140721</c:v>
                </c:pt>
                <c:pt idx="404">
                  <c:v>-137.57073297547342</c:v>
                </c:pt>
                <c:pt idx="405">
                  <c:v>-137.82889829232224</c:v>
                </c:pt>
                <c:pt idx="406">
                  <c:v>-138.08725483589541</c:v>
                </c:pt>
                <c:pt idx="407">
                  <c:v>-138.34580016319714</c:v>
                </c:pt>
                <c:pt idx="408">
                  <c:v>-138.60453185829917</c:v>
                </c:pt>
                <c:pt idx="409">
                  <c:v>-138.86959445518332</c:v>
                </c:pt>
                <c:pt idx="410">
                  <c:v>-139.13484732858967</c:v>
                </c:pt>
                <c:pt idx="411">
                  <c:v>-139.40028796696805</c:v>
                </c:pt>
                <c:pt idx="412">
                  <c:v>-139.66591388344227</c:v>
                </c:pt>
                <c:pt idx="413">
                  <c:v>-139.93788682020073</c:v>
                </c:pt>
                <c:pt idx="414">
                  <c:v>-140.21004853158615</c:v>
                </c:pt>
                <c:pt idx="415">
                  <c:v>-140.48239642625737</c:v>
                </c:pt>
                <c:pt idx="416">
                  <c:v>-140.75492793484673</c:v>
                </c:pt>
                <c:pt idx="417">
                  <c:v>-141.03410240439382</c:v>
                </c:pt>
                <c:pt idx="418">
                  <c:v>-141.31346390597031</c:v>
                </c:pt>
                <c:pt idx="419">
                  <c:v>-141.59300974711999</c:v>
                </c:pt>
                <c:pt idx="420">
                  <c:v>-141.8727372544331</c:v>
                </c:pt>
                <c:pt idx="421">
                  <c:v>-142.15884089112654</c:v>
                </c:pt>
                <c:pt idx="422">
                  <c:v>-142.44512873237645</c:v>
                </c:pt>
                <c:pt idx="423">
                  <c:v>-142.73159797732492</c:v>
                </c:pt>
                <c:pt idx="424">
                  <c:v>-143.01824584084571</c:v>
                </c:pt>
                <c:pt idx="425">
                  <c:v>-143.31212941566017</c:v>
                </c:pt>
                <c:pt idx="426">
                  <c:v>-143.60619463331872</c:v>
                </c:pt>
                <c:pt idx="427">
                  <c:v>-143.90043854170446</c:v>
                </c:pt>
                <c:pt idx="428">
                  <c:v>-144.19485820096861</c:v>
                </c:pt>
                <c:pt idx="429">
                  <c:v>-144.49624445472068</c:v>
                </c:pt>
                <c:pt idx="430">
                  <c:v>-144.79780846591476</c:v>
                </c:pt>
                <c:pt idx="431">
                  <c:v>-145.09954711886024</c:v>
                </c:pt>
                <c:pt idx="432">
                  <c:v>-145.40145730626818</c:v>
                </c:pt>
                <c:pt idx="433">
                  <c:v>-145.71034525021196</c:v>
                </c:pt>
                <c:pt idx="434">
                  <c:v>-146.01940599767693</c:v>
                </c:pt>
                <c:pt idx="435">
                  <c:v>-146.32863624622925</c:v>
                </c:pt>
                <c:pt idx="436">
                  <c:v>-146.63803269764949</c:v>
                </c:pt>
                <c:pt idx="437">
                  <c:v>-146.95498478599899</c:v>
                </c:pt>
                <c:pt idx="438">
                  <c:v>-147.272104119029</c:v>
                </c:pt>
                <c:pt idx="439">
                  <c:v>-147.58938716287301</c:v>
                </c:pt>
                <c:pt idx="440">
                  <c:v>-147.90683038339176</c:v>
                </c:pt>
                <c:pt idx="441">
                  <c:v>-148.23183800152253</c:v>
                </c:pt>
                <c:pt idx="442">
                  <c:v>-148.55700585974677</c:v>
                </c:pt>
                <c:pt idx="443">
                  <c:v>-148.88233016268941</c:v>
                </c:pt>
                <c:pt idx="444">
                  <c:v>-149.2078071098816</c:v>
                </c:pt>
                <c:pt idx="445">
                  <c:v>-149.54085464330126</c:v>
                </c:pt>
                <c:pt idx="446">
                  <c:v>-149.87405379393684</c:v>
                </c:pt>
                <c:pt idx="447">
                  <c:v>-150.20740047193669</c:v>
                </c:pt>
                <c:pt idx="448">
                  <c:v>-150.54089057724423</c:v>
                </c:pt>
                <c:pt idx="449">
                  <c:v>-150.88252649482143</c:v>
                </c:pt>
                <c:pt idx="450">
                  <c:v>-151.22430406601845</c:v>
                </c:pt>
                <c:pt idx="451">
                  <c:v>-151.56621884846103</c:v>
                </c:pt>
                <c:pt idx="452">
                  <c:v>-151.90826638411949</c:v>
                </c:pt>
                <c:pt idx="453">
                  <c:v>-152.25817481428726</c:v>
                </c:pt>
                <c:pt idx="454">
                  <c:v>-152.60821258111557</c:v>
                </c:pt>
                <c:pt idx="455">
                  <c:v>-152.95837486034623</c:v>
                </c:pt>
                <c:pt idx="456">
                  <c:v>-153.3086568064559</c:v>
                </c:pt>
                <c:pt idx="457">
                  <c:v>-153.66737037725304</c:v>
                </c:pt>
                <c:pt idx="458">
                  <c:v>-154.0261990128931</c:v>
                </c:pt>
                <c:pt idx="459">
                  <c:v>-154.38513743949488</c:v>
                </c:pt>
                <c:pt idx="460">
                  <c:v>-154.74418035602855</c:v>
                </c:pt>
                <c:pt idx="461">
                  <c:v>-155.11164900253348</c:v>
                </c:pt>
                <c:pt idx="462">
                  <c:v>-155.4792157210918</c:v>
                </c:pt>
                <c:pt idx="463">
                  <c:v>-155.84687473994694</c:v>
                </c:pt>
                <c:pt idx="464">
                  <c:v>-156.21462025426038</c:v>
                </c:pt>
                <c:pt idx="465">
                  <c:v>-156.59106827120749</c:v>
                </c:pt>
                <c:pt idx="466">
                  <c:v>-156.96759447375274</c:v>
                </c:pt>
                <c:pt idx="467">
                  <c:v>-157.34419252727128</c:v>
                </c:pt>
                <c:pt idx="468">
                  <c:v>-157.72085605810341</c:v>
                </c:pt>
                <c:pt idx="469">
                  <c:v>-158.10620652891623</c:v>
                </c:pt>
                <c:pt idx="470">
                  <c:v>-158.491611892469</c:v>
                </c:pt>
                <c:pt idx="471">
                  <c:v>-158.87706519705665</c:v>
                </c:pt>
                <c:pt idx="472">
                  <c:v>-159.26255944623875</c:v>
                </c:pt>
                <c:pt idx="473">
                  <c:v>-159.65729459706094</c:v>
                </c:pt>
                <c:pt idx="474">
                  <c:v>-160.05205768195788</c:v>
                </c:pt>
                <c:pt idx="475">
                  <c:v>-160.44684104344717</c:v>
                </c:pt>
                <c:pt idx="476">
                  <c:v>-160.84163697379012</c:v>
                </c:pt>
                <c:pt idx="477">
                  <c:v>-161.2456458901051</c:v>
                </c:pt>
                <c:pt idx="478">
                  <c:v>-161.64965147568125</c:v>
                </c:pt>
                <c:pt idx="479">
                  <c:v>-162.05364530699421</c:v>
                </c:pt>
                <c:pt idx="480">
                  <c:v>-162.45761890543372</c:v>
                </c:pt>
                <c:pt idx="481">
                  <c:v>-162.87077005463669</c:v>
                </c:pt>
                <c:pt idx="482">
                  <c:v>-163.28388192153332</c:v>
                </c:pt>
                <c:pt idx="483">
                  <c:v>-163.69694525726149</c:v>
                </c:pt>
                <c:pt idx="484">
                  <c:v>-164.10995075405111</c:v>
                </c:pt>
                <c:pt idx="485">
                  <c:v>-164.53237771023225</c:v>
                </c:pt>
                <c:pt idx="486">
                  <c:v>-164.95472424752589</c:v>
                </c:pt>
                <c:pt idx="487">
                  <c:v>-165.37698021422989</c:v>
                </c:pt>
                <c:pt idx="488">
                  <c:v>-165.79913539711345</c:v>
                </c:pt>
                <c:pt idx="489">
                  <c:v>-166.23123359308224</c:v>
                </c:pt>
                <c:pt idx="490">
                  <c:v>-166.66320428573064</c:v>
                </c:pt>
                <c:pt idx="491">
                  <c:v>-167.09503632060878</c:v>
                </c:pt>
                <c:pt idx="492">
                  <c:v>-167.52671848055772</c:v>
                </c:pt>
                <c:pt idx="493">
                  <c:v>-167.96827952219414</c:v>
                </c:pt>
                <c:pt idx="494">
                  <c:v>-168.40965967358093</c:v>
                </c:pt>
                <c:pt idx="495">
                  <c:v>-168.85084672222075</c:v>
                </c:pt>
                <c:pt idx="496">
                  <c:v>-169.29182839398425</c:v>
                </c:pt>
                <c:pt idx="497">
                  <c:v>-169.74289991744078</c:v>
                </c:pt>
                <c:pt idx="498">
                  <c:v>-170.19373014372778</c:v>
                </c:pt>
                <c:pt idx="499">
                  <c:v>-170.64430573040528</c:v>
                </c:pt>
                <c:pt idx="500">
                  <c:v>-171.09461327711287</c:v>
                </c:pt>
                <c:pt idx="501">
                  <c:v>-171.55520787526902</c:v>
                </c:pt>
                <c:pt idx="502">
                  <c:v>-172.01549311330709</c:v>
                </c:pt>
                <c:pt idx="503">
                  <c:v>-172.47545445375667</c:v>
                </c:pt>
                <c:pt idx="504">
                  <c:v>-172.93507730818624</c:v>
                </c:pt>
                <c:pt idx="505">
                  <c:v>-173.4048843298408</c:v>
                </c:pt>
                <c:pt idx="506">
                  <c:v>-173.87430611831246</c:v>
                </c:pt>
                <c:pt idx="507">
                  <c:v>-174.3433269147917</c:v>
                </c:pt>
                <c:pt idx="508">
                  <c:v>-174.81193092047934</c:v>
                </c:pt>
                <c:pt idx="509">
                  <c:v>-175.29088574246711</c:v>
                </c:pt>
                <c:pt idx="510">
                  <c:v>-175.76937078152051</c:v>
                </c:pt>
                <c:pt idx="511">
                  <c:v>-176.24736901949069</c:v>
                </c:pt>
                <c:pt idx="512">
                  <c:v>-176.72486341375139</c:v>
                </c:pt>
                <c:pt idx="513">
                  <c:v>-177.21313982974448</c:v>
                </c:pt>
                <c:pt idx="514">
                  <c:v>-177.70085202499209</c:v>
                </c:pt>
                <c:pt idx="515">
                  <c:v>-178.18798166978323</c:v>
                </c:pt>
                <c:pt idx="516">
                  <c:v>-178.67451043067703</c:v>
                </c:pt>
                <c:pt idx="517">
                  <c:v>-179.17166691214453</c:v>
                </c:pt>
                <c:pt idx="518">
                  <c:v>-179.66815553703719</c:v>
                </c:pt>
                <c:pt idx="519">
                  <c:v>-180.16395669600942</c:v>
                </c:pt>
                <c:pt idx="520">
                  <c:v>-180.65905080273257</c:v>
                </c:pt>
                <c:pt idx="521">
                  <c:v>-181.16488041182583</c:v>
                </c:pt>
                <c:pt idx="522">
                  <c:v>-181.66992839274465</c:v>
                </c:pt>
                <c:pt idx="523">
                  <c:v>-182.17417388462357</c:v>
                </c:pt>
                <c:pt idx="524">
                  <c:v>-182.67759608292684</c:v>
                </c:pt>
                <c:pt idx="525">
                  <c:v>-183.19183898555048</c:v>
                </c:pt>
                <c:pt idx="526">
                  <c:v>-183.70517604389963</c:v>
                </c:pt>
                <c:pt idx="527">
                  <c:v>-184.21758520463828</c:v>
                </c:pt>
                <c:pt idx="528">
                  <c:v>-184.72904451117319</c:v>
                </c:pt>
                <c:pt idx="529">
                  <c:v>-185.25138577009065</c:v>
                </c:pt>
                <c:pt idx="530">
                  <c:v>-185.77268634159856</c:v>
                </c:pt>
                <c:pt idx="531">
                  <c:v>-186.29292307420479</c:v>
                </c:pt>
                <c:pt idx="532">
                  <c:v>-186.81207296105478</c:v>
                </c:pt>
                <c:pt idx="533">
                  <c:v>-187.34241420258741</c:v>
                </c:pt>
                <c:pt idx="534">
                  <c:v>-187.87156801661342</c:v>
                </c:pt>
                <c:pt idx="535">
                  <c:v>-188.39951024974695</c:v>
                </c:pt>
                <c:pt idx="536">
                  <c:v>-188.92621694921715</c:v>
                </c:pt>
                <c:pt idx="537">
                  <c:v>-189.46357923164535</c:v>
                </c:pt>
                <c:pt idx="538">
                  <c:v>-189.99959925243732</c:v>
                </c:pt>
                <c:pt idx="539">
                  <c:v>-190.53425210710643</c:v>
                </c:pt>
                <c:pt idx="540">
                  <c:v>-191.06751315450197</c:v>
                </c:pt>
                <c:pt idx="541">
                  <c:v>-191.61195250148842</c:v>
                </c:pt>
                <c:pt idx="542">
                  <c:v>-192.15488188045879</c:v>
                </c:pt>
                <c:pt idx="543">
                  <c:v>-192.69627578114009</c:v>
                </c:pt>
                <c:pt idx="544">
                  <c:v>-193.23610902754874</c:v>
                </c:pt>
                <c:pt idx="545">
                  <c:v>-193.78680583961309</c:v>
                </c:pt>
                <c:pt idx="546">
                  <c:v>-194.33581665236426</c:v>
                </c:pt>
                <c:pt idx="547">
                  <c:v>-194.8831156542584</c:v>
                </c:pt>
                <c:pt idx="548">
                  <c:v>-195.42867744486688</c:v>
                </c:pt>
                <c:pt idx="549">
                  <c:v>-195.98502940650576</c:v>
                </c:pt>
                <c:pt idx="550">
                  <c:v>-196.53951046428114</c:v>
                </c:pt>
                <c:pt idx="551">
                  <c:v>-197.09209481662535</c:v>
                </c:pt>
                <c:pt idx="552">
                  <c:v>-197.64275715513247</c:v>
                </c:pt>
                <c:pt idx="553">
                  <c:v>-198.20436605366262</c:v>
                </c:pt>
                <c:pt idx="554">
                  <c:v>-198.76390935386493</c:v>
                </c:pt>
                <c:pt idx="555">
                  <c:v>-199.32136158291405</c:v>
                </c:pt>
                <c:pt idx="556">
                  <c:v>-199.87669784790546</c:v>
                </c:pt>
                <c:pt idx="557">
                  <c:v>-201.00672571438949</c:v>
                </c:pt>
                <c:pt idx="558">
                  <c:v>-202.12758617398799</c:v>
                </c:pt>
                <c:pt idx="559">
                  <c:v>-203.26445531912245</c:v>
                </c:pt>
                <c:pt idx="560">
                  <c:v>-204.39134180108897</c:v>
                </c:pt>
                <c:pt idx="561">
                  <c:v>-205.53443661807481</c:v>
                </c:pt>
                <c:pt idx="562">
                  <c:v>-206.66670223281128</c:v>
                </c:pt>
                <c:pt idx="563">
                  <c:v>-207.81191281271191</c:v>
                </c:pt>
                <c:pt idx="564">
                  <c:v>-208.94548934740197</c:v>
                </c:pt>
                <c:pt idx="565">
                  <c:v>-210.09541141497417</c:v>
                </c:pt>
                <c:pt idx="566">
                  <c:v>-211.23280735521635</c:v>
                </c:pt>
                <c:pt idx="567">
                  <c:v>-212.3850471750132</c:v>
                </c:pt>
                <c:pt idx="568">
                  <c:v>-213.52388398031383</c:v>
                </c:pt>
                <c:pt idx="569">
                  <c:v>-214.6715831541905</c:v>
                </c:pt>
                <c:pt idx="570">
                  <c:v>-215.80513947200757</c:v>
                </c:pt>
                <c:pt idx="571">
                  <c:v>-216.95500487703345</c:v>
                </c:pt>
                <c:pt idx="572">
                  <c:v>-218.08980071303017</c:v>
                </c:pt>
                <c:pt idx="573">
                  <c:v>-219.23070444632455</c:v>
                </c:pt>
                <c:pt idx="574">
                  <c:v>-220.35588579496917</c:v>
                </c:pt>
                <c:pt idx="575">
                  <c:v>-221.49421083165439</c:v>
                </c:pt>
                <c:pt idx="576">
                  <c:v>-222.61597799520052</c:v>
                </c:pt>
                <c:pt idx="577">
                  <c:v>-227.18257368648062</c:v>
                </c:pt>
                <c:pt idx="578">
                  <c:v>-231.45850792126737</c:v>
                </c:pt>
                <c:pt idx="579">
                  <c:v>-239.86243651981141</c:v>
                </c:pt>
                <c:pt idx="580">
                  <c:v>-247.70177148069411</c:v>
                </c:pt>
                <c:pt idx="581">
                  <c:v>-254.87490157311359</c:v>
                </c:pt>
                <c:pt idx="582">
                  <c:v>-261.34160868730442</c:v>
                </c:pt>
                <c:pt idx="583">
                  <c:v>-267.08688803715586</c:v>
                </c:pt>
                <c:pt idx="584">
                  <c:v>-272.12823612010504</c:v>
                </c:pt>
                <c:pt idx="585">
                  <c:v>-276.49000265892539</c:v>
                </c:pt>
                <c:pt idx="586">
                  <c:v>-280.20833789635088</c:v>
                </c:pt>
                <c:pt idx="587">
                  <c:v>-283.32393499858551</c:v>
                </c:pt>
                <c:pt idx="588">
                  <c:v>-285.87455946331823</c:v>
                </c:pt>
                <c:pt idx="589">
                  <c:v>-287.90378790643416</c:v>
                </c:pt>
                <c:pt idx="590">
                  <c:v>-289.45235740930758</c:v>
                </c:pt>
                <c:pt idx="591">
                  <c:v>-290.56246866762763</c:v>
                </c:pt>
                <c:pt idx="592">
                  <c:v>-291.27647808595253</c:v>
                </c:pt>
                <c:pt idx="593">
                  <c:v>-291.63744697473714</c:v>
                </c:pt>
                <c:pt idx="594">
                  <c:v>-291.68839112123953</c:v>
                </c:pt>
                <c:pt idx="595">
                  <c:v>-291.47238683271701</c:v>
                </c:pt>
                <c:pt idx="596">
                  <c:v>-291.03189388663543</c:v>
                </c:pt>
                <c:pt idx="597">
                  <c:v>-290.40789089408457</c:v>
                </c:pt>
                <c:pt idx="598">
                  <c:v>-289.63949886321694</c:v>
                </c:pt>
                <c:pt idx="599">
                  <c:v>-288.7626495310783</c:v>
                </c:pt>
                <c:pt idx="600">
                  <c:v>-287.8101272406418</c:v>
                </c:pt>
              </c:numCache>
            </c:numRef>
          </c:yVal>
          <c:smooth val="0"/>
          <c:extLst>
            <c:ext xmlns:c16="http://schemas.microsoft.com/office/drawing/2014/chart" uri="{C3380CC4-5D6E-409C-BE32-E72D297353CC}">
              <c16:uniqueId val="{00000001-5314-496C-84FB-BC9D9C42BA7D}"/>
            </c:ext>
          </c:extLst>
        </c:ser>
        <c:dLbls>
          <c:showLegendKey val="0"/>
          <c:showVal val="0"/>
          <c:showCatName val="0"/>
          <c:showSerName val="0"/>
          <c:showPercent val="0"/>
          <c:showBubbleSize val="0"/>
        </c:dLbls>
        <c:axId val="184341632"/>
        <c:axId val="184343168"/>
      </c:scatterChart>
      <c:valAx>
        <c:axId val="184325248"/>
        <c:scaling>
          <c:logBase val="10"/>
          <c:orientation val="minMax"/>
          <c:max val="1000000"/>
          <c:min val="10"/>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4327168"/>
        <c:crossesAt val="-40"/>
        <c:crossBetween val="midCat"/>
        <c:majorUnit val="10"/>
        <c:minorUnit val="10"/>
      </c:valAx>
      <c:valAx>
        <c:axId val="184327168"/>
        <c:scaling>
          <c:orientation val="minMax"/>
          <c:max val="8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184325248"/>
        <c:crossesAt val="0.1"/>
        <c:crossBetween val="midCat"/>
        <c:majorUnit val="20"/>
        <c:minorUnit val="4"/>
      </c:valAx>
      <c:valAx>
        <c:axId val="184341632"/>
        <c:scaling>
          <c:logBase val="10"/>
          <c:orientation val="minMax"/>
        </c:scaling>
        <c:delete val="1"/>
        <c:axPos val="t"/>
        <c:numFmt formatCode="General" sourceLinked="1"/>
        <c:majorTickMark val="out"/>
        <c:minorTickMark val="none"/>
        <c:tickLblPos val="none"/>
        <c:crossAx val="184343168"/>
        <c:crossesAt val="0"/>
        <c:crossBetween val="midCat"/>
      </c:valAx>
      <c:valAx>
        <c:axId val="184343168"/>
        <c:scaling>
          <c:orientation val="minMax"/>
          <c:max val="-45"/>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184341632"/>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u="none">
                <a:latin typeface="Arial" pitchFamily="34" charset="0"/>
                <a:cs typeface="Arial" pitchFamily="34" charset="0"/>
              </a:rPr>
              <a:t>Bode Plot, V</a:t>
            </a:r>
            <a:r>
              <a:rPr lang="en-US" sz="2000" u="none" baseline="-25000">
                <a:latin typeface="Arial" pitchFamily="34" charset="0"/>
                <a:cs typeface="Arial" pitchFamily="34" charset="0"/>
              </a:rPr>
              <a:t>IN</a:t>
            </a:r>
            <a:r>
              <a:rPr lang="en-US" sz="2000" u="none" baseline="0">
                <a:latin typeface="Arial" pitchFamily="34" charset="0"/>
                <a:cs typeface="Arial" pitchFamily="34" charset="0"/>
              </a:rPr>
              <a:t> = </a:t>
            </a:r>
            <a:r>
              <a:rPr lang="en-US" sz="2000" u="none">
                <a:latin typeface="Arial" pitchFamily="34" charset="0"/>
                <a:cs typeface="Arial" pitchFamily="34" charset="0"/>
              </a:rPr>
              <a:t>V</a:t>
            </a:r>
            <a:r>
              <a:rPr lang="en-US" sz="2000" u="none" baseline="-25000">
                <a:latin typeface="Arial" pitchFamily="34" charset="0"/>
                <a:cs typeface="Arial" pitchFamily="34" charset="0"/>
              </a:rPr>
              <a:t>IN(nom)</a:t>
            </a:r>
            <a:endParaRPr lang="en-US" sz="2000" u="none">
              <a:latin typeface="Arial" pitchFamily="34" charset="0"/>
              <a:cs typeface="Arial" pitchFamily="34" charset="0"/>
            </a:endParaRPr>
          </a:p>
        </c:rich>
      </c:tx>
      <c:layout>
        <c:manualLayout>
          <c:xMode val="edge"/>
          <c:yMode val="edge"/>
          <c:x val="8.0358613068103324E-2"/>
          <c:y val="2.0629921259842518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8"/>
        </c:manualLayout>
      </c:layout>
      <c:scatterChart>
        <c:scatterStyle val="lineMarker"/>
        <c:varyColors val="0"/>
        <c:ser>
          <c:idx val="10"/>
          <c:order val="5"/>
          <c:tx>
            <c:v>FPCOMP</c:v>
          </c:tx>
          <c:spPr>
            <a:ln>
              <a:solidFill>
                <a:schemeClr val="tx1"/>
              </a:solidFill>
            </a:ln>
          </c:spPr>
          <c:marker>
            <c:symbol val="x"/>
            <c:size val="8"/>
            <c:spPr>
              <a:noFill/>
              <a:ln w="22225">
                <a:solidFill>
                  <a:schemeClr val="tx1"/>
                </a:solidFill>
              </a:ln>
            </c:spPr>
          </c:marker>
          <c:dLbls>
            <c:dLbl>
              <c:idx val="0"/>
              <c:layout>
                <c:manualLayout>
                  <c:x val="5.8718924670594424E-3"/>
                  <c:y val="-8.0265817928798291E-3"/>
                </c:manualLayout>
              </c:layout>
              <c:tx>
                <c:rich>
                  <a:bodyPr/>
                  <a:lstStyle/>
                  <a:p>
                    <a:r>
                      <a:rPr lang="en-US">
                        <a:solidFill>
                          <a:srgbClr val="0000FF"/>
                        </a:solidFill>
                        <a:latin typeface="Arial" pitchFamily="34" charset="0"/>
                        <a:cs typeface="Arial" pitchFamily="34" charset="0"/>
                      </a:rPr>
                      <a:t>F</a:t>
                    </a:r>
                    <a:r>
                      <a:rPr lang="en-US" baseline="-25000">
                        <a:solidFill>
                          <a:srgbClr val="0000FF"/>
                        </a:solidFill>
                        <a:latin typeface="Arial" pitchFamily="34" charset="0"/>
                        <a:cs typeface="Arial" pitchFamily="34" charset="0"/>
                      </a:rPr>
                      <a:t>PCOMP</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4B49-4ADE-B8CD-DD5F374AD671}"/>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Calculations'!$A$627</c:f>
              <c:numCache>
                <c:formatCode>0</c:formatCode>
                <c:ptCount val="1"/>
                <c:pt idx="0">
                  <c:v>100060.22121612207</c:v>
                </c:pt>
              </c:numCache>
            </c:numRef>
          </c:xVal>
          <c:yVal>
            <c:numRef>
              <c:f>'Stability Calculations'!$Q$627</c:f>
              <c:numCache>
                <c:formatCode>0.00</c:formatCode>
                <c:ptCount val="1"/>
                <c:pt idx="0">
                  <c:v>-15.844210903215675</c:v>
                </c:pt>
              </c:numCache>
            </c:numRef>
          </c:yVal>
          <c:smooth val="0"/>
          <c:extLst>
            <c:ext xmlns:c16="http://schemas.microsoft.com/office/drawing/2014/chart" uri="{C3380CC4-5D6E-409C-BE32-E72D297353CC}">
              <c16:uniqueId val="{00000001-4B49-4ADE-B8CD-DD5F374AD671}"/>
            </c:ext>
          </c:extLst>
        </c:ser>
        <c:dLbls>
          <c:showLegendKey val="0"/>
          <c:showVal val="0"/>
          <c:showCatName val="0"/>
          <c:showSerName val="0"/>
          <c:showPercent val="0"/>
          <c:showBubbleSize val="0"/>
        </c:dLbls>
        <c:axId val="165647872"/>
        <c:axId val="165649792"/>
      </c:scatterChart>
      <c:scatterChart>
        <c:scatterStyle val="smoothMarker"/>
        <c:varyColors val="0"/>
        <c:ser>
          <c:idx val="2"/>
          <c:order val="0"/>
          <c:tx>
            <c:v>Loop Gain</c:v>
          </c:tx>
          <c:spPr>
            <a:ln w="31750">
              <a:solidFill>
                <a:srgbClr val="FF0000"/>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Calculations'!$Q$13:$Q$613</c:f>
              <c:numCache>
                <c:formatCode>0.00</c:formatCode>
                <c:ptCount val="601"/>
                <c:pt idx="0">
                  <c:v>89.429252585242423</c:v>
                </c:pt>
                <c:pt idx="1">
                  <c:v>88.902073581740083</c:v>
                </c:pt>
                <c:pt idx="2">
                  <c:v>88.342869581257887</c:v>
                </c:pt>
                <c:pt idx="3">
                  <c:v>87.753886021051969</c:v>
                </c:pt>
                <c:pt idx="4">
                  <c:v>87.137996297651284</c:v>
                </c:pt>
                <c:pt idx="5">
                  <c:v>86.496730624800776</c:v>
                </c:pt>
                <c:pt idx="6">
                  <c:v>85.833556747751885</c:v>
                </c:pt>
                <c:pt idx="7">
                  <c:v>85.150554098369952</c:v>
                </c:pt>
                <c:pt idx="8">
                  <c:v>84.450607310845072</c:v>
                </c:pt>
                <c:pt idx="9">
                  <c:v>83.73540209684883</c:v>
                </c:pt>
                <c:pt idx="10">
                  <c:v>83.007365562033016</c:v>
                </c:pt>
                <c:pt idx="11">
                  <c:v>82.268213340284447</c:v>
                </c:pt>
                <c:pt idx="12">
                  <c:v>81.519158294849788</c:v>
                </c:pt>
                <c:pt idx="13">
                  <c:v>80.762333788068688</c:v>
                </c:pt>
                <c:pt idx="14">
                  <c:v>79.998368348209794</c:v>
                </c:pt>
                <c:pt idx="15">
                  <c:v>79.228616199393272</c:v>
                </c:pt>
                <c:pt idx="16">
                  <c:v>78.453928239848381</c:v>
                </c:pt>
                <c:pt idx="17">
                  <c:v>77.675194368206746</c:v>
                </c:pt>
                <c:pt idx="18">
                  <c:v>76.892850361759969</c:v>
                </c:pt>
                <c:pt idx="19">
                  <c:v>76.107666638028476</c:v>
                </c:pt>
                <c:pt idx="20">
                  <c:v>75.319959665214085</c:v>
                </c:pt>
                <c:pt idx="21">
                  <c:v>74.530288060853977</c:v>
                </c:pt>
                <c:pt idx="22">
                  <c:v>73.738817254459136</c:v>
                </c:pt>
                <c:pt idx="23">
                  <c:v>72.946023120562288</c:v>
                </c:pt>
                <c:pt idx="24">
                  <c:v>72.151938263721092</c:v>
                </c:pt>
                <c:pt idx="25">
                  <c:v>71.356881325591971</c:v>
                </c:pt>
                <c:pt idx="26">
                  <c:v>70.560830466194318</c:v>
                </c:pt>
                <c:pt idx="27">
                  <c:v>69.764175573560095</c:v>
                </c:pt>
                <c:pt idx="28">
                  <c:v>68.966999785105955</c:v>
                </c:pt>
                <c:pt idx="29">
                  <c:v>68.169893895936909</c:v>
                </c:pt>
                <c:pt idx="30">
                  <c:v>67.371589202295837</c:v>
                </c:pt>
                <c:pt idx="31">
                  <c:v>66.573267229390069</c:v>
                </c:pt>
                <c:pt idx="32">
                  <c:v>65.774442109144758</c:v>
                </c:pt>
                <c:pt idx="33">
                  <c:v>64.975729723360601</c:v>
                </c:pt>
                <c:pt idx="34">
                  <c:v>64.176553368998412</c:v>
                </c:pt>
                <c:pt idx="35">
                  <c:v>63.377395838951813</c:v>
                </c:pt>
                <c:pt idx="36">
                  <c:v>62.578162756169817</c:v>
                </c:pt>
                <c:pt idx="37">
                  <c:v>61.778447222010556</c:v>
                </c:pt>
                <c:pt idx="38">
                  <c:v>60.979030667689116</c:v>
                </c:pt>
                <c:pt idx="39">
                  <c:v>60.179285674547948</c:v>
                </c:pt>
                <c:pt idx="40">
                  <c:v>59.379528317943354</c:v>
                </c:pt>
                <c:pt idx="41">
                  <c:v>58.579700634455484</c:v>
                </c:pt>
                <c:pt idx="42">
                  <c:v>57.779920993061502</c:v>
                </c:pt>
                <c:pt idx="43">
                  <c:v>56.979959930802259</c:v>
                </c:pt>
                <c:pt idx="44">
                  <c:v>56.180033351416732</c:v>
                </c:pt>
                <c:pt idx="45">
                  <c:v>55.37998087442201</c:v>
                </c:pt>
                <c:pt idx="46">
                  <c:v>54.579963001160024</c:v>
                </c:pt>
                <c:pt idx="47">
                  <c:v>53.779804414254279</c:v>
                </c:pt>
                <c:pt idx="48">
                  <c:v>52.979696949782571</c:v>
                </c:pt>
                <c:pt idx="49">
                  <c:v>52.179429035972845</c:v>
                </c:pt>
                <c:pt idx="50">
                  <c:v>51.379114653885168</c:v>
                </c:pt>
                <c:pt idx="51">
                  <c:v>50.578555272921164</c:v>
                </c:pt>
                <c:pt idx="52">
                  <c:v>49.77799122725132</c:v>
                </c:pt>
                <c:pt idx="53">
                  <c:v>48.977374045824448</c:v>
                </c:pt>
                <c:pt idx="54">
                  <c:v>48.177180537288464</c:v>
                </c:pt>
                <c:pt idx="55">
                  <c:v>47.37603299986722</c:v>
                </c:pt>
                <c:pt idx="56">
                  <c:v>46.575021646513015</c:v>
                </c:pt>
                <c:pt idx="57">
                  <c:v>45.773568533030399</c:v>
                </c:pt>
                <c:pt idx="58">
                  <c:v>44.972203678772431</c:v>
                </c:pt>
                <c:pt idx="59">
                  <c:v>44.170260266391026</c:v>
                </c:pt>
                <c:pt idx="60">
                  <c:v>43.368131557219144</c:v>
                </c:pt>
                <c:pt idx="61">
                  <c:v>42.565626046262501</c:v>
                </c:pt>
                <c:pt idx="62">
                  <c:v>41.762229612144452</c:v>
                </c:pt>
                <c:pt idx="63">
                  <c:v>40.958610747376795</c:v>
                </c:pt>
                <c:pt idx="64">
                  <c:v>40.154008202842434</c:v>
                </c:pt>
                <c:pt idx="65">
                  <c:v>39.348592103913248</c:v>
                </c:pt>
                <c:pt idx="66">
                  <c:v>38.542136706119543</c:v>
                </c:pt>
                <c:pt idx="67">
                  <c:v>37.734571688765634</c:v>
                </c:pt>
                <c:pt idx="68">
                  <c:v>36.925450725084808</c:v>
                </c:pt>
                <c:pt idx="69">
                  <c:v>36.114751296175321</c:v>
                </c:pt>
                <c:pt idx="70">
                  <c:v>35.302043458944496</c:v>
                </c:pt>
                <c:pt idx="71">
                  <c:v>34.487197625890921</c:v>
                </c:pt>
                <c:pt idx="72">
                  <c:v>33.669721013643546</c:v>
                </c:pt>
                <c:pt idx="73">
                  <c:v>32.849481074417518</c:v>
                </c:pt>
                <c:pt idx="74">
                  <c:v>32.025928918929864</c:v>
                </c:pt>
                <c:pt idx="75">
                  <c:v>31.198861966088657</c:v>
                </c:pt>
                <c:pt idx="76">
                  <c:v>30.367788471072572</c:v>
                </c:pt>
                <c:pt idx="77">
                  <c:v>29.532732107148579</c:v>
                </c:pt>
                <c:pt idx="78">
                  <c:v>28.693509064324097</c:v>
                </c:pt>
                <c:pt idx="79">
                  <c:v>27.85061283663239</c:v>
                </c:pt>
                <c:pt idx="80">
                  <c:v>27.002733272298379</c:v>
                </c:pt>
                <c:pt idx="81">
                  <c:v>26.151341765050063</c:v>
                </c:pt>
                <c:pt idx="82">
                  <c:v>25.296336923711486</c:v>
                </c:pt>
                <c:pt idx="83">
                  <c:v>24.438983905656578</c:v>
                </c:pt>
                <c:pt idx="84">
                  <c:v>23.579433280703391</c:v>
                </c:pt>
                <c:pt idx="85">
                  <c:v>22.719092464828595</c:v>
                </c:pt>
                <c:pt idx="86">
                  <c:v>21.858808630389049</c:v>
                </c:pt>
                <c:pt idx="87">
                  <c:v>20.999086148631065</c:v>
                </c:pt>
                <c:pt idx="88">
                  <c:v>20.141634054385751</c:v>
                </c:pt>
                <c:pt idx="89">
                  <c:v>19.286519060434124</c:v>
                </c:pt>
                <c:pt idx="90">
                  <c:v>18.434650967649013</c:v>
                </c:pt>
                <c:pt idx="91">
                  <c:v>17.58634823193443</c:v>
                </c:pt>
                <c:pt idx="92">
                  <c:v>16.741923210860058</c:v>
                </c:pt>
                <c:pt idx="93">
                  <c:v>15.901140971098638</c:v>
                </c:pt>
                <c:pt idx="94">
                  <c:v>15.691607557307499</c:v>
                </c:pt>
                <c:pt idx="95">
                  <c:v>15.586277068442895</c:v>
                </c:pt>
                <c:pt idx="96">
                  <c:v>15.482207521292139</c:v>
                </c:pt>
                <c:pt idx="97">
                  <c:v>15.376999662224044</c:v>
                </c:pt>
                <c:pt idx="98">
                  <c:v>15.273050100914256</c:v>
                </c:pt>
                <c:pt idx="99">
                  <c:v>15.16793615551537</c:v>
                </c:pt>
                <c:pt idx="100">
                  <c:v>15.064078408455465</c:v>
                </c:pt>
                <c:pt idx="101">
                  <c:v>14.959111008352872</c:v>
                </c:pt>
                <c:pt idx="102">
                  <c:v>14.855396323484229</c:v>
                </c:pt>
                <c:pt idx="103">
                  <c:v>14.750471910964444</c:v>
                </c:pt>
                <c:pt idx="104">
                  <c:v>14.646799057871501</c:v>
                </c:pt>
                <c:pt idx="105">
                  <c:v>14.541972969568139</c:v>
                </c:pt>
                <c:pt idx="106">
                  <c:v>14.438395845537757</c:v>
                </c:pt>
                <c:pt idx="107">
                  <c:v>14.333719146116341</c:v>
                </c:pt>
                <c:pt idx="108">
                  <c:v>14.230287486248667</c:v>
                </c:pt>
                <c:pt idx="109">
                  <c:v>14.12573644582128</c:v>
                </c:pt>
                <c:pt idx="110">
                  <c:v>14.022426966729903</c:v>
                </c:pt>
                <c:pt idx="111">
                  <c:v>13.917911621501029</c:v>
                </c:pt>
                <c:pt idx="112">
                  <c:v>13.814636369114712</c:v>
                </c:pt>
                <c:pt idx="113">
                  <c:v>13.710210792001194</c:v>
                </c:pt>
                <c:pt idx="114">
                  <c:v>13.607022451663058</c:v>
                </c:pt>
                <c:pt idx="115">
                  <c:v>13.502670692157244</c:v>
                </c:pt>
                <c:pt idx="116">
                  <c:v>13.399553581600625</c:v>
                </c:pt>
                <c:pt idx="117">
                  <c:v>13.295261934025216</c:v>
                </c:pt>
                <c:pt idx="118">
                  <c:v>13.192202564658889</c:v>
                </c:pt>
                <c:pt idx="119">
                  <c:v>13.088022192190831</c:v>
                </c:pt>
                <c:pt idx="120">
                  <c:v>12.985070424660133</c:v>
                </c:pt>
                <c:pt idx="121">
                  <c:v>12.880987172563749</c:v>
                </c:pt>
                <c:pt idx="122">
                  <c:v>12.77812908795006</c:v>
                </c:pt>
                <c:pt idx="123">
                  <c:v>12.674070865590622</c:v>
                </c:pt>
                <c:pt idx="124">
                  <c:v>12.571235963298864</c:v>
                </c:pt>
                <c:pt idx="125">
                  <c:v>12.467255071975533</c:v>
                </c:pt>
                <c:pt idx="126">
                  <c:v>12.364494334882369</c:v>
                </c:pt>
                <c:pt idx="127">
                  <c:v>12.260581930545282</c:v>
                </c:pt>
                <c:pt idx="128">
                  <c:v>12.157886628770854</c:v>
                </c:pt>
                <c:pt idx="129">
                  <c:v>12.054035383005877</c:v>
                </c:pt>
                <c:pt idx="130">
                  <c:v>11.951398267523013</c:v>
                </c:pt>
                <c:pt idx="131">
                  <c:v>11.847602234757456</c:v>
                </c:pt>
                <c:pt idx="132">
                  <c:v>11.796160242785474</c:v>
                </c:pt>
                <c:pt idx="133">
                  <c:v>11.745017407601392</c:v>
                </c:pt>
                <c:pt idx="134">
                  <c:v>11.692965002914363</c:v>
                </c:pt>
                <c:pt idx="135">
                  <c:v>11.64121865475652</c:v>
                </c:pt>
                <c:pt idx="136">
                  <c:v>11.589774673358111</c:v>
                </c:pt>
                <c:pt idx="137">
                  <c:v>11.538629434392698</c:v>
                </c:pt>
                <c:pt idx="138">
                  <c:v>11.486628286457631</c:v>
                </c:pt>
                <c:pt idx="139">
                  <c:v>11.43493213555236</c:v>
                </c:pt>
                <c:pt idx="140">
                  <c:v>11.383537307458752</c:v>
                </c:pt>
                <c:pt idx="141">
                  <c:v>11.332440193102366</c:v>
                </c:pt>
                <c:pt idx="142">
                  <c:v>11.280436077333926</c:v>
                </c:pt>
                <c:pt idx="143">
                  <c:v>11.228736510764836</c:v>
                </c:pt>
                <c:pt idx="144">
                  <c:v>11.177337823808243</c:v>
                </c:pt>
                <c:pt idx="145">
                  <c:v>11.126236411972323</c:v>
                </c:pt>
                <c:pt idx="146">
                  <c:v>11.074255272120432</c:v>
                </c:pt>
                <c:pt idx="147">
                  <c:v>11.022577907079143</c:v>
                </c:pt>
                <c:pt idx="148">
                  <c:v>10.971200657856087</c:v>
                </c:pt>
                <c:pt idx="149">
                  <c:v>10.920119930358423</c:v>
                </c:pt>
                <c:pt idx="150">
                  <c:v>10.868161348662952</c:v>
                </c:pt>
                <c:pt idx="151">
                  <c:v>10.816505749330673</c:v>
                </c:pt>
                <c:pt idx="152">
                  <c:v>10.765149484346871</c:v>
                </c:pt>
                <c:pt idx="153">
                  <c:v>10.714088970385941</c:v>
                </c:pt>
                <c:pt idx="154">
                  <c:v>10.662129069435089</c:v>
                </c:pt>
                <c:pt idx="155">
                  <c:v>10.610471612368293</c:v>
                </c:pt>
                <c:pt idx="156">
                  <c:v>10.559112957612577</c:v>
                </c:pt>
                <c:pt idx="157">
                  <c:v>10.508049528175116</c:v>
                </c:pt>
                <c:pt idx="158">
                  <c:v>10.456090227104609</c:v>
                </c:pt>
                <c:pt idx="159">
                  <c:v>10.40443278450814</c:v>
                </c:pt>
                <c:pt idx="160">
                  <c:v>10.353073566116123</c:v>
                </c:pt>
                <c:pt idx="161">
                  <c:v>10.302009002104624</c:v>
                </c:pt>
                <c:pt idx="162">
                  <c:v>10.250075176299728</c:v>
                </c:pt>
                <c:pt idx="163">
                  <c:v>10.198442311126827</c:v>
                </c:pt>
                <c:pt idx="164">
                  <c:v>10.147106785240425</c:v>
                </c:pt>
                <c:pt idx="165">
                  <c:v>10.096065041468851</c:v>
                </c:pt>
                <c:pt idx="166">
                  <c:v>10.044112961764238</c:v>
                </c:pt>
                <c:pt idx="167">
                  <c:v>9.9924614252360424</c:v>
                </c:pt>
                <c:pt idx="168">
                  <c:v>9.9411068147938551</c:v>
                </c:pt>
                <c:pt idx="169">
                  <c:v>9.890045577449019</c:v>
                </c:pt>
                <c:pt idx="170">
                  <c:v>9.838187860408155</c:v>
                </c:pt>
                <c:pt idx="171">
                  <c:v>9.7866289470216383</c:v>
                </c:pt>
                <c:pt idx="172">
                  <c:v>9.7353652481873336</c:v>
                </c:pt>
                <c:pt idx="173">
                  <c:v>9.6843932382699922</c:v>
                </c:pt>
                <c:pt idx="174">
                  <c:v>9.6324354060158051</c:v>
                </c:pt>
                <c:pt idx="175">
                  <c:v>9.5807768486220013</c:v>
                </c:pt>
                <c:pt idx="176">
                  <c:v>9.529413965166496</c:v>
                </c:pt>
                <c:pt idx="177">
                  <c:v>9.4783432184919896</c:v>
                </c:pt>
                <c:pt idx="178">
                  <c:v>9.4263160011699867</c:v>
                </c:pt>
                <c:pt idx="179">
                  <c:v>9.3745881456651574</c:v>
                </c:pt>
                <c:pt idx="180">
                  <c:v>9.3231560460415732</c:v>
                </c:pt>
                <c:pt idx="181">
                  <c:v>9.272016160262389</c:v>
                </c:pt>
                <c:pt idx="182">
                  <c:v>9.2201509071692929</c:v>
                </c:pt>
                <c:pt idx="183">
                  <c:v>9.1685824260537565</c:v>
                </c:pt>
                <c:pt idx="184">
                  <c:v>9.1173071540216988</c:v>
                </c:pt>
                <c:pt idx="185">
                  <c:v>9.0663215910787969</c:v>
                </c:pt>
                <c:pt idx="186">
                  <c:v>9.0142345581062564</c:v>
                </c:pt>
                <c:pt idx="187">
                  <c:v>8.962446064856703</c:v>
                </c:pt>
                <c:pt idx="188">
                  <c:v>8.9109525129825649</c:v>
                </c:pt>
                <c:pt idx="189">
                  <c:v>8.8597503678791156</c:v>
                </c:pt>
                <c:pt idx="190">
                  <c:v>8.8078672894224077</c:v>
                </c:pt>
                <c:pt idx="191">
                  <c:v>8.756279630280531</c:v>
                </c:pt>
                <c:pt idx="192">
                  <c:v>8.7049838444468097</c:v>
                </c:pt>
                <c:pt idx="193">
                  <c:v>8.6539764484343458</c:v>
                </c:pt>
                <c:pt idx="194">
                  <c:v>8.6019280210960467</c:v>
                </c:pt>
                <c:pt idx="195">
                  <c:v>8.5501760659675234</c:v>
                </c:pt>
                <c:pt idx="196">
                  <c:v>8.4987170141861554</c:v>
                </c:pt>
                <c:pt idx="197">
                  <c:v>8.4475473599493149</c:v>
                </c:pt>
                <c:pt idx="198">
                  <c:v>8.395552591219543</c:v>
                </c:pt>
                <c:pt idx="199">
                  <c:v>8.3438528260716431</c:v>
                </c:pt>
                <c:pt idx="200">
                  <c:v>8.2924445179518145</c:v>
                </c:pt>
                <c:pt idx="201">
                  <c:v>8.2413241828442629</c:v>
                </c:pt>
                <c:pt idx="202">
                  <c:v>8.189402148732567</c:v>
                </c:pt>
                <c:pt idx="203">
                  <c:v>8.1377734070872876</c:v>
                </c:pt>
                <c:pt idx="204">
                  <c:v>8.0864344378186743</c:v>
                </c:pt>
                <c:pt idx="205">
                  <c:v>8.0353817827545662</c:v>
                </c:pt>
                <c:pt idx="206">
                  <c:v>7.9833729468566297</c:v>
                </c:pt>
                <c:pt idx="207">
                  <c:v>7.9316574571998935</c:v>
                </c:pt>
                <c:pt idx="208">
                  <c:v>7.8802317882562392</c:v>
                </c:pt>
                <c:pt idx="209">
                  <c:v>7.829092476539512</c:v>
                </c:pt>
                <c:pt idx="210">
                  <c:v>7.7768514861766667</c:v>
                </c:pt>
                <c:pt idx="211">
                  <c:v>7.72490548852576</c:v>
                </c:pt>
                <c:pt idx="212">
                  <c:v>7.6732509236632502</c:v>
                </c:pt>
                <c:pt idx="213">
                  <c:v>7.6218842945087157</c:v>
                </c:pt>
                <c:pt idx="214">
                  <c:v>7.5697867857973318</c:v>
                </c:pt>
                <c:pt idx="215">
                  <c:v>7.5179816514594497</c:v>
                </c:pt>
                <c:pt idx="216">
                  <c:v>7.4664653737579902</c:v>
                </c:pt>
                <c:pt idx="217">
                  <c:v>7.4152344968044357</c:v>
                </c:pt>
                <c:pt idx="218">
                  <c:v>7.363127186464772</c:v>
                </c:pt>
                <c:pt idx="219">
                  <c:v>7.3113113191681673</c:v>
                </c:pt>
                <c:pt idx="220">
                  <c:v>7.2597833887159098</c:v>
                </c:pt>
                <c:pt idx="221">
                  <c:v>7.2085399504803105</c:v>
                </c:pt>
                <c:pt idx="222">
                  <c:v>7.1564446946233229</c:v>
                </c:pt>
                <c:pt idx="223">
                  <c:v>7.1046396674058236</c:v>
                </c:pt>
                <c:pt idx="224">
                  <c:v>7.0531213789893688</c:v>
                </c:pt>
                <c:pt idx="225">
                  <c:v>7.0018864007154926</c:v>
                </c:pt>
                <c:pt idx="226">
                  <c:v>6.9496650028588558</c:v>
                </c:pt>
                <c:pt idx="227">
                  <c:v>6.8977341103308989</c:v>
                </c:pt>
                <c:pt idx="228">
                  <c:v>6.8460902225249018</c:v>
                </c:pt>
                <c:pt idx="229">
                  <c:v>6.7947299002544801</c:v>
                </c:pt>
                <c:pt idx="230">
                  <c:v>6.6903828210236167</c:v>
                </c:pt>
                <c:pt idx="231">
                  <c:v>6.6386413918564271</c:v>
                </c:pt>
                <c:pt idx="232">
                  <c:v>6.5871834244573888</c:v>
                </c:pt>
                <c:pt idx="233">
                  <c:v>6.5347940059253959</c:v>
                </c:pt>
                <c:pt idx="234">
                  <c:v>6.4826945548152457</c:v>
                </c:pt>
                <c:pt idx="235">
                  <c:v>6.4308815675952342</c:v>
                </c:pt>
                <c:pt idx="236">
                  <c:v>6.3793516021971843</c:v>
                </c:pt>
                <c:pt idx="237">
                  <c:v>6.3270642861263218</c:v>
                </c:pt>
                <c:pt idx="238">
                  <c:v>6.2750645436650139</c:v>
                </c:pt>
                <c:pt idx="239">
                  <c:v>6.223348907659128</c:v>
                </c:pt>
                <c:pt idx="240">
                  <c:v>6.1719139715572178</c:v>
                </c:pt>
                <c:pt idx="241">
                  <c:v>6.1194519887192751</c:v>
                </c:pt>
                <c:pt idx="242">
                  <c:v>6.0672781752282514</c:v>
                </c:pt>
                <c:pt idx="243">
                  <c:v>6.015389045973432</c:v>
                </c:pt>
                <c:pt idx="244">
                  <c:v>5.9637811768494551</c:v>
                </c:pt>
                <c:pt idx="245">
                  <c:v>5.9113168190627778</c:v>
                </c:pt>
                <c:pt idx="246">
                  <c:v>5.8591392799346824</c:v>
                </c:pt>
                <c:pt idx="247">
                  <c:v>5.8072450911575224</c:v>
                </c:pt>
                <c:pt idx="248">
                  <c:v>5.7556308450226208</c:v>
                </c:pt>
                <c:pt idx="249">
                  <c:v>5.7030444826710696</c:v>
                </c:pt>
                <c:pt idx="250">
                  <c:v>5.6507448349768072</c:v>
                </c:pt>
                <c:pt idx="251">
                  <c:v>5.5987284274637075</c:v>
                </c:pt>
                <c:pt idx="252">
                  <c:v>5.5469918463814114</c:v>
                </c:pt>
                <c:pt idx="253">
                  <c:v>5.4944455979030824</c:v>
                </c:pt>
                <c:pt idx="254">
                  <c:v>5.4421841383740555</c:v>
                </c:pt>
                <c:pt idx="255">
                  <c:v>5.3902040197092074</c:v>
                </c:pt>
                <c:pt idx="256">
                  <c:v>5.3385018539195688</c:v>
                </c:pt>
                <c:pt idx="257">
                  <c:v>5.285745611945794</c:v>
                </c:pt>
                <c:pt idx="258">
                  <c:v>5.2332748752516123</c:v>
                </c:pt>
                <c:pt idx="259">
                  <c:v>5.1810861737820693</c:v>
                </c:pt>
                <c:pt idx="260">
                  <c:v>5.1291760980699275</c:v>
                </c:pt>
                <c:pt idx="261">
                  <c:v>5.076370952956931</c:v>
                </c:pt>
                <c:pt idx="262">
                  <c:v>5.023850216843301</c:v>
                </c:pt>
                <c:pt idx="263">
                  <c:v>4.971610430085053</c:v>
                </c:pt>
                <c:pt idx="264">
                  <c:v>4.9196481933657408</c:v>
                </c:pt>
                <c:pt idx="265">
                  <c:v>4.8668146327135755</c:v>
                </c:pt>
                <c:pt idx="266">
                  <c:v>4.8142640985402068</c:v>
                </c:pt>
                <c:pt idx="267">
                  <c:v>4.7619931463281828</c:v>
                </c:pt>
                <c:pt idx="268">
                  <c:v>4.7099983915179831</c:v>
                </c:pt>
                <c:pt idx="269">
                  <c:v>4.6570305350210326</c:v>
                </c:pt>
                <c:pt idx="270">
                  <c:v>4.6043453809012655</c:v>
                </c:pt>
                <c:pt idx="271">
                  <c:v>4.5519394799589801</c:v>
                </c:pt>
                <c:pt idx="272">
                  <c:v>4.4998094430408786</c:v>
                </c:pt>
                <c:pt idx="273">
                  <c:v>4.4467321481984863</c:v>
                </c:pt>
                <c:pt idx="274">
                  <c:v>4.3939368844891291</c:v>
                </c:pt>
                <c:pt idx="275">
                  <c:v>4.341420203761527</c:v>
                </c:pt>
                <c:pt idx="276">
                  <c:v>4.2891787178659495</c:v>
                </c:pt>
                <c:pt idx="277">
                  <c:v>4.236134240148127</c:v>
                </c:pt>
                <c:pt idx="278">
                  <c:v>4.1833695408815892</c:v>
                </c:pt>
                <c:pt idx="279">
                  <c:v>4.1308812012948817</c:v>
                </c:pt>
                <c:pt idx="280">
                  <c:v>4.0786658619183944</c:v>
                </c:pt>
                <c:pt idx="281">
                  <c:v>4.0253168369465078</c:v>
                </c:pt>
                <c:pt idx="282">
                  <c:v>3.9722488050048428</c:v>
                </c:pt>
                <c:pt idx="283">
                  <c:v>3.9194583125824503</c:v>
                </c:pt>
                <c:pt idx="284">
                  <c:v>3.8669419662506721</c:v>
                </c:pt>
                <c:pt idx="285">
                  <c:v>3.8136657120914421</c:v>
                </c:pt>
                <c:pt idx="286">
                  <c:v>3.7606676136918353</c:v>
                </c:pt>
                <c:pt idx="287">
                  <c:v>3.7079442564533482</c:v>
                </c:pt>
                <c:pt idx="288">
                  <c:v>3.6554922849390987</c:v>
                </c:pt>
                <c:pt idx="289">
                  <c:v>3.6019623454725611</c:v>
                </c:pt>
                <c:pt idx="290">
                  <c:v>3.5487110418577092</c:v>
                </c:pt>
                <c:pt idx="291">
                  <c:v>3.4957349367498964</c:v>
                </c:pt>
                <c:pt idx="292">
                  <c:v>3.4430306524673115</c:v>
                </c:pt>
                <c:pt idx="293">
                  <c:v>3.3893862663371221</c:v>
                </c:pt>
                <c:pt idx="294">
                  <c:v>3.3360194417768056</c:v>
                </c:pt>
                <c:pt idx="295">
                  <c:v>3.2829267465138345</c:v>
                </c:pt>
                <c:pt idx="296">
                  <c:v>3.2301048077974555</c:v>
                </c:pt>
                <c:pt idx="297">
                  <c:v>3.1763663116107796</c:v>
                </c:pt>
                <c:pt idx="298">
                  <c:v>3.1229039927064077</c:v>
                </c:pt>
                <c:pt idx="299">
                  <c:v>3.0697144288590863</c:v>
                </c:pt>
                <c:pt idx="300">
                  <c:v>3.0167942571090576</c:v>
                </c:pt>
                <c:pt idx="301">
                  <c:v>2.9629801091670198</c:v>
                </c:pt>
                <c:pt idx="302">
                  <c:v>2.9094404652634482</c:v>
                </c:pt>
                <c:pt idx="303">
                  <c:v>2.8561719178087168</c:v>
                </c:pt>
                <c:pt idx="304">
                  <c:v>2.8031711181165142</c:v>
                </c:pt>
                <c:pt idx="305">
                  <c:v>2.7490913090177242</c:v>
                </c:pt>
                <c:pt idx="306">
                  <c:v>2.6952861494951899</c:v>
                </c:pt>
                <c:pt idx="307">
                  <c:v>2.6417522118978463</c:v>
                </c:pt>
                <c:pt idx="308">
                  <c:v>2.588486127912879</c:v>
                </c:pt>
                <c:pt idx="309">
                  <c:v>2.5343705188813761</c:v>
                </c:pt>
                <c:pt idx="310">
                  <c:v>2.4805272569954462</c:v>
                </c:pt>
                <c:pt idx="311">
                  <c:v>2.4269529392502998</c:v>
                </c:pt>
                <c:pt idx="312">
                  <c:v>2.3736442213856446</c:v>
                </c:pt>
                <c:pt idx="313">
                  <c:v>2.3193072513950597</c:v>
                </c:pt>
                <c:pt idx="314">
                  <c:v>2.2652420741830279</c:v>
                </c:pt>
                <c:pt idx="315">
                  <c:v>2.2114452777879783</c:v>
                </c:pt>
                <c:pt idx="316">
                  <c:v>2.1579135091701658</c:v>
                </c:pt>
                <c:pt idx="317">
                  <c:v>2.1033783019607561</c:v>
                </c:pt>
                <c:pt idx="318">
                  <c:v>2.0491139636596816</c:v>
                </c:pt>
                <c:pt idx="319">
                  <c:v>1.9951170791793491</c:v>
                </c:pt>
                <c:pt idx="320">
                  <c:v>1.9413842923964408</c:v>
                </c:pt>
                <c:pt idx="321">
                  <c:v>1.8866718471466992</c:v>
                </c:pt>
                <c:pt idx="322">
                  <c:v>1.8322289995077288</c:v>
                </c:pt>
                <c:pt idx="323">
                  <c:v>1.7780523367097656</c:v>
                </c:pt>
                <c:pt idx="324">
                  <c:v>1.7241385048636899</c:v>
                </c:pt>
                <c:pt idx="325">
                  <c:v>1.6692677825493827</c:v>
                </c:pt>
                <c:pt idx="326">
                  <c:v>1.614665060670585</c:v>
                </c:pt>
                <c:pt idx="327">
                  <c:v>1.5603269338329897</c:v>
                </c:pt>
                <c:pt idx="328">
                  <c:v>1.5062500553225224</c:v>
                </c:pt>
                <c:pt idx="329">
                  <c:v>1.4511462953333458</c:v>
                </c:pt>
                <c:pt idx="330">
                  <c:v>1.3963095186226662</c:v>
                </c:pt>
                <c:pt idx="331">
                  <c:v>1.3417363149443031</c:v>
                </c:pt>
                <c:pt idx="332">
                  <c:v>1.2874233328110307</c:v>
                </c:pt>
                <c:pt idx="333">
                  <c:v>1.2321969325855886</c:v>
                </c:pt>
                <c:pt idx="334">
                  <c:v>1.1772352803914874</c:v>
                </c:pt>
                <c:pt idx="335">
                  <c:v>1.1225349831625591</c:v>
                </c:pt>
                <c:pt idx="336">
                  <c:v>1.0680927061651113</c:v>
                </c:pt>
                <c:pt idx="337">
                  <c:v>1.0125802167614022</c:v>
                </c:pt>
                <c:pt idx="338">
                  <c:v>0.95733164640457391</c:v>
                </c:pt>
                <c:pt idx="339">
                  <c:v>0.90234359093388672</c:v>
                </c:pt>
                <c:pt idx="340">
                  <c:v>0.84761270474038863</c:v>
                </c:pt>
                <c:pt idx="341">
                  <c:v>0.79183550446755624</c:v>
                </c:pt>
                <c:pt idx="342">
                  <c:v>0.73632100863323047</c:v>
                </c:pt>
                <c:pt idx="343">
                  <c:v>0.68106580786980297</c:v>
                </c:pt>
                <c:pt idx="344">
                  <c:v>0.62606655144516865</c:v>
                </c:pt>
                <c:pt idx="345">
                  <c:v>0.57012888512967119</c:v>
                </c:pt>
                <c:pt idx="346">
                  <c:v>0.51445155584087066</c:v>
                </c:pt>
                <c:pt idx="347">
                  <c:v>0.45903116992070842</c:v>
                </c:pt>
                <c:pt idx="348">
                  <c:v>0.403864391951746</c:v>
                </c:pt>
                <c:pt idx="349">
                  <c:v>0.347611617824305</c:v>
                </c:pt>
                <c:pt idx="350">
                  <c:v>0.29161806967849957</c:v>
                </c:pt>
                <c:pt idx="351">
                  <c:v>0.23588034352479431</c:v>
                </c:pt>
                <c:pt idx="352">
                  <c:v>0.18039509381349961</c:v>
                </c:pt>
                <c:pt idx="353">
                  <c:v>0.12384689823434278</c:v>
                </c:pt>
                <c:pt idx="354">
                  <c:v>6.755642984397224E-2</c:v>
                </c:pt>
                <c:pt idx="355">
                  <c:v>1.1520280131038925E-2</c:v>
                </c:pt>
                <c:pt idx="356">
                  <c:v>-4.4264900909761859E-2</c:v>
                </c:pt>
                <c:pt idx="357">
                  <c:v>-0.10101051846938609</c:v>
                </c:pt>
                <c:pt idx="358">
                  <c:v>-0.15750099514522975</c:v>
                </c:pt>
                <c:pt idx="359">
                  <c:v>-0.21373972416042289</c:v>
                </c:pt>
                <c:pt idx="360">
                  <c:v>-0.26973004061744099</c:v>
                </c:pt>
                <c:pt idx="361">
                  <c:v>-0.32682024854304387</c:v>
                </c:pt>
                <c:pt idx="362">
                  <c:v>-0.38365678453242902</c:v>
                </c:pt>
                <c:pt idx="363">
                  <c:v>-0.44024305053762103</c:v>
                </c:pt>
                <c:pt idx="364">
                  <c:v>-0.49658239022750988</c:v>
                </c:pt>
                <c:pt idx="365">
                  <c:v>-0.55392191900923327</c:v>
                </c:pt>
                <c:pt idx="366">
                  <c:v>-0.6110103098769083</c:v>
                </c:pt>
                <c:pt idx="367">
                  <c:v>-0.66785095410594286</c:v>
                </c:pt>
                <c:pt idx="368">
                  <c:v>-0.72444718496680882</c:v>
                </c:pt>
                <c:pt idx="369">
                  <c:v>-0.78217753517782829</c:v>
                </c:pt>
                <c:pt idx="370">
                  <c:v>-0.83965827205407473</c:v>
                </c:pt>
                <c:pt idx="371">
                  <c:v>-0.89689279863480353</c:v>
                </c:pt>
                <c:pt idx="372">
                  <c:v>-0.95388445972014324</c:v>
                </c:pt>
                <c:pt idx="373">
                  <c:v>-1.0119133629809653</c:v>
                </c:pt>
                <c:pt idx="374">
                  <c:v>-1.0696952186055189</c:v>
                </c:pt>
                <c:pt idx="375">
                  <c:v>-1.1272334223996625</c:v>
                </c:pt>
                <c:pt idx="376">
                  <c:v>-1.184531312125344</c:v>
                </c:pt>
                <c:pt idx="377">
                  <c:v>-1.2429953727775693</c:v>
                </c:pt>
                <c:pt idx="378">
                  <c:v>-1.3012140429281986</c:v>
                </c:pt>
                <c:pt idx="379">
                  <c:v>-1.3591907321576067</c:v>
                </c:pt>
                <c:pt idx="380">
                  <c:v>-1.4169287917159372</c:v>
                </c:pt>
                <c:pt idx="381">
                  <c:v>-1.4756663537515236</c:v>
                </c:pt>
                <c:pt idx="382">
                  <c:v>-1.534161794333289</c:v>
                </c:pt>
                <c:pt idx="383">
                  <c:v>-1.5924185057075535</c:v>
                </c:pt>
                <c:pt idx="384">
                  <c:v>-1.6504398222058938</c:v>
                </c:pt>
                <c:pt idx="385">
                  <c:v>-1.7096582999613248</c:v>
                </c:pt>
                <c:pt idx="386">
                  <c:v>-1.76863647983563</c:v>
                </c:pt>
                <c:pt idx="387">
                  <c:v>-1.82737776947718</c:v>
                </c:pt>
                <c:pt idx="388">
                  <c:v>-1.885885518284377</c:v>
                </c:pt>
                <c:pt idx="389">
                  <c:v>-1.9454992414546157</c:v>
                </c:pt>
                <c:pt idx="390">
                  <c:v>-2.0048754791902468</c:v>
                </c:pt>
                <c:pt idx="391">
                  <c:v>-2.0640176363712555</c:v>
                </c:pt>
                <c:pt idx="392">
                  <c:v>-2.1229290596962263</c:v>
                </c:pt>
                <c:pt idx="393">
                  <c:v>-2.1829284144473475</c:v>
                </c:pt>
                <c:pt idx="394">
                  <c:v>-2.2426934505157985</c:v>
                </c:pt>
                <c:pt idx="395">
                  <c:v>-2.3022275649832293</c:v>
                </c:pt>
                <c:pt idx="396">
                  <c:v>-2.3615340969211682</c:v>
                </c:pt>
                <c:pt idx="397">
                  <c:v>-2.4220479333867755</c:v>
                </c:pt>
                <c:pt idx="398">
                  <c:v>-2.4823299133946368</c:v>
                </c:pt>
                <c:pt idx="399">
                  <c:v>-2.5423834443423243</c:v>
                </c:pt>
                <c:pt idx="400">
                  <c:v>-2.6022118753627814</c:v>
                </c:pt>
                <c:pt idx="401">
                  <c:v>-2.66316148591073</c:v>
                </c:pt>
                <c:pt idx="402">
                  <c:v>-2.7238826215849321</c:v>
                </c:pt>
                <c:pt idx="403">
                  <c:v>-2.7843786829050727</c:v>
                </c:pt>
                <c:pt idx="404">
                  <c:v>-2.8446530122445903</c:v>
                </c:pt>
                <c:pt idx="405">
                  <c:v>-2.9060983545039605</c:v>
                </c:pt>
                <c:pt idx="406">
                  <c:v>-2.9673184652023377</c:v>
                </c:pt>
                <c:pt idx="407">
                  <c:v>-3.028316743946184</c:v>
                </c:pt>
                <c:pt idx="408">
                  <c:v>-3.0890965321567379</c:v>
                </c:pt>
                <c:pt idx="409">
                  <c:v>-3.1510958738020305</c:v>
                </c:pt>
                <c:pt idx="410">
                  <c:v>-3.2128731368846024</c:v>
                </c:pt>
                <c:pt idx="411">
                  <c:v>-3.2744317253109805</c:v>
                </c:pt>
                <c:pt idx="412">
                  <c:v>-3.3357749846180185</c:v>
                </c:pt>
                <c:pt idx="413">
                  <c:v>-3.3983208765415003</c:v>
                </c:pt>
                <c:pt idx="414">
                  <c:v>-3.4606482445122766</c:v>
                </c:pt>
                <c:pt idx="415">
                  <c:v>-3.522760490803492</c:v>
                </c:pt>
                <c:pt idx="416">
                  <c:v>-3.5846609592370586</c:v>
                </c:pt>
                <c:pt idx="417">
                  <c:v>-3.6478117282395446</c:v>
                </c:pt>
                <c:pt idx="418">
                  <c:v>-3.7107474769508753</c:v>
                </c:pt>
                <c:pt idx="419">
                  <c:v>-3.7734716105024768</c:v>
                </c:pt>
                <c:pt idx="420">
                  <c:v>-3.8359874753513616</c:v>
                </c:pt>
                <c:pt idx="421">
                  <c:v>-3.8996751808956147</c:v>
                </c:pt>
                <c:pt idx="422">
                  <c:v>-3.9631521843966802</c:v>
                </c:pt>
                <c:pt idx="423">
                  <c:v>-4.0264218777153324</c:v>
                </c:pt>
                <c:pt idx="424">
                  <c:v>-4.0894875941385225</c:v>
                </c:pt>
                <c:pt idx="425">
                  <c:v>-4.1538969825403838</c:v>
                </c:pt>
                <c:pt idx="426">
                  <c:v>-4.2180991340851888</c:v>
                </c:pt>
                <c:pt idx="427">
                  <c:v>-4.2820974511885677</c:v>
                </c:pt>
                <c:pt idx="428">
                  <c:v>-4.3458952771905004</c:v>
                </c:pt>
                <c:pt idx="429">
                  <c:v>-4.4109598944829038</c:v>
                </c:pt>
                <c:pt idx="430">
                  <c:v>-4.4758215649750674</c:v>
                </c:pt>
                <c:pt idx="431">
                  <c:v>-4.5404836849398649</c:v>
                </c:pt>
                <c:pt idx="432">
                  <c:v>-4.6049495913919873</c:v>
                </c:pt>
                <c:pt idx="433">
                  <c:v>-4.6706687706072412</c:v>
                </c:pt>
                <c:pt idx="434">
                  <c:v>-4.7361896659293263</c:v>
                </c:pt>
                <c:pt idx="435">
                  <c:v>-4.8015156611075103</c:v>
                </c:pt>
                <c:pt idx="436">
                  <c:v>-4.8666500805238835</c:v>
                </c:pt>
                <c:pt idx="437">
                  <c:v>-4.9331445112446719</c:v>
                </c:pt>
                <c:pt idx="438">
                  <c:v>-4.9994449772043756</c:v>
                </c:pt>
                <c:pt idx="439">
                  <c:v>-5.0655548613742951</c:v>
                </c:pt>
                <c:pt idx="440">
                  <c:v>-5.1314774868873574</c:v>
                </c:pt>
                <c:pt idx="441">
                  <c:v>-5.1987468677392918</c:v>
                </c:pt>
                <c:pt idx="442">
                  <c:v>-5.2658270094815194</c:v>
                </c:pt>
                <c:pt idx="443">
                  <c:v>-5.3327212867345777</c:v>
                </c:pt>
                <c:pt idx="444">
                  <c:v>-5.3994330138835034</c:v>
                </c:pt>
                <c:pt idx="445">
                  <c:v>-5.4674794586915851</c:v>
                </c:pt>
                <c:pt idx="446">
                  <c:v>-5.5353417648810481</c:v>
                </c:pt>
                <c:pt idx="447">
                  <c:v>-5.6030232911798796</c:v>
                </c:pt>
                <c:pt idx="448">
                  <c:v>-5.6705273357452768</c:v>
                </c:pt>
                <c:pt idx="449">
                  <c:v>-5.7394704771059013</c:v>
                </c:pt>
                <c:pt idx="450">
                  <c:v>-5.808234328241598</c:v>
                </c:pt>
                <c:pt idx="451">
                  <c:v>-5.8768222410927624</c:v>
                </c:pt>
                <c:pt idx="452">
                  <c:v>-5.9452375063386338</c:v>
                </c:pt>
                <c:pt idx="453">
                  <c:v>-6.0150233787108967</c:v>
                </c:pt>
                <c:pt idx="454">
                  <c:v>-6.0846354828382543</c:v>
                </c:pt>
                <c:pt idx="455">
                  <c:v>-6.1540771468203612</c:v>
                </c:pt>
                <c:pt idx="456">
                  <c:v>-6.2233516370643214</c:v>
                </c:pt>
                <c:pt idx="457">
                  <c:v>-6.2941002960638865</c:v>
                </c:pt>
                <c:pt idx="458">
                  <c:v>-6.3646804876172389</c:v>
                </c:pt>
                <c:pt idx="459">
                  <c:v>-6.4350955233275045</c:v>
                </c:pt>
                <c:pt idx="460">
                  <c:v>-6.5053486523174033</c:v>
                </c:pt>
                <c:pt idx="461">
                  <c:v>-6.5770660956908049</c:v>
                </c:pt>
                <c:pt idx="462">
                  <c:v>-6.6486207257383203</c:v>
                </c:pt>
                <c:pt idx="463">
                  <c:v>-6.7200158276854527</c:v>
                </c:pt>
                <c:pt idx="464">
                  <c:v>-6.791254623536175</c:v>
                </c:pt>
                <c:pt idx="465">
                  <c:v>-6.8640045316690728</c:v>
                </c:pt>
                <c:pt idx="466">
                  <c:v>-6.9365973521616908</c:v>
                </c:pt>
                <c:pt idx="467">
                  <c:v>-7.009036341167346</c:v>
                </c:pt>
                <c:pt idx="468">
                  <c:v>-7.081324690720999</c:v>
                </c:pt>
                <c:pt idx="469">
                  <c:v>-7.1551159068726502</c:v>
                </c:pt>
                <c:pt idx="470">
                  <c:v>-7.2287560612318948</c:v>
                </c:pt>
                <c:pt idx="471">
                  <c:v>-7.302248369878602</c:v>
                </c:pt>
                <c:pt idx="472">
                  <c:v>-7.3755959839163818</c:v>
                </c:pt>
                <c:pt idx="473">
                  <c:v>-7.4505484877073647</c:v>
                </c:pt>
                <c:pt idx="474">
                  <c:v>-7.5253557858200217</c:v>
                </c:pt>
                <c:pt idx="475">
                  <c:v>-7.6000210567351756</c:v>
                </c:pt>
                <c:pt idx="476">
                  <c:v>-7.6745474127523661</c:v>
                </c:pt>
                <c:pt idx="477">
                  <c:v>-7.7506713590661569</c:v>
                </c:pt>
                <c:pt idx="478">
                  <c:v>-7.8266562222963785</c:v>
                </c:pt>
                <c:pt idx="479">
                  <c:v>-7.9025051303175333</c:v>
                </c:pt>
                <c:pt idx="480">
                  <c:v>-7.9782211436633768</c:v>
                </c:pt>
                <c:pt idx="481">
                  <c:v>-8.0555285262346246</c:v>
                </c:pt>
                <c:pt idx="482">
                  <c:v>-8.1327031530886327</c:v>
                </c:pt>
                <c:pt idx="483">
                  <c:v>-8.2097480881527982</c:v>
                </c:pt>
                <c:pt idx="484">
                  <c:v>-8.286666326901555</c:v>
                </c:pt>
                <c:pt idx="485">
                  <c:v>-8.3652241410400876</c:v>
                </c:pt>
                <c:pt idx="486">
                  <c:v>-8.4436554963338573</c:v>
                </c:pt>
                <c:pt idx="487">
                  <c:v>-8.5219633851501513</c:v>
                </c:pt>
                <c:pt idx="488">
                  <c:v>-8.6001507301563347</c:v>
                </c:pt>
                <c:pt idx="489">
                  <c:v>-8.6800790398766985</c:v>
                </c:pt>
                <c:pt idx="490">
                  <c:v>-8.7598869749452373</c:v>
                </c:pt>
                <c:pt idx="491">
                  <c:v>-8.8395774529300972</c:v>
                </c:pt>
                <c:pt idx="492">
                  <c:v>-8.9191533201470747</c:v>
                </c:pt>
                <c:pt idx="493">
                  <c:v>-9.0004652727390724</c:v>
                </c:pt>
                <c:pt idx="494">
                  <c:v>-9.0816630251785817</c:v>
                </c:pt>
                <c:pt idx="495">
                  <c:v>-9.1627494036310733</c:v>
                </c:pt>
                <c:pt idx="496">
                  <c:v>-9.2437271615527727</c:v>
                </c:pt>
                <c:pt idx="497">
                  <c:v>-9.3264894726367054</c:v>
                </c:pt>
                <c:pt idx="498">
                  <c:v>-9.4091436293982582</c:v>
                </c:pt>
                <c:pt idx="499">
                  <c:v>-9.4916923548721108</c:v>
                </c:pt>
                <c:pt idx="500">
                  <c:v>-9.5741382978585889</c:v>
                </c:pt>
                <c:pt idx="501">
                  <c:v>-9.6584173212755839</c:v>
                </c:pt>
                <c:pt idx="502">
                  <c:v>-9.7425940584128785</c:v>
                </c:pt>
                <c:pt idx="503">
                  <c:v>-9.8266711161321769</c:v>
                </c:pt>
                <c:pt idx="504">
                  <c:v>-9.9106510255024087</c:v>
                </c:pt>
                <c:pt idx="505">
                  <c:v>-9.9964605556211037</c:v>
                </c:pt>
                <c:pt idx="506">
                  <c:v>-10.082173547525052</c:v>
                </c:pt>
                <c:pt idx="507">
                  <c:v>-10.167792473198178</c:v>
                </c:pt>
                <c:pt idx="508">
                  <c:v>-10.253319727468288</c:v>
                </c:pt>
                <c:pt idx="509">
                  <c:v>-10.340725448160393</c:v>
                </c:pt>
                <c:pt idx="510">
                  <c:v>-10.428040053245201</c:v>
                </c:pt>
                <c:pt idx="511">
                  <c:v>-10.515265865359121</c:v>
                </c:pt>
                <c:pt idx="512">
                  <c:v>-10.602405128674327</c:v>
                </c:pt>
                <c:pt idx="513">
                  <c:v>-10.691523138256482</c:v>
                </c:pt>
                <c:pt idx="514">
                  <c:v>-10.780554959953017</c:v>
                </c:pt>
                <c:pt idx="515">
                  <c:v>-10.869502755359887</c:v>
                </c:pt>
                <c:pt idx="516">
                  <c:v>-10.958368606232058</c:v>
                </c:pt>
                <c:pt idx="517">
                  <c:v>-11.049210003791776</c:v>
                </c:pt>
                <c:pt idx="518">
                  <c:v>-11.139969776669719</c:v>
                </c:pt>
                <c:pt idx="519">
                  <c:v>-11.230649905096437</c:v>
                </c:pt>
                <c:pt idx="520">
                  <c:v>-11.321252288454986</c:v>
                </c:pt>
                <c:pt idx="521">
                  <c:v>-11.413878360444738</c:v>
                </c:pt>
                <c:pt idx="522">
                  <c:v>-11.506426808633597</c:v>
                </c:pt>
                <c:pt idx="523">
                  <c:v>-11.598899415394268</c:v>
                </c:pt>
                <c:pt idx="524">
                  <c:v>-11.691297881503484</c:v>
                </c:pt>
                <c:pt idx="525">
                  <c:v>-11.785767718387746</c:v>
                </c:pt>
                <c:pt idx="526">
                  <c:v>-11.880163278553809</c:v>
                </c:pt>
                <c:pt idx="527">
                  <c:v>-11.974486129929398</c:v>
                </c:pt>
                <c:pt idx="528">
                  <c:v>-12.068737758438431</c:v>
                </c:pt>
                <c:pt idx="529">
                  <c:v>-12.165107841120955</c:v>
                </c:pt>
                <c:pt idx="530">
                  <c:v>-12.261406244205585</c:v>
                </c:pt>
                <c:pt idx="531">
                  <c:v>-12.357634304868714</c:v>
                </c:pt>
                <c:pt idx="532">
                  <c:v>-12.453793278304168</c:v>
                </c:pt>
                <c:pt idx="533">
                  <c:v>-12.552167779045334</c:v>
                </c:pt>
                <c:pt idx="534">
                  <c:v>-12.650472276374396</c:v>
                </c:pt>
                <c:pt idx="535">
                  <c:v>-12.748707862741671</c:v>
                </c:pt>
                <c:pt idx="536">
                  <c:v>-12.846875548990704</c:v>
                </c:pt>
                <c:pt idx="537">
                  <c:v>-12.94720275664571</c:v>
                </c:pt>
                <c:pt idx="538">
                  <c:v>-13.047460832152352</c:v>
                </c:pt>
                <c:pt idx="539">
                  <c:v>-13.147650605386339</c:v>
                </c:pt>
                <c:pt idx="540">
                  <c:v>-13.24777282594215</c:v>
                </c:pt>
                <c:pt idx="541">
                  <c:v>-13.35020001293039</c:v>
                </c:pt>
                <c:pt idx="542">
                  <c:v>-13.452557746920847</c:v>
                </c:pt>
                <c:pt idx="543">
                  <c:v>-13.554846585013088</c:v>
                </c:pt>
                <c:pt idx="544">
                  <c:v>-13.657067005730374</c:v>
                </c:pt>
                <c:pt idx="545">
                  <c:v>-13.761584878738947</c:v>
                </c:pt>
                <c:pt idx="546">
                  <c:v>-13.866031899694867</c:v>
                </c:pt>
                <c:pt idx="547">
                  <c:v>-13.970408340998501</c:v>
                </c:pt>
                <c:pt idx="548">
                  <c:v>-14.074714399129643</c:v>
                </c:pt>
                <c:pt idx="549">
                  <c:v>-14.181359442903773</c:v>
                </c:pt>
                <c:pt idx="550">
                  <c:v>-14.287930994589646</c:v>
                </c:pt>
                <c:pt idx="551">
                  <c:v>-14.394429034026645</c:v>
                </c:pt>
                <c:pt idx="552">
                  <c:v>-14.500853468646959</c:v>
                </c:pt>
                <c:pt idx="553">
                  <c:v>-14.60970679245214</c:v>
                </c:pt>
                <c:pt idx="554">
                  <c:v>-14.718482587933124</c:v>
                </c:pt>
                <c:pt idx="555">
                  <c:v>-14.827180537216162</c:v>
                </c:pt>
                <c:pt idx="556">
                  <c:v>-14.935800254324104</c:v>
                </c:pt>
                <c:pt idx="557">
                  <c:v>-15.157889995415605</c:v>
                </c:pt>
                <c:pt idx="558">
                  <c:v>-15.379645321726212</c:v>
                </c:pt>
                <c:pt idx="559">
                  <c:v>-15.606131654857849</c:v>
                </c:pt>
                <c:pt idx="560">
                  <c:v>-15.83225505832846</c:v>
                </c:pt>
                <c:pt idx="561">
                  <c:v>-16.063359155206292</c:v>
                </c:pt>
                <c:pt idx="562">
                  <c:v>-16.294065113773712</c:v>
                </c:pt>
                <c:pt idx="563">
                  <c:v>-16.529300170543554</c:v>
                </c:pt>
                <c:pt idx="564">
                  <c:v>-16.764097519901537</c:v>
                </c:pt>
                <c:pt idx="565">
                  <c:v>-17.004346862737528</c:v>
                </c:pt>
                <c:pt idx="566">
                  <c:v>-17.2441093810083</c:v>
                </c:pt>
                <c:pt idx="567">
                  <c:v>-17.489247746271037</c:v>
                </c:pt>
                <c:pt idx="568">
                  <c:v>-17.733844062693287</c:v>
                </c:pt>
                <c:pt idx="569">
                  <c:v>-17.982757017061047</c:v>
                </c:pt>
                <c:pt idx="570">
                  <c:v>-18.231071556754877</c:v>
                </c:pt>
                <c:pt idx="571">
                  <c:v>-18.485560653378869</c:v>
                </c:pt>
                <c:pt idx="572">
                  <c:v>-18.739379967552402</c:v>
                </c:pt>
                <c:pt idx="573">
                  <c:v>-18.997334041867099</c:v>
                </c:pt>
                <c:pt idx="574">
                  <c:v>-19.254552010132652</c:v>
                </c:pt>
                <c:pt idx="575">
                  <c:v>-19.517726979251467</c:v>
                </c:pt>
                <c:pt idx="576">
                  <c:v>-19.780083797629651</c:v>
                </c:pt>
                <c:pt idx="577">
                  <c:v>-20.881246390791585</c:v>
                </c:pt>
                <c:pt idx="578">
                  <c:v>-21.965861630060537</c:v>
                </c:pt>
                <c:pt idx="579">
                  <c:v>-24.278719455287753</c:v>
                </c:pt>
                <c:pt idx="580">
                  <c:v>-26.707299239470341</c:v>
                </c:pt>
                <c:pt idx="581">
                  <c:v>-29.230456536178309</c:v>
                </c:pt>
                <c:pt idx="582">
                  <c:v>-31.831261940254286</c:v>
                </c:pt>
                <c:pt idx="583">
                  <c:v>-34.489832865623306</c:v>
                </c:pt>
                <c:pt idx="584">
                  <c:v>-37.191656225994961</c:v>
                </c:pt>
                <c:pt idx="585">
                  <c:v>-39.920565827027893</c:v>
                </c:pt>
                <c:pt idx="586">
                  <c:v>-42.664353775638403</c:v>
                </c:pt>
                <c:pt idx="587">
                  <c:v>-45.413892794838333</c:v>
                </c:pt>
                <c:pt idx="588">
                  <c:v>-48.157855222803299</c:v>
                </c:pt>
                <c:pt idx="589">
                  <c:v>-50.891503803016576</c:v>
                </c:pt>
                <c:pt idx="590">
                  <c:v>-53.608470557841557</c:v>
                </c:pt>
                <c:pt idx="591">
                  <c:v>-56.305131406414716</c:v>
                </c:pt>
                <c:pt idx="592">
                  <c:v>-58.978576161551793</c:v>
                </c:pt>
                <c:pt idx="593">
                  <c:v>-61.628197707574877</c:v>
                </c:pt>
                <c:pt idx="594">
                  <c:v>-64.252872693296638</c:v>
                </c:pt>
                <c:pt idx="595">
                  <c:v>-66.85350669272762</c:v>
                </c:pt>
                <c:pt idx="596">
                  <c:v>-69.430561787742832</c:v>
                </c:pt>
                <c:pt idx="597">
                  <c:v>-71.986019575387616</c:v>
                </c:pt>
                <c:pt idx="598">
                  <c:v>-74.520964214316507</c:v>
                </c:pt>
                <c:pt idx="599">
                  <c:v>-77.037910345774748</c:v>
                </c:pt>
                <c:pt idx="600">
                  <c:v>-79.53838203945763</c:v>
                </c:pt>
              </c:numCache>
            </c:numRef>
          </c:yVal>
          <c:smooth val="1"/>
          <c:extLst>
            <c:ext xmlns:c16="http://schemas.microsoft.com/office/drawing/2014/chart" uri="{C3380CC4-5D6E-409C-BE32-E72D297353CC}">
              <c16:uniqueId val="{00000002-4B49-4ADE-B8CD-DD5F374AD671}"/>
            </c:ext>
          </c:extLst>
        </c:ser>
        <c:ser>
          <c:idx val="6"/>
          <c:order val="2"/>
          <c:tx>
            <c:v>FZCOMP</c:v>
          </c:tx>
          <c:spPr>
            <a:ln w="28575">
              <a:noFill/>
            </a:ln>
          </c:spPr>
          <c:marker>
            <c:symbol val="circle"/>
            <c:size val="8"/>
            <c:spPr>
              <a:noFill/>
              <a:ln w="19050">
                <a:solidFill>
                  <a:srgbClr val="000000"/>
                </a:solidFill>
                <a:prstDash val="solid"/>
              </a:ln>
            </c:spPr>
          </c:marker>
          <c:dLbls>
            <c:dLbl>
              <c:idx val="0"/>
              <c:layout>
                <c:manualLayout>
                  <c:x val="-1.771840147036232E-2"/>
                  <c:y val="-3.7917270685628536E-2"/>
                </c:manualLayout>
              </c:layout>
              <c:tx>
                <c:rich>
                  <a:bodyPr/>
                  <a:lstStyle/>
                  <a:p>
                    <a:r>
                      <a:rPr lang="en-US"/>
                      <a:t>F</a:t>
                    </a:r>
                    <a:r>
                      <a:rPr lang="en-US" baseline="-25000"/>
                      <a:t>ZCOMP</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4B49-4ADE-B8CD-DD5F374AD671}"/>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Calculations'!$C$635</c:f>
              <c:numCache>
                <c:formatCode>0.00</c:formatCode>
                <c:ptCount val="1"/>
                <c:pt idx="0">
                  <c:v>2679.3761493898373</c:v>
                </c:pt>
              </c:numCache>
            </c:numRef>
          </c:xVal>
          <c:yVal>
            <c:numRef>
              <c:f>'Stability Calculations'!$D$635</c:f>
              <c:numCache>
                <c:formatCode>0.00</c:formatCode>
                <c:ptCount val="1"/>
                <c:pt idx="0">
                  <c:v>22.116058866941838</c:v>
                </c:pt>
              </c:numCache>
            </c:numRef>
          </c:yVal>
          <c:smooth val="1"/>
          <c:extLst>
            <c:ext xmlns:c16="http://schemas.microsoft.com/office/drawing/2014/chart" uri="{C3380CC4-5D6E-409C-BE32-E72D297353CC}">
              <c16:uniqueId val="{00000004-4B49-4ADE-B8CD-DD5F374AD671}"/>
            </c:ext>
          </c:extLst>
        </c:ser>
        <c:ser>
          <c:idx val="8"/>
          <c:order val="3"/>
          <c:tx>
            <c:v>FpEA</c:v>
          </c:tx>
          <c:spPr>
            <a:ln w="28575">
              <a:noFill/>
            </a:ln>
          </c:spPr>
          <c:marker>
            <c:symbol val="x"/>
            <c:size val="8"/>
            <c:spPr>
              <a:noFill/>
              <a:ln w="22225">
                <a:solidFill>
                  <a:srgbClr val="000000"/>
                </a:solidFill>
                <a:prstDash val="solid"/>
              </a:ln>
            </c:spPr>
          </c:marker>
          <c:dLbls>
            <c:dLbl>
              <c:idx val="0"/>
              <c:layout>
                <c:manualLayout>
                  <c:x val="-2.9316756823388307E-3"/>
                  <c:y val="-1.5965166604475167E-2"/>
                </c:manualLayout>
              </c:layout>
              <c:tx>
                <c:rich>
                  <a:bodyPr/>
                  <a:lstStyle/>
                  <a:p>
                    <a:r>
                      <a:rPr lang="en-US">
                        <a:solidFill>
                          <a:srgbClr val="0000FF"/>
                        </a:solidFill>
                      </a:rPr>
                      <a:t>F</a:t>
                    </a:r>
                    <a:r>
                      <a:rPr lang="en-US" baseline="-25000">
                        <a:solidFill>
                          <a:srgbClr val="0000FF"/>
                        </a:solidFill>
                      </a:rPr>
                      <a:t>PEA</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4B49-4ADE-B8CD-DD5F374AD671}"/>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Calculations'!$C$5</c:f>
              <c:numCache>
                <c:formatCode>0.000</c:formatCode>
                <c:ptCount val="1"/>
                <c:pt idx="0">
                  <c:v>0.75336265876811326</c:v>
                </c:pt>
              </c:numCache>
            </c:numRef>
          </c:xVal>
          <c:yVal>
            <c:numRef>
              <c:f>'Stability Calculations'!$Q$624</c:f>
              <c:numCache>
                <c:formatCode>0.00</c:formatCode>
                <c:ptCount val="1"/>
                <c:pt idx="0">
                  <c:v>90.831099613331702</c:v>
                </c:pt>
              </c:numCache>
            </c:numRef>
          </c:yVal>
          <c:smooth val="1"/>
          <c:extLst>
            <c:ext xmlns:c16="http://schemas.microsoft.com/office/drawing/2014/chart" uri="{C3380CC4-5D6E-409C-BE32-E72D297353CC}">
              <c16:uniqueId val="{00000006-4B49-4ADE-B8CD-DD5F374AD671}"/>
            </c:ext>
          </c:extLst>
        </c:ser>
        <c:ser>
          <c:idx val="9"/>
          <c:order val="4"/>
          <c:tx>
            <c:v>FpLOAD</c:v>
          </c:tx>
          <c:spPr>
            <a:ln w="28575">
              <a:solidFill>
                <a:schemeClr val="tx1"/>
              </a:solidFill>
            </a:ln>
          </c:spPr>
          <c:marker>
            <c:symbol val="x"/>
            <c:size val="8"/>
            <c:spPr>
              <a:noFill/>
              <a:ln w="22225">
                <a:solidFill>
                  <a:schemeClr val="tx1"/>
                </a:solidFill>
              </a:ln>
            </c:spPr>
          </c:marker>
          <c:dLbls>
            <c:dLbl>
              <c:idx val="0"/>
              <c:tx>
                <c:rich>
                  <a:bodyPr/>
                  <a:lstStyle/>
                  <a:p>
                    <a:r>
                      <a:rPr lang="en-US">
                        <a:solidFill>
                          <a:schemeClr val="tx1"/>
                        </a:solidFill>
                      </a:rPr>
                      <a:t>F</a:t>
                    </a:r>
                    <a:r>
                      <a:rPr lang="en-US" baseline="-25000">
                        <a:solidFill>
                          <a:schemeClr val="tx1"/>
                        </a:solidFill>
                      </a:rPr>
                      <a:t>PLOAD</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4B49-4ADE-B8CD-DD5F374AD671}"/>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Calculations'!$K$4</c:f>
              <c:numCache>
                <c:formatCode>0</c:formatCode>
                <c:ptCount val="1"/>
                <c:pt idx="0">
                  <c:v>2305.9361495490862</c:v>
                </c:pt>
              </c:numCache>
            </c:numRef>
          </c:xVal>
          <c:yVal>
            <c:numRef>
              <c:f>'Stability Calculations'!$D$632</c:f>
              <c:numCache>
                <c:formatCode>0.00</c:formatCode>
                <c:ptCount val="1"/>
                <c:pt idx="0">
                  <c:v>23.518339843519698</c:v>
                </c:pt>
              </c:numCache>
            </c:numRef>
          </c:yVal>
          <c:smooth val="1"/>
          <c:extLst>
            <c:ext xmlns:c16="http://schemas.microsoft.com/office/drawing/2014/chart" uri="{C3380CC4-5D6E-409C-BE32-E72D297353CC}">
              <c16:uniqueId val="{00000008-4B49-4ADE-B8CD-DD5F374AD671}"/>
            </c:ext>
          </c:extLst>
        </c:ser>
        <c:ser>
          <c:idx val="4"/>
          <c:order val="6"/>
          <c:tx>
            <c:v>FZESR</c:v>
          </c:tx>
          <c:spPr>
            <a:ln w="28575">
              <a:noFill/>
            </a:ln>
          </c:spPr>
          <c:marker>
            <c:symbol val="circle"/>
            <c:size val="8"/>
            <c:spPr>
              <a:noFill/>
              <a:ln w="19050">
                <a:solidFill>
                  <a:srgbClr val="000000"/>
                </a:solidFill>
                <a:prstDash val="solid"/>
              </a:ln>
            </c:spPr>
          </c:marker>
          <c:dLbls>
            <c:dLbl>
              <c:idx val="0"/>
              <c:layout>
                <c:manualLayout>
                  <c:x val="-3.9306499421109475E-2"/>
                  <c:y val="3.9912923770191157E-2"/>
                </c:manualLayout>
              </c:layout>
              <c:tx>
                <c:rich>
                  <a:bodyPr/>
                  <a:lstStyle/>
                  <a:p>
                    <a:r>
                      <a:rPr lang="en-US" b="1"/>
                      <a:t>F</a:t>
                    </a:r>
                    <a:r>
                      <a:rPr lang="en-US" b="1" baseline="-25000"/>
                      <a:t>ZESR</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B49-4ADE-B8CD-DD5F374AD671}"/>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Calculations'!$A$623</c:f>
              <c:numCache>
                <c:formatCode>0</c:formatCode>
                <c:ptCount val="1"/>
                <c:pt idx="0">
                  <c:v>390085.64527881466</c:v>
                </c:pt>
              </c:numCache>
            </c:numRef>
          </c:xVal>
          <c:yVal>
            <c:numRef>
              <c:f>'Stability Calculations'!$Q$623</c:f>
              <c:numCache>
                <c:formatCode>0.00</c:formatCode>
                <c:ptCount val="1"/>
                <c:pt idx="0">
                  <c:v>-53.009457221176852</c:v>
                </c:pt>
              </c:numCache>
            </c:numRef>
          </c:yVal>
          <c:smooth val="1"/>
          <c:extLst>
            <c:ext xmlns:c16="http://schemas.microsoft.com/office/drawing/2014/chart" uri="{C3380CC4-5D6E-409C-BE32-E72D297353CC}">
              <c16:uniqueId val="{0000000A-4B49-4ADE-B8CD-DD5F374AD671}"/>
            </c:ext>
          </c:extLst>
        </c:ser>
        <c:dLbls>
          <c:showLegendKey val="0"/>
          <c:showVal val="0"/>
          <c:showCatName val="0"/>
          <c:showSerName val="0"/>
          <c:showPercent val="0"/>
          <c:showBubbleSize val="0"/>
        </c:dLbls>
        <c:axId val="165647872"/>
        <c:axId val="165649792"/>
      </c:scatterChart>
      <c:scatterChart>
        <c:scatterStyle val="lineMarker"/>
        <c:varyColors val="0"/>
        <c:ser>
          <c:idx val="3"/>
          <c:order val="1"/>
          <c:tx>
            <c:v>Loop Phase</c:v>
          </c:tx>
          <c:spPr>
            <a:ln w="34925">
              <a:solidFill>
                <a:srgbClr val="002060"/>
              </a:solidFill>
              <a:prstDash val="sysDash"/>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Calculations'!$R$13:$R$613</c:f>
              <c:numCache>
                <c:formatCode>0.00</c:formatCode>
                <c:ptCount val="601"/>
                <c:pt idx="0">
                  <c:v>-53.011704004845456</c:v>
                </c:pt>
                <c:pt idx="1">
                  <c:v>-55.51371428594107</c:v>
                </c:pt>
                <c:pt idx="2">
                  <c:v>-57.934352992481216</c:v>
                </c:pt>
                <c:pt idx="3">
                  <c:v>-60.259741843726154</c:v>
                </c:pt>
                <c:pt idx="4">
                  <c:v>-62.477651758510042</c:v>
                </c:pt>
                <c:pt idx="5">
                  <c:v>-64.583962334696295</c:v>
                </c:pt>
                <c:pt idx="6">
                  <c:v>-66.570719910156157</c:v>
                </c:pt>
                <c:pt idx="7">
                  <c:v>-68.437004161242271</c:v>
                </c:pt>
                <c:pt idx="8">
                  <c:v>-70.181479358469929</c:v>
                </c:pt>
                <c:pt idx="9">
                  <c:v>-71.80733338653296</c:v>
                </c:pt>
                <c:pt idx="10">
                  <c:v>-73.316923464036989</c:v>
                </c:pt>
                <c:pt idx="11">
                  <c:v>-74.714928393196573</c:v>
                </c:pt>
                <c:pt idx="12">
                  <c:v>-76.007218156629506</c:v>
                </c:pt>
                <c:pt idx="13">
                  <c:v>-77.198255982381554</c:v>
                </c:pt>
                <c:pt idx="14">
                  <c:v>-78.295005436117805</c:v>
                </c:pt>
                <c:pt idx="15">
                  <c:v>-79.303101241187136</c:v>
                </c:pt>
                <c:pt idx="16">
                  <c:v>-80.228691532040642</c:v>
                </c:pt>
                <c:pt idx="17">
                  <c:v>-81.077582434765858</c:v>
                </c:pt>
                <c:pt idx="18">
                  <c:v>-81.855733515648723</c:v>
                </c:pt>
                <c:pt idx="19">
                  <c:v>-82.568388732621798</c:v>
                </c:pt>
                <c:pt idx="20">
                  <c:v>-83.220862595569955</c:v>
                </c:pt>
                <c:pt idx="21">
                  <c:v>-83.817888346279716</c:v>
                </c:pt>
                <c:pt idx="22">
                  <c:v>-84.364147737606672</c:v>
                </c:pt>
                <c:pt idx="23">
                  <c:v>-84.863751471970403</c:v>
                </c:pt>
                <c:pt idx="24">
                  <c:v>-85.320769952630414</c:v>
                </c:pt>
                <c:pt idx="25">
                  <c:v>-85.738778194158584</c:v>
                </c:pt>
                <c:pt idx="26">
                  <c:v>-86.121239700073943</c:v>
                </c:pt>
                <c:pt idx="27">
                  <c:v>-86.471142894162</c:v>
                </c:pt>
                <c:pt idx="28">
                  <c:v>-86.791380543894491</c:v>
                </c:pt>
                <c:pt idx="29">
                  <c:v>-87.084426644327607</c:v>
                </c:pt>
                <c:pt idx="30">
                  <c:v>-87.35319559875775</c:v>
                </c:pt>
                <c:pt idx="31">
                  <c:v>-87.599526073391246</c:v>
                </c:pt>
                <c:pt idx="32">
                  <c:v>-87.825647541089509</c:v>
                </c:pt>
                <c:pt idx="33">
                  <c:v>-88.033296446614941</c:v>
                </c:pt>
                <c:pt idx="34">
                  <c:v>-88.224379169047765</c:v>
                </c:pt>
                <c:pt idx="35">
                  <c:v>-88.400391928650137</c:v>
                </c:pt>
                <c:pt idx="36">
                  <c:v>-88.56285062032785</c:v>
                </c:pt>
                <c:pt idx="37">
                  <c:v>-88.713205684712051</c:v>
                </c:pt>
                <c:pt idx="38">
                  <c:v>-88.852583241517067</c:v>
                </c:pt>
                <c:pt idx="39">
                  <c:v>-88.982276606059386</c:v>
                </c:pt>
                <c:pt idx="40">
                  <c:v>-89.103329753153858</c:v>
                </c:pt>
                <c:pt idx="41">
                  <c:v>-89.216777975675669</c:v>
                </c:pt>
                <c:pt idx="42">
                  <c:v>-89.323566818281037</c:v>
                </c:pt>
                <c:pt idx="43">
                  <c:v>-89.424631265688859</c:v>
                </c:pt>
                <c:pt idx="44">
                  <c:v>-89.520799176412581</c:v>
                </c:pt>
                <c:pt idx="45">
                  <c:v>-89.612903797784895</c:v>
                </c:pt>
                <c:pt idx="46">
                  <c:v>-89.701705379493589</c:v>
                </c:pt>
                <c:pt idx="47">
                  <c:v>-89.787973422731881</c:v>
                </c:pt>
                <c:pt idx="48">
                  <c:v>-89.872414644530934</c:v>
                </c:pt>
                <c:pt idx="49">
                  <c:v>-89.955762036822819</c:v>
                </c:pt>
                <c:pt idx="50">
                  <c:v>-90.03870301088169</c:v>
                </c:pt>
                <c:pt idx="51">
                  <c:v>-90.121951909598238</c:v>
                </c:pt>
                <c:pt idx="52">
                  <c:v>-90.206176934210887</c:v>
                </c:pt>
                <c:pt idx="53">
                  <c:v>-90.292080176942662</c:v>
                </c:pt>
                <c:pt idx="54">
                  <c:v>-90.380313715984911</c:v>
                </c:pt>
                <c:pt idx="55">
                  <c:v>-90.471749754474033</c:v>
                </c:pt>
                <c:pt idx="56">
                  <c:v>-90.567002844324406</c:v>
                </c:pt>
                <c:pt idx="57">
                  <c:v>-90.666898095281198</c:v>
                </c:pt>
                <c:pt idx="58">
                  <c:v>-90.772148117160683</c:v>
                </c:pt>
                <c:pt idx="59">
                  <c:v>-90.883644700216124</c:v>
                </c:pt>
                <c:pt idx="60">
                  <c:v>-91.002164495521299</c:v>
                </c:pt>
                <c:pt idx="61">
                  <c:v>-91.128587264522153</c:v>
                </c:pt>
                <c:pt idx="62">
                  <c:v>-91.263875174496548</c:v>
                </c:pt>
                <c:pt idx="63">
                  <c:v>-91.408806921096968</c:v>
                </c:pt>
                <c:pt idx="64">
                  <c:v>-91.564415336201947</c:v>
                </c:pt>
                <c:pt idx="65">
                  <c:v>-91.731561987559076</c:v>
                </c:pt>
                <c:pt idx="66">
                  <c:v>-91.911157033805821</c:v>
                </c:pt>
                <c:pt idx="67">
                  <c:v>-92.104026186128408</c:v>
                </c:pt>
                <c:pt idx="68">
                  <c:v>-92.311004102888646</c:v>
                </c:pt>
                <c:pt idx="69">
                  <c:v>-92.53269860183778</c:v>
                </c:pt>
                <c:pt idx="70">
                  <c:v>-92.769650976012741</c:v>
                </c:pt>
                <c:pt idx="71">
                  <c:v>-93.022086240051266</c:v>
                </c:pt>
                <c:pt idx="72">
                  <c:v>-93.290041433195427</c:v>
                </c:pt>
                <c:pt idx="73">
                  <c:v>-93.573069780868991</c:v>
                </c:pt>
                <c:pt idx="74">
                  <c:v>-93.870427361974123</c:v>
                </c:pt>
                <c:pt idx="75">
                  <c:v>-94.180753808552865</c:v>
                </c:pt>
                <c:pt idx="76">
                  <c:v>-94.502261519122854</c:v>
                </c:pt>
                <c:pt idx="77">
                  <c:v>-94.832428416917722</c:v>
                </c:pt>
                <c:pt idx="78">
                  <c:v>-95.168325200462718</c:v>
                </c:pt>
                <c:pt idx="79">
                  <c:v>-95.506388541072866</c:v>
                </c:pt>
                <c:pt idx="80">
                  <c:v>-95.843610311898715</c:v>
                </c:pt>
                <c:pt idx="81">
                  <c:v>-96.175973926661612</c:v>
                </c:pt>
                <c:pt idx="82">
                  <c:v>-96.5005294827493</c:v>
                </c:pt>
                <c:pt idx="83">
                  <c:v>-96.814617477955778</c:v>
                </c:pt>
                <c:pt idx="84">
                  <c:v>-97.117166781672694</c:v>
                </c:pt>
                <c:pt idx="85">
                  <c:v>-97.408124294784514</c:v>
                </c:pt>
                <c:pt idx="86">
                  <c:v>-97.689306823640393</c:v>
                </c:pt>
                <c:pt idx="87">
                  <c:v>-97.964355488457841</c:v>
                </c:pt>
                <c:pt idx="88">
                  <c:v>-98.238158249260522</c:v>
                </c:pt>
                <c:pt idx="89">
                  <c:v>-98.51754315983905</c:v>
                </c:pt>
                <c:pt idx="90">
                  <c:v>-98.810176732140789</c:v>
                </c:pt>
                <c:pt idx="91">
                  <c:v>-99.124683343434967</c:v>
                </c:pt>
                <c:pt idx="92">
                  <c:v>-99.470119814065981</c:v>
                </c:pt>
                <c:pt idx="93">
                  <c:v>-99.855927308359568</c:v>
                </c:pt>
                <c:pt idx="94">
                  <c:v>-99.959735398999257</c:v>
                </c:pt>
                <c:pt idx="95">
                  <c:v>-100.0131802648929</c:v>
                </c:pt>
                <c:pt idx="96">
                  <c:v>-100.06683981443825</c:v>
                </c:pt>
                <c:pt idx="97">
                  <c:v>-100.12196901800024</c:v>
                </c:pt>
                <c:pt idx="98">
                  <c:v>-100.17732960688257</c:v>
                </c:pt>
                <c:pt idx="99">
                  <c:v>-100.23422995493226</c:v>
                </c:pt>
                <c:pt idx="100">
                  <c:v>-100.29137755027566</c:v>
                </c:pt>
                <c:pt idx="101">
                  <c:v>-100.35009147713947</c:v>
                </c:pt>
                <c:pt idx="102">
                  <c:v>-100.40906728923089</c:v>
                </c:pt>
                <c:pt idx="103">
                  <c:v>-100.46972378903514</c:v>
                </c:pt>
                <c:pt idx="104">
                  <c:v>-100.53065636522969</c:v>
                </c:pt>
                <c:pt idx="105">
                  <c:v>-100.5932960800157</c:v>
                </c:pt>
                <c:pt idx="106">
                  <c:v>-100.65622483139089</c:v>
                </c:pt>
                <c:pt idx="107">
                  <c:v>-100.72088622849398</c:v>
                </c:pt>
                <c:pt idx="108">
                  <c:v>-100.78584837446557</c:v>
                </c:pt>
                <c:pt idx="109">
                  <c:v>-100.8526132065563</c:v>
                </c:pt>
                <c:pt idx="110">
                  <c:v>-100.91968967218855</c:v>
                </c:pt>
                <c:pt idx="111">
                  <c:v>-100.98868504847265</c:v>
                </c:pt>
                <c:pt idx="112">
                  <c:v>-101.05800255813239</c:v>
                </c:pt>
                <c:pt idx="113">
                  <c:v>-101.1292638528404</c:v>
                </c:pt>
                <c:pt idx="114">
                  <c:v>-101.20085655573425</c:v>
                </c:pt>
                <c:pt idx="115">
                  <c:v>-101.27446362135167</c:v>
                </c:pt>
                <c:pt idx="116">
                  <c:v>-101.34841058525178</c:v>
                </c:pt>
                <c:pt idx="117">
                  <c:v>-101.42444260798256</c:v>
                </c:pt>
                <c:pt idx="118">
                  <c:v>-101.50082224866239</c:v>
                </c:pt>
                <c:pt idx="119">
                  <c:v>-101.57931002651736</c:v>
                </c:pt>
                <c:pt idx="120">
                  <c:v>-101.65815195917035</c:v>
                </c:pt>
                <c:pt idx="121">
                  <c:v>-101.73917200741244</c:v>
                </c:pt>
                <c:pt idx="122">
                  <c:v>-101.82055201796992</c:v>
                </c:pt>
                <c:pt idx="123">
                  <c:v>-101.90422871138816</c:v>
                </c:pt>
                <c:pt idx="124">
                  <c:v>-101.98827088399403</c:v>
                </c:pt>
                <c:pt idx="125">
                  <c:v>-102.07463161666038</c:v>
                </c:pt>
                <c:pt idx="126">
                  <c:v>-102.16136222229402</c:v>
                </c:pt>
                <c:pt idx="127">
                  <c:v>-102.25048137276139</c:v>
                </c:pt>
                <c:pt idx="128">
                  <c:v>-102.3399741163179</c:v>
                </c:pt>
                <c:pt idx="129">
                  <c:v>-102.4319253370178</c:v>
                </c:pt>
                <c:pt idx="130">
                  <c:v>-102.52425321679605</c:v>
                </c:pt>
                <c:pt idx="131">
                  <c:v>-102.61910942747284</c:v>
                </c:pt>
                <c:pt idx="132">
                  <c:v>-102.66668016934668</c:v>
                </c:pt>
                <c:pt idx="133">
                  <c:v>-102.71434472891758</c:v>
                </c:pt>
                <c:pt idx="134">
                  <c:v>-102.76323856012702</c:v>
                </c:pt>
                <c:pt idx="135">
                  <c:v>-102.81222871806202</c:v>
                </c:pt>
                <c:pt idx="136">
                  <c:v>-102.86131419865468</c:v>
                </c:pt>
                <c:pt idx="137">
                  <c:v>-102.91049400483942</c:v>
                </c:pt>
                <c:pt idx="138">
                  <c:v>-102.96088691113395</c:v>
                </c:pt>
                <c:pt idx="139">
                  <c:v>-103.01137638872414</c:v>
                </c:pt>
                <c:pt idx="140">
                  <c:v>-103.06196139519361</c:v>
                </c:pt>
                <c:pt idx="141">
                  <c:v>-103.11264089665325</c:v>
                </c:pt>
                <c:pt idx="142">
                  <c:v>-103.16461899492677</c:v>
                </c:pt>
                <c:pt idx="143">
                  <c:v>-103.2166939583081</c:v>
                </c:pt>
                <c:pt idx="144">
                  <c:v>-103.26886470639909</c:v>
                </c:pt>
                <c:pt idx="145">
                  <c:v>-103.32113016879958</c:v>
                </c:pt>
                <c:pt idx="146">
                  <c:v>-103.37470323951212</c:v>
                </c:pt>
                <c:pt idx="147">
                  <c:v>-103.42837322874293</c:v>
                </c:pt>
                <c:pt idx="148">
                  <c:v>-103.48213902315277</c:v>
                </c:pt>
                <c:pt idx="149">
                  <c:v>-103.53599952076497</c:v>
                </c:pt>
                <c:pt idx="150">
                  <c:v>-103.59120222352733</c:v>
                </c:pt>
                <c:pt idx="151">
                  <c:v>-103.64650176241389</c:v>
                </c:pt>
                <c:pt idx="152">
                  <c:v>-103.70189699450953</c:v>
                </c:pt>
                <c:pt idx="153">
                  <c:v>-103.75738678953783</c:v>
                </c:pt>
                <c:pt idx="154">
                  <c:v>-103.81427960332921</c:v>
                </c:pt>
                <c:pt idx="155">
                  <c:v>-103.87126912906264</c:v>
                </c:pt>
                <c:pt idx="156">
                  <c:v>-103.92835419591512</c:v>
                </c:pt>
                <c:pt idx="157">
                  <c:v>-103.9855336469155</c:v>
                </c:pt>
                <c:pt idx="158">
                  <c:v>-104.04415101267992</c:v>
                </c:pt>
                <c:pt idx="159">
                  <c:v>-104.10286483493149</c:v>
                </c:pt>
                <c:pt idx="160">
                  <c:v>-104.16167391815132</c:v>
                </c:pt>
                <c:pt idx="161">
                  <c:v>-104.22057708180057</c:v>
                </c:pt>
                <c:pt idx="162">
                  <c:v>-104.28092651005272</c:v>
                </c:pt>
                <c:pt idx="163">
                  <c:v>-104.34137192982887</c:v>
                </c:pt>
                <c:pt idx="164">
                  <c:v>-104.40191212563168</c:v>
                </c:pt>
                <c:pt idx="165">
                  <c:v>-104.46254589795954</c:v>
                </c:pt>
                <c:pt idx="166">
                  <c:v>-104.52471395460333</c:v>
                </c:pt>
                <c:pt idx="167">
                  <c:v>-104.58697758761657</c:v>
                </c:pt>
                <c:pt idx="168">
                  <c:v>-104.6493355613401</c:v>
                </c:pt>
                <c:pt idx="169">
                  <c:v>-104.71178665709802</c:v>
                </c:pt>
                <c:pt idx="170">
                  <c:v>-104.77567279648969</c:v>
                </c:pt>
                <c:pt idx="171">
                  <c:v>-104.83965358055814</c:v>
                </c:pt>
                <c:pt idx="172">
                  <c:v>-104.90372776427368</c:v>
                </c:pt>
                <c:pt idx="173">
                  <c:v>-104.9678941203469</c:v>
                </c:pt>
                <c:pt idx="174">
                  <c:v>-105.03377253648614</c:v>
                </c:pt>
                <c:pt idx="175">
                  <c:v>-105.09974527481793</c:v>
                </c:pt>
                <c:pt idx="176">
                  <c:v>-105.16581106960766</c:v>
                </c:pt>
                <c:pt idx="177">
                  <c:v>-105.23196867380501</c:v>
                </c:pt>
                <c:pt idx="178">
                  <c:v>-105.29984704329267</c:v>
                </c:pt>
                <c:pt idx="179">
                  <c:v>-105.36781920156518</c:v>
                </c:pt>
                <c:pt idx="180">
                  <c:v>-105.43588386675216</c:v>
                </c:pt>
                <c:pt idx="181">
                  <c:v>-105.50403977650419</c:v>
                </c:pt>
                <c:pt idx="182">
                  <c:v>-105.57365151551974</c:v>
                </c:pt>
                <c:pt idx="183">
                  <c:v>-105.64335559326895</c:v>
                </c:pt>
                <c:pt idx="184">
                  <c:v>-105.71315073113345</c:v>
                </c:pt>
                <c:pt idx="185">
                  <c:v>-105.78303567043079</c:v>
                </c:pt>
                <c:pt idx="186">
                  <c:v>-105.85493125059854</c:v>
                </c:pt>
                <c:pt idx="187">
                  <c:v>-105.92691899957669</c:v>
                </c:pt>
                <c:pt idx="188">
                  <c:v>-105.99899761591826</c:v>
                </c:pt>
                <c:pt idx="189">
                  <c:v>-106.07116581904674</c:v>
                </c:pt>
                <c:pt idx="190">
                  <c:v>-106.14480214108008</c:v>
                </c:pt>
                <c:pt idx="191">
                  <c:v>-106.21852888135685</c:v>
                </c:pt>
                <c:pt idx="192">
                  <c:v>-106.29234474931485</c:v>
                </c:pt>
                <c:pt idx="193">
                  <c:v>-106.36624847545684</c:v>
                </c:pt>
                <c:pt idx="194">
                  <c:v>-106.4421797864138</c:v>
                </c:pt>
                <c:pt idx="195">
                  <c:v>-106.51820098038591</c:v>
                </c:pt>
                <c:pt idx="196">
                  <c:v>-106.59431075223145</c:v>
                </c:pt>
                <c:pt idx="197">
                  <c:v>-106.67050781859719</c:v>
                </c:pt>
                <c:pt idx="198">
                  <c:v>-106.74846230354893</c:v>
                </c:pt>
                <c:pt idx="199">
                  <c:v>-106.82650530624603</c:v>
                </c:pt>
                <c:pt idx="200">
                  <c:v>-106.90463552518392</c:v>
                </c:pt>
                <c:pt idx="201">
                  <c:v>-106.98285168094867</c:v>
                </c:pt>
                <c:pt idx="202">
                  <c:v>-107.06283130840474</c:v>
                </c:pt>
                <c:pt idx="203">
                  <c:v>-107.1428979656139</c:v>
                </c:pt>
                <c:pt idx="204">
                  <c:v>-107.22305035789279</c:v>
                </c:pt>
                <c:pt idx="205">
                  <c:v>-107.30328721285342</c:v>
                </c:pt>
                <c:pt idx="206">
                  <c:v>-107.38557418856054</c:v>
                </c:pt>
                <c:pt idx="207">
                  <c:v>-107.4679471784376</c:v>
                </c:pt>
                <c:pt idx="208">
                  <c:v>-107.55040488439496</c:v>
                </c:pt>
                <c:pt idx="209">
                  <c:v>-107.63294603105778</c:v>
                </c:pt>
                <c:pt idx="210">
                  <c:v>-107.71782643346602</c:v>
                </c:pt>
                <c:pt idx="211">
                  <c:v>-107.80279223831573</c:v>
                </c:pt>
                <c:pt idx="212">
                  <c:v>-107.88784213483453</c:v>
                </c:pt>
                <c:pt idx="213">
                  <c:v>-107.97297483558899</c:v>
                </c:pt>
                <c:pt idx="214">
                  <c:v>-108.05988851909267</c:v>
                </c:pt>
                <c:pt idx="215">
                  <c:v>-108.14688570778688</c:v>
                </c:pt>
                <c:pt idx="216">
                  <c:v>-108.23396510770597</c:v>
                </c:pt>
                <c:pt idx="217">
                  <c:v>-108.32112544813359</c:v>
                </c:pt>
                <c:pt idx="218">
                  <c:v>-108.41035558712537</c:v>
                </c:pt>
                <c:pt idx="219">
                  <c:v>-108.49966778323574</c:v>
                </c:pt>
                <c:pt idx="220">
                  <c:v>-108.5890607491973</c:v>
                </c:pt>
                <c:pt idx="221">
                  <c:v>-108.67853322112133</c:v>
                </c:pt>
                <c:pt idx="222">
                  <c:v>-108.77008119443626</c:v>
                </c:pt>
                <c:pt idx="223">
                  <c:v>-108.86170965954074</c:v>
                </c:pt>
                <c:pt idx="224">
                  <c:v>-108.95341733869951</c:v>
                </c:pt>
                <c:pt idx="225">
                  <c:v>-109.04520297759822</c:v>
                </c:pt>
                <c:pt idx="226">
                  <c:v>-109.13935571910581</c:v>
                </c:pt>
                <c:pt idx="227">
                  <c:v>-109.23358775983272</c:v>
                </c:pt>
                <c:pt idx="228">
                  <c:v>-109.32789782263252</c:v>
                </c:pt>
                <c:pt idx="229">
                  <c:v>-109.42228465402363</c:v>
                </c:pt>
                <c:pt idx="230">
                  <c:v>-109.61588312795629</c:v>
                </c:pt>
                <c:pt idx="231">
                  <c:v>-109.71279803001873</c:v>
                </c:pt>
                <c:pt idx="232">
                  <c:v>-109.80978836821265</c:v>
                </c:pt>
                <c:pt idx="233">
                  <c:v>-109.90915801107666</c:v>
                </c:pt>
                <c:pt idx="234">
                  <c:v>-110.00860413816761</c:v>
                </c:pt>
                <c:pt idx="235">
                  <c:v>-110.10812548299091</c:v>
                </c:pt>
                <c:pt idx="236">
                  <c:v>-110.20772080292703</c:v>
                </c:pt>
                <c:pt idx="237">
                  <c:v>-110.30941187420092</c:v>
                </c:pt>
                <c:pt idx="238">
                  <c:v>-110.41117741318163</c:v>
                </c:pt>
                <c:pt idx="239">
                  <c:v>-110.51301617344816</c:v>
                </c:pt>
                <c:pt idx="240">
                  <c:v>-110.61492693216381</c:v>
                </c:pt>
                <c:pt idx="241">
                  <c:v>-110.71951689030419</c:v>
                </c:pt>
                <c:pt idx="242">
                  <c:v>-110.82418004426353</c:v>
                </c:pt>
                <c:pt idx="243">
                  <c:v>-110.92891514875706</c:v>
                </c:pt>
                <c:pt idx="244">
                  <c:v>-111.03372098225427</c:v>
                </c:pt>
                <c:pt idx="245">
                  <c:v>-111.14092123269667</c:v>
                </c:pt>
                <c:pt idx="246">
                  <c:v>-111.24819287442381</c:v>
                </c:pt>
                <c:pt idx="247">
                  <c:v>-111.35553467627112</c:v>
                </c:pt>
                <c:pt idx="248">
                  <c:v>-111.46294543065267</c:v>
                </c:pt>
                <c:pt idx="249">
                  <c:v>-111.57304621713361</c:v>
                </c:pt>
                <c:pt idx="250">
                  <c:v>-111.68321686883601</c:v>
                </c:pt>
                <c:pt idx="251">
                  <c:v>-111.79345616100595</c:v>
                </c:pt>
                <c:pt idx="252">
                  <c:v>-111.90376289247259</c:v>
                </c:pt>
                <c:pt idx="253">
                  <c:v>-112.01647252899919</c:v>
                </c:pt>
                <c:pt idx="254">
                  <c:v>-112.12925003076654</c:v>
                </c:pt>
                <c:pt idx="255">
                  <c:v>-112.24209419124577</c:v>
                </c:pt>
                <c:pt idx="256">
                  <c:v>-112.35500382717565</c:v>
                </c:pt>
                <c:pt idx="257">
                  <c:v>-112.4709054087068</c:v>
                </c:pt>
                <c:pt idx="258">
                  <c:v>-112.5868734519032</c:v>
                </c:pt>
                <c:pt idx="259">
                  <c:v>-112.70290675183519</c:v>
                </c:pt>
                <c:pt idx="260">
                  <c:v>-112.81900412693459</c:v>
                </c:pt>
                <c:pt idx="261">
                  <c:v>-112.9378051473105</c:v>
                </c:pt>
                <c:pt idx="262">
                  <c:v>-113.05667076096127</c:v>
                </c:pt>
                <c:pt idx="263">
                  <c:v>-113.17559977607471</c:v>
                </c:pt>
                <c:pt idx="264">
                  <c:v>-113.29459102398067</c:v>
                </c:pt>
                <c:pt idx="265">
                  <c:v>-113.41628965119473</c:v>
                </c:pt>
                <c:pt idx="266">
                  <c:v>-113.53805090988149</c:v>
                </c:pt>
                <c:pt idx="267">
                  <c:v>-113.65987362304506</c:v>
                </c:pt>
                <c:pt idx="268">
                  <c:v>-113.78175663654923</c:v>
                </c:pt>
                <c:pt idx="269">
                  <c:v>-113.90664500443292</c:v>
                </c:pt>
                <c:pt idx="270">
                  <c:v>-114.03159424158487</c:v>
                </c:pt>
                <c:pt idx="271">
                  <c:v>-114.15660317909762</c:v>
                </c:pt>
                <c:pt idx="272">
                  <c:v>-114.28167067079637</c:v>
                </c:pt>
                <c:pt idx="273">
                  <c:v>-114.40974733634593</c:v>
                </c:pt>
                <c:pt idx="274">
                  <c:v>-114.5378829910898</c:v>
                </c:pt>
                <c:pt idx="275">
                  <c:v>-114.66607647616219</c:v>
                </c:pt>
                <c:pt idx="276">
                  <c:v>-114.79432665523244</c:v>
                </c:pt>
                <c:pt idx="277">
                  <c:v>-114.92529371284451</c:v>
                </c:pt>
                <c:pt idx="278">
                  <c:v>-115.0563175170836</c:v>
                </c:pt>
                <c:pt idx="279">
                  <c:v>-115.18739692847043</c:v>
                </c:pt>
                <c:pt idx="280">
                  <c:v>-115.31853082960242</c:v>
                </c:pt>
                <c:pt idx="281">
                  <c:v>-115.45327246338445</c:v>
                </c:pt>
                <c:pt idx="282">
                  <c:v>-115.58806925862302</c:v>
                </c:pt>
                <c:pt idx="283">
                  <c:v>-115.72292007370299</c:v>
                </c:pt>
                <c:pt idx="284">
                  <c:v>-115.85782378916049</c:v>
                </c:pt>
                <c:pt idx="285">
                  <c:v>-115.99544927204056</c:v>
                </c:pt>
                <c:pt idx="286">
                  <c:v>-116.13312748528126</c:v>
                </c:pt>
                <c:pt idx="287">
                  <c:v>-116.27085730923177</c:v>
                </c:pt>
                <c:pt idx="288">
                  <c:v>-116.40863764582424</c:v>
                </c:pt>
                <c:pt idx="289">
                  <c:v>-116.55003262737024</c:v>
                </c:pt>
                <c:pt idx="290">
                  <c:v>-116.69147849430585</c:v>
                </c:pt>
                <c:pt idx="291">
                  <c:v>-116.83297412834284</c:v>
                </c:pt>
                <c:pt idx="292">
                  <c:v>-116.97451843271317</c:v>
                </c:pt>
                <c:pt idx="293">
                  <c:v>-117.11938296749915</c:v>
                </c:pt>
                <c:pt idx="294">
                  <c:v>-117.26429619204366</c:v>
                </c:pt>
                <c:pt idx="295">
                  <c:v>-117.40925699811322</c:v>
                </c:pt>
                <c:pt idx="296">
                  <c:v>-117.55426429868342</c:v>
                </c:pt>
                <c:pt idx="297">
                  <c:v>-117.70259388883825</c:v>
                </c:pt>
                <c:pt idx="298">
                  <c:v>-117.85096986404599</c:v>
                </c:pt>
                <c:pt idx="299">
                  <c:v>-117.99939112718897</c:v>
                </c:pt>
                <c:pt idx="300">
                  <c:v>-118.14785660199401</c:v>
                </c:pt>
                <c:pt idx="301">
                  <c:v>-118.29964602282492</c:v>
                </c:pt>
                <c:pt idx="302">
                  <c:v>-118.45147942076673</c:v>
                </c:pt>
                <c:pt idx="303">
                  <c:v>-118.60335571062899</c:v>
                </c:pt>
                <c:pt idx="304">
                  <c:v>-118.75527382765361</c:v>
                </c:pt>
                <c:pt idx="305">
                  <c:v>-118.91111432404561</c:v>
                </c:pt>
                <c:pt idx="306">
                  <c:v>-119.06699660676288</c:v>
                </c:pt>
                <c:pt idx="307">
                  <c:v>-119.22291959080667</c:v>
                </c:pt>
                <c:pt idx="308">
                  <c:v>-119.37888221146056</c:v>
                </c:pt>
                <c:pt idx="309">
                  <c:v>-119.53817121333357</c:v>
                </c:pt>
                <c:pt idx="310">
                  <c:v>-119.69749935873871</c:v>
                </c:pt>
                <c:pt idx="311">
                  <c:v>-119.85686557621742</c:v>
                </c:pt>
                <c:pt idx="312">
                  <c:v>-120.01626881407996</c:v>
                </c:pt>
                <c:pt idx="313">
                  <c:v>-120.17959724247649</c:v>
                </c:pt>
                <c:pt idx="314">
                  <c:v>-120.3429623463102</c:v>
                </c:pt>
                <c:pt idx="315">
                  <c:v>-120.50636305614003</c:v>
                </c:pt>
                <c:pt idx="316">
                  <c:v>-120.66979832202907</c:v>
                </c:pt>
                <c:pt idx="317">
                  <c:v>-120.83715962733568</c:v>
                </c:pt>
                <c:pt idx="318">
                  <c:v>-121.00455498692615</c:v>
                </c:pt>
                <c:pt idx="319">
                  <c:v>-121.17198333419414</c:v>
                </c:pt>
                <c:pt idx="320">
                  <c:v>-121.33944362171361</c:v>
                </c:pt>
                <c:pt idx="321">
                  <c:v>-121.51083032452597</c:v>
                </c:pt>
                <c:pt idx="322">
                  <c:v>-121.68224831078572</c:v>
                </c:pt>
                <c:pt idx="323">
                  <c:v>-121.85369651726319</c:v>
                </c:pt>
                <c:pt idx="324">
                  <c:v>-122.02517389953053</c:v>
                </c:pt>
                <c:pt idx="325">
                  <c:v>-122.20057760365682</c:v>
                </c:pt>
                <c:pt idx="326">
                  <c:v>-122.37600967308205</c:v>
                </c:pt>
                <c:pt idx="327">
                  <c:v>-122.55146904822406</c:v>
                </c:pt>
                <c:pt idx="328">
                  <c:v>-122.72695468787464</c:v>
                </c:pt>
                <c:pt idx="329">
                  <c:v>-122.90666612999108</c:v>
                </c:pt>
                <c:pt idx="330">
                  <c:v>-123.08640295618846</c:v>
                </c:pt>
                <c:pt idx="331">
                  <c:v>-123.26616410527755</c:v>
                </c:pt>
                <c:pt idx="332">
                  <c:v>-123.44594853408833</c:v>
                </c:pt>
                <c:pt idx="333">
                  <c:v>-123.62965777144515</c:v>
                </c:pt>
                <c:pt idx="334">
                  <c:v>-123.81338916380679</c:v>
                </c:pt>
                <c:pt idx="335">
                  <c:v>-123.99714165362803</c:v>
                </c:pt>
                <c:pt idx="336">
                  <c:v>-124.18091420086087</c:v>
                </c:pt>
                <c:pt idx="337">
                  <c:v>-124.36921070850234</c:v>
                </c:pt>
                <c:pt idx="338">
                  <c:v>-124.55752611290522</c:v>
                </c:pt>
                <c:pt idx="339">
                  <c:v>-124.74585934957196</c:v>
                </c:pt>
                <c:pt idx="340">
                  <c:v>-124.93420937115835</c:v>
                </c:pt>
                <c:pt idx="341">
                  <c:v>-125.12708168979164</c:v>
                </c:pt>
                <c:pt idx="342">
                  <c:v>-125.31996943665732</c:v>
                </c:pt>
                <c:pt idx="343">
                  <c:v>-125.51287154013636</c:v>
                </c:pt>
                <c:pt idx="344">
                  <c:v>-125.70578694535941</c:v>
                </c:pt>
                <c:pt idx="345">
                  <c:v>-125.90292188804882</c:v>
                </c:pt>
                <c:pt idx="346">
                  <c:v>-126.10006854356874</c:v>
                </c:pt>
                <c:pt idx="347">
                  <c:v>-126.29722583757453</c:v>
                </c:pt>
                <c:pt idx="348">
                  <c:v>-126.49439271191413</c:v>
                </c:pt>
                <c:pt idx="349">
                  <c:v>-126.69637737851231</c:v>
                </c:pt>
                <c:pt idx="350">
                  <c:v>-126.89836990061731</c:v>
                </c:pt>
                <c:pt idx="351">
                  <c:v>-127.10036919049203</c:v>
                </c:pt>
                <c:pt idx="352">
                  <c:v>-127.30237417618062</c:v>
                </c:pt>
                <c:pt idx="353">
                  <c:v>-127.50919360195074</c:v>
                </c:pt>
                <c:pt idx="354">
                  <c:v>-127.71601677265537</c:v>
                </c:pt>
                <c:pt idx="355">
                  <c:v>-127.92284258626158</c:v>
                </c:pt>
                <c:pt idx="356">
                  <c:v>-128.12966995604549</c:v>
                </c:pt>
                <c:pt idx="357">
                  <c:v>-128.34100713576203</c:v>
                </c:pt>
                <c:pt idx="358">
                  <c:v>-128.55234369313146</c:v>
                </c:pt>
                <c:pt idx="359">
                  <c:v>-128.7636785152913</c:v>
                </c:pt>
                <c:pt idx="360">
                  <c:v>-128.97501050407544</c:v>
                </c:pt>
                <c:pt idx="361">
                  <c:v>-129.19144886972785</c:v>
                </c:pt>
                <c:pt idx="362">
                  <c:v>-129.4078819768736</c:v>
                </c:pt>
                <c:pt idx="363">
                  <c:v>-129.62430869067794</c:v>
                </c:pt>
                <c:pt idx="364">
                  <c:v>-129.84072789050327</c:v>
                </c:pt>
                <c:pt idx="365">
                  <c:v>-130.06194748711121</c:v>
                </c:pt>
                <c:pt idx="366">
                  <c:v>-130.2831569074846</c:v>
                </c:pt>
                <c:pt idx="367">
                  <c:v>-130.50435499765371</c:v>
                </c:pt>
                <c:pt idx="368">
                  <c:v>-130.72554061721024</c:v>
                </c:pt>
                <c:pt idx="369">
                  <c:v>-130.95212155741689</c:v>
                </c:pt>
                <c:pt idx="370">
                  <c:v>-131.17868702825444</c:v>
                </c:pt>
                <c:pt idx="371">
                  <c:v>-131.40523584493653</c:v>
                </c:pt>
                <c:pt idx="372">
                  <c:v>-131.63176683569031</c:v>
                </c:pt>
                <c:pt idx="373">
                  <c:v>-131.86338564813033</c:v>
                </c:pt>
                <c:pt idx="374">
                  <c:v>-132.09498338344827</c:v>
                </c:pt>
                <c:pt idx="375">
                  <c:v>-132.32655882814487</c:v>
                </c:pt>
                <c:pt idx="376">
                  <c:v>-132.55811078105421</c:v>
                </c:pt>
                <c:pt idx="377">
                  <c:v>-132.79534333196995</c:v>
                </c:pt>
                <c:pt idx="378">
                  <c:v>-133.03254870353541</c:v>
                </c:pt>
                <c:pt idx="379">
                  <c:v>-133.2697256410153</c:v>
                </c:pt>
                <c:pt idx="380">
                  <c:v>-133.50687290138964</c:v>
                </c:pt>
                <c:pt idx="381">
                  <c:v>-133.74909140790052</c:v>
                </c:pt>
                <c:pt idx="382">
                  <c:v>-133.99127635973855</c:v>
                </c:pt>
                <c:pt idx="383">
                  <c:v>-134.23342646696494</c:v>
                </c:pt>
                <c:pt idx="384">
                  <c:v>-134.47554045055674</c:v>
                </c:pt>
                <c:pt idx="385">
                  <c:v>-134.72361597620215</c:v>
                </c:pt>
                <c:pt idx="386">
                  <c:v>-134.9716508791239</c:v>
                </c:pt>
                <c:pt idx="387">
                  <c:v>-135.21964381573613</c:v>
                </c:pt>
                <c:pt idx="388">
                  <c:v>-135.46759345266676</c:v>
                </c:pt>
                <c:pt idx="389">
                  <c:v>-135.7211934517882</c:v>
                </c:pt>
                <c:pt idx="390">
                  <c:v>-135.97474534695007</c:v>
                </c:pt>
                <c:pt idx="391">
                  <c:v>-136.22824774119914</c:v>
                </c:pt>
                <c:pt idx="392">
                  <c:v>-136.48169924697106</c:v>
                </c:pt>
                <c:pt idx="393">
                  <c:v>-136.74078887439779</c:v>
                </c:pt>
                <c:pt idx="394">
                  <c:v>-136.99982239640559</c:v>
                </c:pt>
                <c:pt idx="395">
                  <c:v>-137.25879835759304</c:v>
                </c:pt>
                <c:pt idx="396">
                  <c:v>-137.51771531105916</c:v>
                </c:pt>
                <c:pt idx="397">
                  <c:v>-137.78285543203998</c:v>
                </c:pt>
                <c:pt idx="398">
                  <c:v>-138.04793059811723</c:v>
                </c:pt>
                <c:pt idx="399">
                  <c:v>-138.31293927952649</c:v>
                </c:pt>
                <c:pt idx="400">
                  <c:v>-138.5778799541232</c:v>
                </c:pt>
                <c:pt idx="401">
                  <c:v>-138.84872932564573</c:v>
                </c:pt>
                <c:pt idx="402">
                  <c:v>-139.11950438887484</c:v>
                </c:pt>
                <c:pt idx="403">
                  <c:v>-139.39020353837665</c:v>
                </c:pt>
                <c:pt idx="404">
                  <c:v>-139.66082517535153</c:v>
                </c:pt>
                <c:pt idx="405">
                  <c:v>-139.93763760989827</c:v>
                </c:pt>
                <c:pt idx="406">
                  <c:v>-140.214365530219</c:v>
                </c:pt>
                <c:pt idx="407">
                  <c:v>-140.49100724278364</c:v>
                </c:pt>
                <c:pt idx="408">
                  <c:v>-140.76756105967536</c:v>
                </c:pt>
                <c:pt idx="409">
                  <c:v>-141.05058537560356</c:v>
                </c:pt>
                <c:pt idx="410">
                  <c:v>-141.33351401082246</c:v>
                </c:pt>
                <c:pt idx="411">
                  <c:v>-141.61634517018283</c:v>
                </c:pt>
                <c:pt idx="412">
                  <c:v>-141.89907706308381</c:v>
                </c:pt>
                <c:pt idx="413">
                  <c:v>-142.1882587224807</c:v>
                </c:pt>
                <c:pt idx="414">
                  <c:v>-142.47733267998629</c:v>
                </c:pt>
                <c:pt idx="415">
                  <c:v>-142.76629702995567</c:v>
                </c:pt>
                <c:pt idx="416">
                  <c:v>-143.05514987016321</c:v>
                </c:pt>
                <c:pt idx="417">
                  <c:v>-143.35072725897012</c:v>
                </c:pt>
                <c:pt idx="418">
                  <c:v>-143.64618376821022</c:v>
                </c:pt>
                <c:pt idx="419">
                  <c:v>-143.94151736608549</c:v>
                </c:pt>
                <c:pt idx="420">
                  <c:v>-144.2367260230447</c:v>
                </c:pt>
                <c:pt idx="421">
                  <c:v>-144.53833724284752</c:v>
                </c:pt>
                <c:pt idx="422">
                  <c:v>-144.83981364796199</c:v>
                </c:pt>
                <c:pt idx="423">
                  <c:v>-145.14115307615577</c:v>
                </c:pt>
                <c:pt idx="424">
                  <c:v>-145.44235336621767</c:v>
                </c:pt>
                <c:pt idx="425">
                  <c:v>-145.75081850568495</c:v>
                </c:pt>
                <c:pt idx="426">
                  <c:v>-146.05913298374094</c:v>
                </c:pt>
                <c:pt idx="427">
                  <c:v>-146.3672944769356</c:v>
                </c:pt>
                <c:pt idx="428">
                  <c:v>-146.67530066159094</c:v>
                </c:pt>
                <c:pt idx="429">
                  <c:v>-146.99024470897783</c:v>
                </c:pt>
                <c:pt idx="430">
                  <c:v>-147.30502128186606</c:v>
                </c:pt>
                <c:pt idx="431">
                  <c:v>-147.61962788945547</c:v>
                </c:pt>
                <c:pt idx="432">
                  <c:v>-147.93406203944426</c:v>
                </c:pt>
                <c:pt idx="433">
                  <c:v>-148.25540110008373</c:v>
                </c:pt>
                <c:pt idx="434">
                  <c:v>-148.57655456630835</c:v>
                </c:pt>
                <c:pt idx="435">
                  <c:v>-148.89751976687813</c:v>
                </c:pt>
                <c:pt idx="436">
                  <c:v>-149.21829402778553</c:v>
                </c:pt>
                <c:pt idx="437">
                  <c:v>-149.54652618310277</c:v>
                </c:pt>
                <c:pt idx="438">
                  <c:v>-149.87455248921947</c:v>
                </c:pt>
                <c:pt idx="439">
                  <c:v>-150.20237006543579</c:v>
                </c:pt>
                <c:pt idx="440">
                  <c:v>-150.52997602702825</c:v>
                </c:pt>
                <c:pt idx="441">
                  <c:v>-150.86499914278934</c:v>
                </c:pt>
                <c:pt idx="442">
                  <c:v>-151.19979453396905</c:v>
                </c:pt>
                <c:pt idx="443">
                  <c:v>-151.5343590949293</c:v>
                </c:pt>
                <c:pt idx="444">
                  <c:v>-151.86868971481141</c:v>
                </c:pt>
                <c:pt idx="445">
                  <c:v>-152.21039349006912</c:v>
                </c:pt>
                <c:pt idx="446">
                  <c:v>-152.55184594109156</c:v>
                </c:pt>
                <c:pt idx="447">
                  <c:v>-152.89304372155212</c:v>
                </c:pt>
                <c:pt idx="448">
                  <c:v>-153.23398347881383</c:v>
                </c:pt>
                <c:pt idx="449">
                  <c:v>-153.58283256060545</c:v>
                </c:pt>
                <c:pt idx="450">
                  <c:v>-153.93140395313446</c:v>
                </c:pt>
                <c:pt idx="451">
                  <c:v>-154.27969403542306</c:v>
                </c:pt>
                <c:pt idx="452">
                  <c:v>-154.62769917920596</c:v>
                </c:pt>
                <c:pt idx="453">
                  <c:v>-154.98326874447201</c:v>
                </c:pt>
                <c:pt idx="454">
                  <c:v>-155.3385326525453</c:v>
                </c:pt>
                <c:pt idx="455">
                  <c:v>-155.69348699980551</c:v>
                </c:pt>
                <c:pt idx="456">
                  <c:v>-156.04812787460907</c:v>
                </c:pt>
                <c:pt idx="457">
                  <c:v>-156.41085612842801</c:v>
                </c:pt>
                <c:pt idx="458">
                  <c:v>-156.77324753296816</c:v>
                </c:pt>
                <c:pt idx="459">
                  <c:v>-157.13529786563291</c:v>
                </c:pt>
                <c:pt idx="460">
                  <c:v>-157.49700289530597</c:v>
                </c:pt>
                <c:pt idx="461">
                  <c:v>-157.86673094905672</c:v>
                </c:pt>
                <c:pt idx="462">
                  <c:v>-158.23608851646614</c:v>
                </c:pt>
                <c:pt idx="463">
                  <c:v>-158.60507103852282</c:v>
                </c:pt>
                <c:pt idx="464">
                  <c:v>-158.97367394757705</c:v>
                </c:pt>
                <c:pt idx="465">
                  <c:v>-159.35051814901871</c:v>
                </c:pt>
                <c:pt idx="466">
                  <c:v>-159.72695502721464</c:v>
                </c:pt>
                <c:pt idx="467">
                  <c:v>-160.10297965927833</c:v>
                </c:pt>
                <c:pt idx="468">
                  <c:v>-160.47858711401759</c:v>
                </c:pt>
                <c:pt idx="469">
                  <c:v>-160.86235949979823</c:v>
                </c:pt>
                <c:pt idx="470">
                  <c:v>-161.24568491962171</c:v>
                </c:pt>
                <c:pt idx="471">
                  <c:v>-161.62855807113675</c:v>
                </c:pt>
                <c:pt idx="472">
                  <c:v>-162.01097364461123</c:v>
                </c:pt>
                <c:pt idx="473">
                  <c:v>-162.40204187844557</c:v>
                </c:pt>
                <c:pt idx="474">
                  <c:v>-162.79261913161213</c:v>
                </c:pt>
                <c:pt idx="475">
                  <c:v>-163.18269968411266</c:v>
                </c:pt>
                <c:pt idx="476">
                  <c:v>-163.57227781017673</c:v>
                </c:pt>
                <c:pt idx="477">
                  <c:v>-163.9704161867306</c:v>
                </c:pt>
                <c:pt idx="478">
                  <c:v>-164.36801627924967</c:v>
                </c:pt>
                <c:pt idx="479">
                  <c:v>-164.76507193751729</c:v>
                </c:pt>
                <c:pt idx="480">
                  <c:v>-165.1615770080297</c:v>
                </c:pt>
                <c:pt idx="481">
                  <c:v>-165.56654326045944</c:v>
                </c:pt>
                <c:pt idx="482">
                  <c:v>-165.9709205130481</c:v>
                </c:pt>
                <c:pt idx="483">
                  <c:v>-166.3747021767461</c:v>
                </c:pt>
                <c:pt idx="484">
                  <c:v>-166.77788166272936</c:v>
                </c:pt>
                <c:pt idx="485">
                  <c:v>-167.18969645261902</c:v>
                </c:pt>
                <c:pt idx="486">
                  <c:v>-167.60086712653055</c:v>
                </c:pt>
                <c:pt idx="487">
                  <c:v>-168.01138663843093</c:v>
                </c:pt>
                <c:pt idx="488">
                  <c:v>-168.42124794721832</c:v>
                </c:pt>
                <c:pt idx="489">
                  <c:v>-168.84018524224621</c:v>
                </c:pt>
                <c:pt idx="490">
                  <c:v>-169.25841768030404</c:v>
                </c:pt>
                <c:pt idx="491">
                  <c:v>-169.67593772923621</c:v>
                </c:pt>
                <c:pt idx="492">
                  <c:v>-170.09273786794793</c:v>
                </c:pt>
                <c:pt idx="493">
                  <c:v>-170.51848441007195</c:v>
                </c:pt>
                <c:pt idx="494">
                  <c:v>-170.94346125379042</c:v>
                </c:pt>
                <c:pt idx="495">
                  <c:v>-171.36766038635889</c:v>
                </c:pt>
                <c:pt idx="496">
                  <c:v>-171.79107381382218</c:v>
                </c:pt>
                <c:pt idx="497">
                  <c:v>-172.22356984065308</c:v>
                </c:pt>
                <c:pt idx="498">
                  <c:v>-172.65522610157083</c:v>
                </c:pt>
                <c:pt idx="499">
                  <c:v>-173.08603410093266</c:v>
                </c:pt>
                <c:pt idx="500">
                  <c:v>-173.5159853714471</c:v>
                </c:pt>
                <c:pt idx="501">
                  <c:v>-173.95514112495874</c:v>
                </c:pt>
                <c:pt idx="502">
                  <c:v>-174.39338157573289</c:v>
                </c:pt>
                <c:pt idx="503">
                  <c:v>-174.8306977509462</c:v>
                </c:pt>
                <c:pt idx="504">
                  <c:v>-175.26708071774456</c:v>
                </c:pt>
                <c:pt idx="505">
                  <c:v>-175.7125050657686</c:v>
                </c:pt>
                <c:pt idx="506">
                  <c:v>-176.15693410206006</c:v>
                </c:pt>
                <c:pt idx="507">
                  <c:v>-176.6003584090229</c:v>
                </c:pt>
                <c:pt idx="508">
                  <c:v>-177.04276862278954</c:v>
                </c:pt>
                <c:pt idx="509">
                  <c:v>-177.49431473515938</c:v>
                </c:pt>
                <c:pt idx="510">
                  <c:v>-177.94477983403027</c:v>
                </c:pt>
                <c:pt idx="511">
                  <c:v>-178.39415408412512</c:v>
                </c:pt>
                <c:pt idx="512">
                  <c:v>-178.84242772005283</c:v>
                </c:pt>
                <c:pt idx="513">
                  <c:v>-179.300180063525</c:v>
                </c:pt>
                <c:pt idx="514">
                  <c:v>-179.75675850694114</c:v>
                </c:pt>
                <c:pt idx="515">
                  <c:v>-180.21215281924191</c:v>
                </c:pt>
                <c:pt idx="516">
                  <c:v>-180.66635285817483</c:v>
                </c:pt>
                <c:pt idx="517">
                  <c:v>-181.12982630721518</c:v>
                </c:pt>
                <c:pt idx="518">
                  <c:v>-181.59202833624525</c:v>
                </c:pt>
                <c:pt idx="519">
                  <c:v>-182.05294838983892</c:v>
                </c:pt>
                <c:pt idx="520">
                  <c:v>-182.51257602281004</c:v>
                </c:pt>
                <c:pt idx="521">
                  <c:v>-182.98151994641952</c:v>
                </c:pt>
                <c:pt idx="522">
                  <c:v>-183.44908901918024</c:v>
                </c:pt>
                <c:pt idx="523">
                  <c:v>-183.91527243061546</c:v>
                </c:pt>
                <c:pt idx="524">
                  <c:v>-184.38005950465336</c:v>
                </c:pt>
                <c:pt idx="525">
                  <c:v>-184.85418726175598</c:v>
                </c:pt>
                <c:pt idx="526">
                  <c:v>-185.32683088340045</c:v>
                </c:pt>
                <c:pt idx="527">
                  <c:v>-185.79797939014534</c:v>
                </c:pt>
                <c:pt idx="528">
                  <c:v>-186.26762196383399</c:v>
                </c:pt>
                <c:pt idx="529">
                  <c:v>-186.74661059778958</c:v>
                </c:pt>
                <c:pt idx="530">
                  <c:v>-187.22400009373362</c:v>
                </c:pt>
                <c:pt idx="531">
                  <c:v>-187.69977940712681</c:v>
                </c:pt>
                <c:pt idx="532">
                  <c:v>-188.17393768420533</c:v>
                </c:pt>
                <c:pt idx="533">
                  <c:v>-188.65767712676924</c:v>
                </c:pt>
                <c:pt idx="534">
                  <c:v>-189.13969515126655</c:v>
                </c:pt>
                <c:pt idx="535">
                  <c:v>-189.61998075352508</c:v>
                </c:pt>
                <c:pt idx="536">
                  <c:v>-190.09852315250461</c:v>
                </c:pt>
                <c:pt idx="537">
                  <c:v>-190.58611627429687</c:v>
                </c:pt>
                <c:pt idx="538">
                  <c:v>-191.07186405857698</c:v>
                </c:pt>
                <c:pt idx="539">
                  <c:v>-191.55575571677747</c:v>
                </c:pt>
                <c:pt idx="540">
                  <c:v>-192.03778071697681</c:v>
                </c:pt>
                <c:pt idx="541">
                  <c:v>-192.52929187541608</c:v>
                </c:pt>
                <c:pt idx="542">
                  <c:v>-193.01882529567135</c:v>
                </c:pt>
                <c:pt idx="543">
                  <c:v>-193.50637053169453</c:v>
                </c:pt>
                <c:pt idx="544">
                  <c:v>-193.99191743026594</c:v>
                </c:pt>
                <c:pt idx="545">
                  <c:v>-194.48663300711112</c:v>
                </c:pt>
                <c:pt idx="546">
                  <c:v>-194.97923603866772</c:v>
                </c:pt>
                <c:pt idx="547">
                  <c:v>-195.4697166154476</c:v>
                </c:pt>
                <c:pt idx="548">
                  <c:v>-195.9580651575105</c:v>
                </c:pt>
                <c:pt idx="549">
                  <c:v>-196.45548880353093</c:v>
                </c:pt>
                <c:pt idx="550">
                  <c:v>-196.95066145874685</c:v>
                </c:pt>
                <c:pt idx="551">
                  <c:v>-197.44357394373793</c:v>
                </c:pt>
                <c:pt idx="552">
                  <c:v>-197.93421744570051</c:v>
                </c:pt>
                <c:pt idx="553">
                  <c:v>-198.43405239240215</c:v>
                </c:pt>
                <c:pt idx="554">
                  <c:v>-198.93149276961631</c:v>
                </c:pt>
                <c:pt idx="555">
                  <c:v>-199.42653032439151</c:v>
                </c:pt>
                <c:pt idx="556">
                  <c:v>-199.91915720773193</c:v>
                </c:pt>
                <c:pt idx="557">
                  <c:v>-200.91997579909943</c:v>
                </c:pt>
                <c:pt idx="558">
                  <c:v>-201.91060464146511</c:v>
                </c:pt>
                <c:pt idx="559">
                  <c:v>-202.91334355440142</c:v>
                </c:pt>
                <c:pt idx="560">
                  <c:v>-203.90531869591177</c:v>
                </c:pt>
                <c:pt idx="561">
                  <c:v>-204.90963762540696</c:v>
                </c:pt>
                <c:pt idx="562">
                  <c:v>-205.90259913034126</c:v>
                </c:pt>
                <c:pt idx="563">
                  <c:v>-206.90511535658851</c:v>
                </c:pt>
                <c:pt idx="564">
                  <c:v>-207.89573346296888</c:v>
                </c:pt>
                <c:pt idx="565">
                  <c:v>-208.8989611629963</c:v>
                </c:pt>
                <c:pt idx="566">
                  <c:v>-209.88966746580894</c:v>
                </c:pt>
                <c:pt idx="567">
                  <c:v>-210.89175386532733</c:v>
                </c:pt>
                <c:pt idx="568">
                  <c:v>-211.88071589622936</c:v>
                </c:pt>
                <c:pt idx="569">
                  <c:v>-212.87596136423807</c:v>
                </c:pt>
                <c:pt idx="570">
                  <c:v>-213.85761205297371</c:v>
                </c:pt>
                <c:pt idx="571">
                  <c:v>-214.85209654711107</c:v>
                </c:pt>
                <c:pt idx="572">
                  <c:v>-215.83233320927903</c:v>
                </c:pt>
                <c:pt idx="573">
                  <c:v>-216.81668717557497</c:v>
                </c:pt>
                <c:pt idx="574">
                  <c:v>-217.78639289604641</c:v>
                </c:pt>
                <c:pt idx="575">
                  <c:v>-218.76638517506476</c:v>
                </c:pt>
                <c:pt idx="576">
                  <c:v>-219.73114918392784</c:v>
                </c:pt>
                <c:pt idx="577">
                  <c:v>-223.64960803904333</c:v>
                </c:pt>
                <c:pt idx="578">
                  <c:v>-227.30742024945258</c:v>
                </c:pt>
                <c:pt idx="579">
                  <c:v>-234.47159621612755</c:v>
                </c:pt>
                <c:pt idx="580">
                  <c:v>-241.12882898669938</c:v>
                </c:pt>
                <c:pt idx="581">
                  <c:v>-247.19486916025838</c:v>
                </c:pt>
                <c:pt idx="582">
                  <c:v>-252.63151419394032</c:v>
                </c:pt>
                <c:pt idx="583">
                  <c:v>-257.42074602901675</c:v>
                </c:pt>
                <c:pt idx="584">
                  <c:v>-261.57451090281171</c:v>
                </c:pt>
                <c:pt idx="585">
                  <c:v>-265.11524339725679</c:v>
                </c:pt>
                <c:pt idx="586">
                  <c:v>-268.08040520761438</c:v>
                </c:pt>
                <c:pt idx="587">
                  <c:v>-270.51578493988336</c:v>
                </c:pt>
                <c:pt idx="588">
                  <c:v>-272.46844559668966</c:v>
                </c:pt>
                <c:pt idx="589">
                  <c:v>-273.99202230349408</c:v>
                </c:pt>
                <c:pt idx="590">
                  <c:v>-275.13844541181317</c:v>
                </c:pt>
                <c:pt idx="591">
                  <c:v>-275.95974015068964</c:v>
                </c:pt>
                <c:pt idx="592">
                  <c:v>-276.50569769625281</c:v>
                </c:pt>
                <c:pt idx="593">
                  <c:v>-276.82324611455886</c:v>
                </c:pt>
                <c:pt idx="594">
                  <c:v>-276.95517263601607</c:v>
                </c:pt>
                <c:pt idx="595">
                  <c:v>-276.93995774190603</c:v>
                </c:pt>
                <c:pt idx="596">
                  <c:v>-276.81130406879726</c:v>
                </c:pt>
                <c:pt idx="597">
                  <c:v>-276.59807795992521</c:v>
                </c:pt>
                <c:pt idx="598">
                  <c:v>-276.3245699209985</c:v>
                </c:pt>
                <c:pt idx="599">
                  <c:v>-276.01061036421163</c:v>
                </c:pt>
                <c:pt idx="600">
                  <c:v>-275.67222794263148</c:v>
                </c:pt>
              </c:numCache>
            </c:numRef>
          </c:yVal>
          <c:smooth val="0"/>
          <c:extLst>
            <c:ext xmlns:c16="http://schemas.microsoft.com/office/drawing/2014/chart" uri="{C3380CC4-5D6E-409C-BE32-E72D297353CC}">
              <c16:uniqueId val="{0000000B-4B49-4ADE-B8CD-DD5F374AD671}"/>
            </c:ext>
          </c:extLst>
        </c:ser>
        <c:ser>
          <c:idx val="1"/>
          <c:order val="7"/>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C-4B49-4ADE-B8CD-DD5F374AD671}"/>
              </c:ext>
            </c:extLst>
          </c:dPt>
          <c:xVal>
            <c:numRef>
              <c:f>'Stability Calculations'!$A$617:$A$618</c:f>
              <c:numCache>
                <c:formatCode>General</c:formatCode>
                <c:ptCount val="2"/>
                <c:pt idx="0">
                  <c:v>30028</c:v>
                </c:pt>
                <c:pt idx="1">
                  <c:v>30028</c:v>
                </c:pt>
              </c:numCache>
            </c:numRef>
          </c:xVal>
          <c:yVal>
            <c:numRef>
              <c:f>'Stability Calculations'!$R$617:$R$618</c:f>
              <c:numCache>
                <c:formatCode>0.00</c:formatCode>
                <c:ptCount val="2"/>
                <c:pt idx="0">
                  <c:v>-127.92284258626158</c:v>
                </c:pt>
                <c:pt idx="1">
                  <c:v>-135</c:v>
                </c:pt>
              </c:numCache>
            </c:numRef>
          </c:yVal>
          <c:smooth val="0"/>
          <c:extLst>
            <c:ext xmlns:c16="http://schemas.microsoft.com/office/drawing/2014/chart" uri="{C3380CC4-5D6E-409C-BE32-E72D297353CC}">
              <c16:uniqueId val="{0000000D-4B49-4ADE-B8CD-DD5F374AD671}"/>
            </c:ext>
          </c:extLst>
        </c:ser>
        <c:ser>
          <c:idx val="0"/>
          <c:order val="8"/>
          <c:tx>
            <c:v>Fc2</c:v>
          </c:tx>
          <c:spPr>
            <a:ln w="22225">
              <a:solidFill>
                <a:schemeClr val="tx1">
                  <a:lumMod val="50000"/>
                  <a:lumOff val="50000"/>
                </a:schemeClr>
              </a:solidFill>
              <a:prstDash val="sysDash"/>
            </a:ln>
          </c:spPr>
          <c:marker>
            <c:symbol val="none"/>
          </c:marker>
          <c:xVal>
            <c:numRef>
              <c:f>'Stability Calculations'!$A$619:$A$620</c:f>
              <c:numCache>
                <c:formatCode>General</c:formatCode>
                <c:ptCount val="2"/>
                <c:pt idx="0">
                  <c:v>30028</c:v>
                </c:pt>
                <c:pt idx="1">
                  <c:v>1000000</c:v>
                </c:pt>
              </c:numCache>
            </c:numRef>
          </c:xVal>
          <c:yVal>
            <c:numRef>
              <c:f>'Stability Calculations'!$R$619:$R$620</c:f>
              <c:numCache>
                <c:formatCode>0.00</c:formatCode>
                <c:ptCount val="2"/>
                <c:pt idx="1">
                  <c:v>-127.92284258626158</c:v>
                </c:pt>
              </c:numCache>
            </c:numRef>
          </c:yVal>
          <c:smooth val="0"/>
          <c:extLst>
            <c:ext xmlns:c16="http://schemas.microsoft.com/office/drawing/2014/chart" uri="{C3380CC4-5D6E-409C-BE32-E72D297353CC}">
              <c16:uniqueId val="{0000000E-4B49-4ADE-B8CD-DD5F374AD671}"/>
            </c:ext>
          </c:extLst>
        </c:ser>
        <c:dLbls>
          <c:showLegendKey val="0"/>
          <c:showVal val="0"/>
          <c:showCatName val="0"/>
          <c:showSerName val="0"/>
          <c:showPercent val="0"/>
          <c:showBubbleSize val="0"/>
        </c:dLbls>
        <c:axId val="165660160"/>
        <c:axId val="165661696"/>
      </c:scatterChart>
      <c:valAx>
        <c:axId val="165647872"/>
        <c:scaling>
          <c:logBase val="10"/>
          <c:orientation val="minMax"/>
          <c:max val="1000000"/>
          <c:min val="10"/>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c:rich>
          </c:tx>
          <c:layout>
            <c:manualLayout>
              <c:xMode val="edge"/>
              <c:yMode val="edge"/>
              <c:x val="0.43129335258697837"/>
              <c:y val="0.93828708847530751"/>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165649792"/>
        <c:crossesAt val="-80"/>
        <c:crossBetween val="midCat"/>
      </c:valAx>
      <c:valAx>
        <c:axId val="165649792"/>
        <c:scaling>
          <c:orientation val="minMax"/>
          <c:max val="8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Loop Gain (dB)</a:t>
                </a:r>
              </a:p>
            </c:rich>
          </c:tx>
          <c:layout>
            <c:manualLayout>
              <c:xMode val="edge"/>
              <c:yMode val="edge"/>
              <c:x val="1.8000828843762959E-2"/>
              <c:y val="0.374150332272295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65647872"/>
        <c:crossesAt val="1.0000000000000005E-2"/>
        <c:crossBetween val="midCat"/>
        <c:majorUnit val="20"/>
      </c:valAx>
      <c:valAx>
        <c:axId val="165660160"/>
        <c:scaling>
          <c:logBase val="10"/>
          <c:orientation val="minMax"/>
        </c:scaling>
        <c:delete val="1"/>
        <c:axPos val="b"/>
        <c:numFmt formatCode="General" sourceLinked="1"/>
        <c:majorTickMark val="out"/>
        <c:minorTickMark val="none"/>
        <c:tickLblPos val="none"/>
        <c:crossAx val="165661696"/>
        <c:crosses val="autoZero"/>
        <c:crossBetween val="midCat"/>
      </c:valAx>
      <c:valAx>
        <c:axId val="165661696"/>
        <c:scaling>
          <c:orientation val="minMax"/>
          <c:max val="-45"/>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Loop Phase  (°)</a:t>
                </a:r>
              </a:p>
            </c:rich>
          </c:tx>
          <c:layout>
            <c:manualLayout>
              <c:xMode val="edge"/>
              <c:yMode val="edge"/>
              <c:x val="0.9649302942395358"/>
              <c:y val="0.367637795275590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165660160"/>
        <c:crosses val="max"/>
        <c:crossBetween val="midCat"/>
        <c:majorUnit val="45"/>
      </c:valAx>
      <c:spPr>
        <a:noFill/>
        <a:ln w="12700">
          <a:solidFill>
            <a:srgbClr val="808080"/>
          </a:solidFill>
          <a:prstDash val="solid"/>
        </a:ln>
      </c:spPr>
    </c:plotArea>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88" r="0.75000000000000688"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u="none">
                <a:latin typeface="Arial" pitchFamily="34" charset="0"/>
                <a:cs typeface="Arial" pitchFamily="34" charset="0"/>
              </a:rPr>
              <a:t>Bode Plot (Ch2), V</a:t>
            </a:r>
            <a:r>
              <a:rPr lang="en-US" sz="2000" u="none" baseline="-25000">
                <a:latin typeface="Arial" pitchFamily="34" charset="0"/>
                <a:cs typeface="Arial" pitchFamily="34" charset="0"/>
              </a:rPr>
              <a:t>IN</a:t>
            </a:r>
            <a:r>
              <a:rPr lang="en-US" sz="2000" u="none" baseline="0">
                <a:latin typeface="Arial" pitchFamily="34" charset="0"/>
                <a:cs typeface="Arial" pitchFamily="34" charset="0"/>
              </a:rPr>
              <a:t> = </a:t>
            </a:r>
            <a:r>
              <a:rPr lang="en-US" sz="2000" u="none">
                <a:latin typeface="Arial" pitchFamily="34" charset="0"/>
                <a:cs typeface="Arial" pitchFamily="34" charset="0"/>
              </a:rPr>
              <a:t>V</a:t>
            </a:r>
            <a:r>
              <a:rPr lang="en-US" sz="2000" u="none" baseline="-25000">
                <a:latin typeface="Arial" pitchFamily="34" charset="0"/>
                <a:cs typeface="Arial" pitchFamily="34" charset="0"/>
              </a:rPr>
              <a:t>IN(nom)</a:t>
            </a:r>
            <a:endParaRPr lang="en-US" sz="2000" u="none">
              <a:latin typeface="Arial" pitchFamily="34" charset="0"/>
              <a:cs typeface="Arial" pitchFamily="34" charset="0"/>
            </a:endParaRPr>
          </a:p>
        </c:rich>
      </c:tx>
      <c:layout>
        <c:manualLayout>
          <c:xMode val="edge"/>
          <c:yMode val="edge"/>
          <c:x val="8.0358613068103324E-2"/>
          <c:y val="2.0629921259842518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8"/>
        </c:manualLayout>
      </c:layout>
      <c:scatterChart>
        <c:scatterStyle val="lineMarker"/>
        <c:varyColors val="0"/>
        <c:ser>
          <c:idx val="10"/>
          <c:order val="5"/>
          <c:tx>
            <c:v>FPCOMP</c:v>
          </c:tx>
          <c:spPr>
            <a:ln>
              <a:solidFill>
                <a:schemeClr val="tx1"/>
              </a:solidFill>
            </a:ln>
          </c:spPr>
          <c:marker>
            <c:symbol val="x"/>
            <c:size val="8"/>
            <c:spPr>
              <a:noFill/>
              <a:ln w="22225">
                <a:solidFill>
                  <a:schemeClr val="tx1"/>
                </a:solidFill>
              </a:ln>
            </c:spPr>
          </c:marker>
          <c:dLbls>
            <c:dLbl>
              <c:idx val="0"/>
              <c:layout>
                <c:manualLayout>
                  <c:x val="5.8718924670594424E-3"/>
                  <c:y val="-8.0265817928798291E-3"/>
                </c:manualLayout>
              </c:layout>
              <c:tx>
                <c:rich>
                  <a:bodyPr/>
                  <a:lstStyle/>
                  <a:p>
                    <a:r>
                      <a:rPr lang="en-US">
                        <a:solidFill>
                          <a:srgbClr val="0000FF"/>
                        </a:solidFill>
                        <a:latin typeface="Arial" pitchFamily="34" charset="0"/>
                        <a:cs typeface="Arial" pitchFamily="34" charset="0"/>
                      </a:rPr>
                      <a:t>F</a:t>
                    </a:r>
                    <a:r>
                      <a:rPr lang="en-US" baseline="-25000">
                        <a:solidFill>
                          <a:srgbClr val="0000FF"/>
                        </a:solidFill>
                        <a:latin typeface="Arial" pitchFamily="34" charset="0"/>
                        <a:cs typeface="Arial" pitchFamily="34" charset="0"/>
                      </a:rPr>
                      <a:t>PCOMP</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10BD-4998-8A98-65686C23F2C0}"/>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Calculations'!$A$627</c:f>
              <c:numCache>
                <c:formatCode>0</c:formatCode>
                <c:ptCount val="1"/>
                <c:pt idx="0">
                  <c:v>100060.22121612207</c:v>
                </c:pt>
              </c:numCache>
            </c:numRef>
          </c:xVal>
          <c:yVal>
            <c:numRef>
              <c:f>'Ch2 Stability Calculations'!$Q$627</c:f>
              <c:numCache>
                <c:formatCode>0.00</c:formatCode>
                <c:ptCount val="1"/>
                <c:pt idx="0">
                  <c:v>-8.9691027933524268</c:v>
                </c:pt>
              </c:numCache>
            </c:numRef>
          </c:yVal>
          <c:smooth val="0"/>
          <c:extLst>
            <c:ext xmlns:c16="http://schemas.microsoft.com/office/drawing/2014/chart" uri="{C3380CC4-5D6E-409C-BE32-E72D297353CC}">
              <c16:uniqueId val="{00000001-10BD-4998-8A98-65686C23F2C0}"/>
            </c:ext>
          </c:extLst>
        </c:ser>
        <c:dLbls>
          <c:showLegendKey val="0"/>
          <c:showVal val="0"/>
          <c:showCatName val="0"/>
          <c:showSerName val="0"/>
          <c:showPercent val="0"/>
          <c:showBubbleSize val="0"/>
        </c:dLbls>
        <c:axId val="185161600"/>
        <c:axId val="185188352"/>
      </c:scatterChart>
      <c:scatterChart>
        <c:scatterStyle val="smoothMarker"/>
        <c:varyColors val="0"/>
        <c:ser>
          <c:idx val="2"/>
          <c:order val="0"/>
          <c:tx>
            <c:v>Loop Gain</c:v>
          </c:tx>
          <c:spPr>
            <a:ln w="31750">
              <a:solidFill>
                <a:srgbClr val="FF0000"/>
              </a:solidFill>
              <a:prstDash val="solid"/>
            </a:ln>
          </c:spPr>
          <c:marker>
            <c:symbol val="none"/>
          </c:marker>
          <c:xVal>
            <c:numRef>
              <c:f>'Ch2 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'Ch2 Stability Calculations'!$Q$13:$Q$613</c:f>
              <c:numCache>
                <c:formatCode>0.00</c:formatCode>
                <c:ptCount val="601"/>
                <c:pt idx="0">
                  <c:v>93.378696633405241</c:v>
                </c:pt>
                <c:pt idx="1">
                  <c:v>93.086580832166646</c:v>
                </c:pt>
                <c:pt idx="2">
                  <c:v>92.759584118936999</c:v>
                </c:pt>
                <c:pt idx="3">
                  <c:v>92.396513415815093</c:v>
                </c:pt>
                <c:pt idx="4">
                  <c:v>91.997018888528402</c:v>
                </c:pt>
                <c:pt idx="5">
                  <c:v>91.560403577231909</c:v>
                </c:pt>
                <c:pt idx="6">
                  <c:v>91.087853183150798</c:v>
                </c:pt>
                <c:pt idx="7">
                  <c:v>90.580236157469301</c:v>
                </c:pt>
                <c:pt idx="8">
                  <c:v>90.039602576569436</c:v>
                </c:pt>
                <c:pt idx="9">
                  <c:v>89.467620133301565</c:v>
                </c:pt>
                <c:pt idx="10">
                  <c:v>88.866970548288876</c:v>
                </c:pt>
                <c:pt idx="11">
                  <c:v>88.240110481718744</c:v>
                </c:pt>
                <c:pt idx="12">
                  <c:v>87.589289561707048</c:v>
                </c:pt>
                <c:pt idx="13">
                  <c:v>86.917703847959132</c:v>
                </c:pt>
                <c:pt idx="14">
                  <c:v>86.227296210303308</c:v>
                </c:pt>
                <c:pt idx="15">
                  <c:v>85.520649045136537</c:v>
                </c:pt>
                <c:pt idx="16">
                  <c:v>84.799847125827895</c:v>
                </c:pt>
                <c:pt idx="17">
                  <c:v>84.066933852483672</c:v>
                </c:pt>
                <c:pt idx="18">
                  <c:v>83.323427783828009</c:v>
                </c:pt>
                <c:pt idx="19">
                  <c:v>82.571056836568232</c:v>
                </c:pt>
                <c:pt idx="20">
                  <c:v>81.811008008041398</c:v>
                </c:pt>
                <c:pt idx="21">
                  <c:v>81.044595352603181</c:v>
                </c:pt>
                <c:pt idx="22">
                  <c:v>80.272653139460616</c:v>
                </c:pt>
                <c:pt idx="23">
                  <c:v>79.496226823857953</c:v>
                </c:pt>
                <c:pt idx="24">
                  <c:v>78.715846818173659</c:v>
                </c:pt>
                <c:pt idx="25">
                  <c:v>77.932251090817516</c:v>
                </c:pt>
                <c:pt idx="26">
                  <c:v>77.145778856225164</c:v>
                </c:pt>
                <c:pt idx="27">
                  <c:v>76.357120890231215</c:v>
                </c:pt>
                <c:pt idx="28">
                  <c:v>75.566618028015952</c:v>
                </c:pt>
                <c:pt idx="29">
                  <c:v>74.77507466326027</c:v>
                </c:pt>
                <c:pt idx="30">
                  <c:v>73.98141303690555</c:v>
                </c:pt>
                <c:pt idx="31">
                  <c:v>73.186960157100373</c:v>
                </c:pt>
                <c:pt idx="32">
                  <c:v>72.39136108244945</c:v>
                </c:pt>
                <c:pt idx="33">
                  <c:v>71.595336799162709</c:v>
                </c:pt>
                <c:pt idx="34">
                  <c:v>70.798402539788668</c:v>
                </c:pt>
                <c:pt idx="35">
                  <c:v>70.001114842832791</c:v>
                </c:pt>
                <c:pt idx="36">
                  <c:v>69.203442570582453</c:v>
                </c:pt>
                <c:pt idx="37">
                  <c:v>68.405032050426698</c:v>
                </c:pt>
                <c:pt idx="38">
                  <c:v>67.606707470846146</c:v>
                </c:pt>
                <c:pt idx="39">
                  <c:v>66.80787924500774</c:v>
                </c:pt>
                <c:pt idx="40">
                  <c:v>66.008894040973431</c:v>
                </c:pt>
                <c:pt idx="41">
                  <c:v>65.209720117814911</c:v>
                </c:pt>
                <c:pt idx="42">
                  <c:v>64.410497922938092</c:v>
                </c:pt>
                <c:pt idx="43">
                  <c:v>63.611017055672207</c:v>
                </c:pt>
                <c:pt idx="44">
                  <c:v>62.811509572417663</c:v>
                </c:pt>
                <c:pt idx="45">
                  <c:v>62.011829399993687</c:v>
                </c:pt>
                <c:pt idx="46">
                  <c:v>61.212149596248189</c:v>
                </c:pt>
                <c:pt idx="47">
                  <c:v>60.412306385095675</c:v>
                </c:pt>
                <c:pt idx="48">
                  <c:v>59.612502213631615</c:v>
                </c:pt>
                <c:pt idx="49">
                  <c:v>58.812535856249902</c:v>
                </c:pt>
                <c:pt idx="50">
                  <c:v>58.012531436900154</c:v>
                </c:pt>
                <c:pt idx="51">
                  <c:v>57.212300951268844</c:v>
                </c:pt>
                <c:pt idx="52">
                  <c:v>56.412095682908955</c:v>
                </c:pt>
                <c:pt idx="53">
                  <c:v>55.611879172848191</c:v>
                </c:pt>
                <c:pt idx="54">
                  <c:v>54.81214125825916</c:v>
                </c:pt>
                <c:pt idx="55">
                  <c:v>54.011520126370264</c:v>
                </c:pt>
                <c:pt idx="56">
                  <c:v>53.211122616602552</c:v>
                </c:pt>
                <c:pt idx="57">
                  <c:v>52.410391208935145</c:v>
                </c:pt>
                <c:pt idx="58">
                  <c:v>51.609878671041983</c:v>
                </c:pt>
                <c:pt idx="59">
                  <c:v>50.808946023132563</c:v>
                </c:pt>
                <c:pt idx="60">
                  <c:v>50.00801776329682</c:v>
                </c:pt>
                <c:pt idx="61">
                  <c:v>49.20693958260248</c:v>
                </c:pt>
                <c:pt idx="62">
                  <c:v>48.405241491546498</c:v>
                </c:pt>
                <c:pt idx="63">
                  <c:v>47.603640445502904</c:v>
                </c:pt>
                <c:pt idx="64">
                  <c:v>46.801434462228499</c:v>
                </c:pt>
                <c:pt idx="65">
                  <c:v>45.998858844168346</c:v>
                </c:pt>
                <c:pt idx="66">
                  <c:v>45.195762564794315</c:v>
                </c:pt>
                <c:pt idx="67">
                  <c:v>44.392157697936014</c:v>
                </c:pt>
                <c:pt idx="68">
                  <c:v>43.587689724445809</c:v>
                </c:pt>
                <c:pt idx="69">
                  <c:v>42.78243134464735</c:v>
                </c:pt>
                <c:pt idx="70">
                  <c:v>41.976052551255947</c:v>
                </c:pt>
                <c:pt idx="71">
                  <c:v>41.168518327119862</c:v>
                </c:pt>
                <c:pt idx="72">
                  <c:v>40.359422253684116</c:v>
                </c:pt>
                <c:pt idx="73">
                  <c:v>39.548691839528352</c:v>
                </c:pt>
                <c:pt idx="74">
                  <c:v>38.735804582410239</c:v>
                </c:pt>
                <c:pt idx="75">
                  <c:v>37.92052214611774</c:v>
                </c:pt>
                <c:pt idx="76">
                  <c:v>37.102238746231492</c:v>
                </c:pt>
                <c:pt idx="77">
                  <c:v>36.280746088589446</c:v>
                </c:pt>
                <c:pt idx="78">
                  <c:v>35.455491907201527</c:v>
                </c:pt>
                <c:pt idx="79">
                  <c:v>34.626423702660702</c:v>
                </c:pt>
                <c:pt idx="80">
                  <c:v>33.791526996404329</c:v>
                </c:pt>
                <c:pt idx="81">
                  <c:v>32.951328271193972</c:v>
                </c:pt>
                <c:pt idx="82">
                  <c:v>32.104620455441093</c:v>
                </c:pt>
                <c:pt idx="83">
                  <c:v>31.251400721634006</c:v>
                </c:pt>
                <c:pt idx="84">
                  <c:v>30.390476351434192</c:v>
                </c:pt>
                <c:pt idx="85">
                  <c:v>29.521918019709396</c:v>
                </c:pt>
                <c:pt idx="86">
                  <c:v>28.645363859969258</c:v>
                </c:pt>
                <c:pt idx="87">
                  <c:v>27.760343509659833</c:v>
                </c:pt>
                <c:pt idx="88">
                  <c:v>26.867998221940912</c:v>
                </c:pt>
                <c:pt idx="89">
                  <c:v>25.968239408113405</c:v>
                </c:pt>
                <c:pt idx="90">
                  <c:v>25.062377138726557</c:v>
                </c:pt>
                <c:pt idx="91">
                  <c:v>24.151632942002411</c:v>
                </c:pt>
                <c:pt idx="92">
                  <c:v>23.237705140510592</c:v>
                </c:pt>
                <c:pt idx="93">
                  <c:v>22.322084289066435</c:v>
                </c:pt>
                <c:pt idx="94">
                  <c:v>22.093246368724412</c:v>
                </c:pt>
                <c:pt idx="95">
                  <c:v>21.978134969081303</c:v>
                </c:pt>
                <c:pt idx="96">
                  <c:v>21.864356531733552</c:v>
                </c:pt>
                <c:pt idx="97">
                  <c:v>21.749292132397137</c:v>
                </c:pt>
                <c:pt idx="98">
                  <c:v>21.635567011903561</c:v>
                </c:pt>
                <c:pt idx="99">
                  <c:v>21.520534807436679</c:v>
                </c:pt>
                <c:pt idx="100">
                  <c:v>21.406848585974195</c:v>
                </c:pt>
                <c:pt idx="101">
                  <c:v>21.291922766478603</c:v>
                </c:pt>
                <c:pt idx="102">
                  <c:v>21.178347918687884</c:v>
                </c:pt>
                <c:pt idx="103">
                  <c:v>21.063431591843326</c:v>
                </c:pt>
                <c:pt idx="104">
                  <c:v>20.949873478671002</c:v>
                </c:pt>
                <c:pt idx="105">
                  <c:v>20.83504355503997</c:v>
                </c:pt>
                <c:pt idx="106">
                  <c:v>20.721577246040617</c:v>
                </c:pt>
                <c:pt idx="107">
                  <c:v>20.606905786203654</c:v>
                </c:pt>
                <c:pt idx="108">
                  <c:v>20.493601561095069</c:v>
                </c:pt>
                <c:pt idx="109">
                  <c:v>20.379078381972107</c:v>
                </c:pt>
                <c:pt idx="110">
                  <c:v>20.265926187569107</c:v>
                </c:pt>
                <c:pt idx="111">
                  <c:v>20.151468208624507</c:v>
                </c:pt>
                <c:pt idx="112">
                  <c:v>20.038386819925783</c:v>
                </c:pt>
                <c:pt idx="113">
                  <c:v>19.924068350783884</c:v>
                </c:pt>
                <c:pt idx="114">
                  <c:v>19.811130158105769</c:v>
                </c:pt>
                <c:pt idx="115">
                  <c:v>19.696948364520242</c:v>
                </c:pt>
                <c:pt idx="116">
                  <c:v>19.584150428828508</c:v>
                </c:pt>
                <c:pt idx="117">
                  <c:v>19.470104471560884</c:v>
                </c:pt>
                <c:pt idx="118">
                  <c:v>19.357445781965506</c:v>
                </c:pt>
                <c:pt idx="119">
                  <c:v>19.243605201529409</c:v>
                </c:pt>
                <c:pt idx="120">
                  <c:v>19.131153399655766</c:v>
                </c:pt>
                <c:pt idx="121">
                  <c:v>19.017515676689815</c:v>
                </c:pt>
                <c:pt idx="122">
                  <c:v>18.905268063638985</c:v>
                </c:pt>
                <c:pt idx="123">
                  <c:v>18.791766928137349</c:v>
                </c:pt>
                <c:pt idx="124">
                  <c:v>18.679658596781504</c:v>
                </c:pt>
                <c:pt idx="125">
                  <c:v>18.56636296991346</c:v>
                </c:pt>
                <c:pt idx="126">
                  <c:v>18.454460897972726</c:v>
                </c:pt>
                <c:pt idx="127">
                  <c:v>18.341372277844606</c:v>
                </c:pt>
                <c:pt idx="128">
                  <c:v>18.229677646286156</c:v>
                </c:pt>
                <c:pt idx="129">
                  <c:v>18.116798550960283</c:v>
                </c:pt>
                <c:pt idx="130">
                  <c:v>18.005313525346509</c:v>
                </c:pt>
                <c:pt idx="131">
                  <c:v>17.892647334750411</c:v>
                </c:pt>
                <c:pt idx="132">
                  <c:v>17.836838911996914</c:v>
                </c:pt>
                <c:pt idx="133">
                  <c:v>17.781374912366861</c:v>
                </c:pt>
                <c:pt idx="134">
                  <c:v>17.724945121544039</c:v>
                </c:pt>
                <c:pt idx="135">
                  <c:v>17.668868031267163</c:v>
                </c:pt>
                <c:pt idx="136">
                  <c:v>17.613139545110212</c:v>
                </c:pt>
                <c:pt idx="137">
                  <c:v>17.557755631163246</c:v>
                </c:pt>
                <c:pt idx="138">
                  <c:v>17.501466551048356</c:v>
                </c:pt>
                <c:pt idx="139">
                  <c:v>17.44552953828418</c:v>
                </c:pt>
                <c:pt idx="140">
                  <c:v>17.389940481374307</c:v>
                </c:pt>
                <c:pt idx="141">
                  <c:v>17.334695334056935</c:v>
                </c:pt>
                <c:pt idx="142">
                  <c:v>17.278492217223977</c:v>
                </c:pt>
                <c:pt idx="143">
                  <c:v>17.22264113647109</c:v>
                </c:pt>
                <c:pt idx="144">
                  <c:v>17.167137955013665</c:v>
                </c:pt>
                <c:pt idx="145">
                  <c:v>17.111978602253465</c:v>
                </c:pt>
                <c:pt idx="146">
                  <c:v>17.055893221691303</c:v>
                </c:pt>
                <c:pt idx="147">
                  <c:v>17.000159368450355</c:v>
                </c:pt>
                <c:pt idx="148">
                  <c:v>16.944772889191565</c:v>
                </c:pt>
                <c:pt idx="149">
                  <c:v>16.889729697543615</c:v>
                </c:pt>
                <c:pt idx="150">
                  <c:v>16.833764923310564</c:v>
                </c:pt>
                <c:pt idx="151">
                  <c:v>16.778151049806379</c:v>
                </c:pt>
                <c:pt idx="152">
                  <c:v>16.722883909692364</c:v>
                </c:pt>
                <c:pt idx="153">
                  <c:v>16.667959403335178</c:v>
                </c:pt>
                <c:pt idx="154">
                  <c:v>16.612092565358804</c:v>
                </c:pt>
                <c:pt idx="155">
                  <c:v>16.556576203076627</c:v>
                </c:pt>
                <c:pt idx="156">
                  <c:v>16.501406132086601</c:v>
                </c:pt>
                <c:pt idx="157">
                  <c:v>16.446578236504624</c:v>
                </c:pt>
                <c:pt idx="158">
                  <c:v>16.390814215466509</c:v>
                </c:pt>
                <c:pt idx="159">
                  <c:v>16.335400102633564</c:v>
                </c:pt>
                <c:pt idx="160">
                  <c:v>16.280331699637355</c:v>
                </c:pt>
                <c:pt idx="161">
                  <c:v>16.225604877379244</c:v>
                </c:pt>
                <c:pt idx="162">
                  <c:v>16.169972823630523</c:v>
                </c:pt>
                <c:pt idx="163">
                  <c:v>16.114689664801421</c:v>
                </c:pt>
                <c:pt idx="164">
                  <c:v>16.059751197205884</c:v>
                </c:pt>
                <c:pt idx="165">
                  <c:v>16.005153286992279</c:v>
                </c:pt>
                <c:pt idx="166">
                  <c:v>15.949608524863518</c:v>
                </c:pt>
                <c:pt idx="167">
                  <c:v>15.894412122465395</c:v>
                </c:pt>
                <c:pt idx="168">
                  <c:v>15.839559862860241</c:v>
                </c:pt>
                <c:pt idx="169">
                  <c:v>15.785047599685116</c:v>
                </c:pt>
                <c:pt idx="170">
                  <c:v>15.729712325102206</c:v>
                </c:pt>
                <c:pt idx="171">
                  <c:v>15.674723269284074</c:v>
                </c:pt>
                <c:pt idx="172">
                  <c:v>15.620076231885431</c:v>
                </c:pt>
                <c:pt idx="173">
                  <c:v>15.565767083207461</c:v>
                </c:pt>
                <c:pt idx="174">
                  <c:v>15.510435319389984</c:v>
                </c:pt>
                <c:pt idx="175">
                  <c:v>15.455450126385131</c:v>
                </c:pt>
                <c:pt idx="176">
                  <c:v>15.400807275920336</c:v>
                </c:pt>
                <c:pt idx="177">
                  <c:v>15.346502611433607</c:v>
                </c:pt>
                <c:pt idx="178">
                  <c:v>15.291209076025968</c:v>
                </c:pt>
                <c:pt idx="179">
                  <c:v>15.236261953225299</c:v>
                </c:pt>
                <c:pt idx="180">
                  <c:v>15.181656996698891</c:v>
                </c:pt>
                <c:pt idx="181">
                  <c:v>15.127390032666826</c:v>
                </c:pt>
                <c:pt idx="182">
                  <c:v>15.072381674736516</c:v>
                </c:pt>
                <c:pt idx="183">
                  <c:v>15.017716416525138</c:v>
                </c:pt>
                <c:pt idx="184">
                  <c:v>14.963390052262788</c:v>
                </c:pt>
                <c:pt idx="185">
                  <c:v>14.909398448232508</c:v>
                </c:pt>
                <c:pt idx="186">
                  <c:v>14.854269122082391</c:v>
                </c:pt>
                <c:pt idx="187">
                  <c:v>14.799484567197435</c:v>
                </c:pt>
                <c:pt idx="188">
                  <c:v>14.745040527603146</c:v>
                </c:pt>
                <c:pt idx="189">
                  <c:v>14.690932820940766</c:v>
                </c:pt>
                <c:pt idx="190">
                  <c:v>14.636134291193112</c:v>
                </c:pt>
                <c:pt idx="191">
                  <c:v>14.581676510642311</c:v>
                </c:pt>
                <c:pt idx="192">
                  <c:v>14.527555278760698</c:v>
                </c:pt>
                <c:pt idx="193">
                  <c:v>14.473766467762948</c:v>
                </c:pt>
                <c:pt idx="194">
                  <c:v>14.418908817158705</c:v>
                </c:pt>
                <c:pt idx="195">
                  <c:v>14.364392666549664</c:v>
                </c:pt>
                <c:pt idx="196">
                  <c:v>14.31021378356485</c:v>
                </c:pt>
                <c:pt idx="197">
                  <c:v>14.256368009700404</c:v>
                </c:pt>
                <c:pt idx="198">
                  <c:v>14.201683009963666</c:v>
                </c:pt>
                <c:pt idx="199">
                  <c:v>14.14733731651592</c:v>
                </c:pt>
                <c:pt idx="200">
                  <c:v>14.093326720339807</c:v>
                </c:pt>
                <c:pt idx="201">
                  <c:v>14.039647086119189</c:v>
                </c:pt>
                <c:pt idx="202">
                  <c:v>13.985154625685428</c:v>
                </c:pt>
                <c:pt idx="203">
                  <c:v>13.930998970123822</c:v>
                </c:pt>
                <c:pt idx="204">
                  <c:v>13.877175940300289</c:v>
                </c:pt>
                <c:pt idx="205">
                  <c:v>13.8236814304452</c:v>
                </c:pt>
                <c:pt idx="206">
                  <c:v>13.76921407680415</c:v>
                </c:pt>
                <c:pt idx="207">
                  <c:v>13.715083026521839</c:v>
                </c:pt>
                <c:pt idx="208">
                  <c:v>13.661284093952624</c:v>
                </c:pt>
                <c:pt idx="209">
                  <c:v>13.607813167312152</c:v>
                </c:pt>
                <c:pt idx="210">
                  <c:v>13.553219601218697</c:v>
                </c:pt>
                <c:pt idx="211">
                  <c:v>13.498963632345824</c:v>
                </c:pt>
                <c:pt idx="212">
                  <c:v>13.44504103556126</c:v>
                </c:pt>
                <c:pt idx="213">
                  <c:v>13.391447660857157</c:v>
                </c:pt>
                <c:pt idx="214">
                  <c:v>13.337120884213425</c:v>
                </c:pt>
                <c:pt idx="215">
                  <c:v>13.283128096793753</c:v>
                </c:pt>
                <c:pt idx="216">
                  <c:v>13.229465126175462</c:v>
                </c:pt>
                <c:pt idx="217">
                  <c:v>13.176127874132053</c:v>
                </c:pt>
                <c:pt idx="218">
                  <c:v>13.121907211037726</c:v>
                </c:pt>
                <c:pt idx="219">
                  <c:v>13.068018847671874</c:v>
                </c:pt>
                <c:pt idx="220">
                  <c:v>13.014458629133934</c:v>
                </c:pt>
                <c:pt idx="221">
                  <c:v>12.961222474603346</c:v>
                </c:pt>
                <c:pt idx="222">
                  <c:v>12.907130334053576</c:v>
                </c:pt>
                <c:pt idx="223">
                  <c:v>12.853368472328153</c:v>
                </c:pt>
                <c:pt idx="224">
                  <c:v>12.799932758844905</c:v>
                </c:pt>
                <c:pt idx="225">
                  <c:v>12.746819136805863</c:v>
                </c:pt>
                <c:pt idx="226">
                  <c:v>12.692711874282478</c:v>
                </c:pt>
                <c:pt idx="227">
                  <c:v>12.638934558877359</c:v>
                </c:pt>
                <c:pt idx="228">
                  <c:v>12.585483053240365</c:v>
                </c:pt>
                <c:pt idx="229">
                  <c:v>12.532353294231701</c:v>
                </c:pt>
                <c:pt idx="230">
                  <c:v>12.424497957161794</c:v>
                </c:pt>
                <c:pt idx="231">
                  <c:v>12.371059931292184</c:v>
                </c:pt>
                <c:pt idx="232">
                  <c:v>12.317942894099117</c:v>
                </c:pt>
                <c:pt idx="233">
                  <c:v>12.263893263405228</c:v>
                </c:pt>
                <c:pt idx="234">
                  <c:v>12.210171659997179</c:v>
                </c:pt>
                <c:pt idx="235">
                  <c:v>12.15677395780888</c:v>
                </c:pt>
                <c:pt idx="236">
                  <c:v>12.103696105198855</c:v>
                </c:pt>
                <c:pt idx="237">
                  <c:v>12.04986683240146</c:v>
                </c:pt>
                <c:pt idx="238">
                  <c:v>11.99636222856582</c:v>
                </c:pt>
                <c:pt idx="239">
                  <c:v>11.943178218951385</c:v>
                </c:pt>
                <c:pt idx="240">
                  <c:v>11.890310802228527</c:v>
                </c:pt>
                <c:pt idx="241">
                  <c:v>11.836416384283048</c:v>
                </c:pt>
                <c:pt idx="242">
                  <c:v>11.782846660479089</c:v>
                </c:pt>
                <c:pt idx="243">
                  <c:v>11.729597544180159</c:v>
                </c:pt>
                <c:pt idx="244">
                  <c:v>11.676665022645656</c:v>
                </c:pt>
                <c:pt idx="245">
                  <c:v>11.622882575472387</c:v>
                </c:pt>
                <c:pt idx="246">
                  <c:v>11.569422661268163</c:v>
                </c:pt>
                <c:pt idx="247">
                  <c:v>11.516281222876634</c:v>
                </c:pt>
                <c:pt idx="248">
                  <c:v>11.463454276512604</c:v>
                </c:pt>
                <c:pt idx="249">
                  <c:v>11.40966087046699</c:v>
                </c:pt>
                <c:pt idx="250">
                  <c:v>11.356189250325661</c:v>
                </c:pt>
                <c:pt idx="251">
                  <c:v>11.303035362036365</c:v>
                </c:pt>
                <c:pt idx="252">
                  <c:v>11.250195225011247</c:v>
                </c:pt>
                <c:pt idx="253">
                  <c:v>11.196556498211358</c:v>
                </c:pt>
                <c:pt idx="254">
                  <c:v>11.143236780949033</c:v>
                </c:pt>
                <c:pt idx="255">
                  <c:v>11.0902320606553</c:v>
                </c:pt>
                <c:pt idx="256">
                  <c:v>11.03753839737889</c:v>
                </c:pt>
                <c:pt idx="257">
                  <c:v>10.983798807462472</c:v>
                </c:pt>
                <c:pt idx="258">
                  <c:v>10.930378426607586</c:v>
                </c:pt>
                <c:pt idx="259">
                  <c:v>10.877273227813806</c:v>
                </c:pt>
                <c:pt idx="260">
                  <c:v>10.824479257182825</c:v>
                </c:pt>
                <c:pt idx="261">
                  <c:v>10.770803296281953</c:v>
                </c:pt>
                <c:pt idx="262">
                  <c:v>10.717444732389749</c:v>
                </c:pt>
                <c:pt idx="263">
                  <c:v>10.664399562015587</c:v>
                </c:pt>
                <c:pt idx="264">
                  <c:v>10.61166385432594</c:v>
                </c:pt>
                <c:pt idx="265">
                  <c:v>10.558072077876632</c:v>
                </c:pt>
                <c:pt idx="266">
                  <c:v>10.504795589553577</c:v>
                </c:pt>
                <c:pt idx="267">
                  <c:v>10.451830414983563</c:v>
                </c:pt>
                <c:pt idx="268">
                  <c:v>10.39917265185538</c:v>
                </c:pt>
                <c:pt idx="269">
                  <c:v>10.345557597839321</c:v>
                </c:pt>
                <c:pt idx="270">
                  <c:v>10.29225692466688</c:v>
                </c:pt>
                <c:pt idx="271">
                  <c:v>10.239266664368397</c:v>
                </c:pt>
                <c:pt idx="272">
                  <c:v>10.186582920974335</c:v>
                </c:pt>
                <c:pt idx="273">
                  <c:v>10.132970089563855</c:v>
                </c:pt>
                <c:pt idx="274">
                  <c:v>10.079670367568436</c:v>
                </c:pt>
                <c:pt idx="275">
                  <c:v>10.026679800155803</c:v>
                </c:pt>
                <c:pt idx="276">
                  <c:v>9.9739945042555398</c:v>
                </c:pt>
                <c:pt idx="277">
                  <c:v>9.9205275298026407</c:v>
                </c:pt>
                <c:pt idx="278">
                  <c:v>9.867370664906721</c:v>
                </c:pt>
                <c:pt idx="279">
                  <c:v>9.8145200003170014</c:v>
                </c:pt>
                <c:pt idx="280">
                  <c:v>9.7619716975111075</c:v>
                </c:pt>
                <c:pt idx="281">
                  <c:v>9.7083107637053185</c:v>
                </c:pt>
                <c:pt idx="282">
                  <c:v>9.6549608080198421</c:v>
                </c:pt>
                <c:pt idx="283">
                  <c:v>9.6019178934945302</c:v>
                </c:pt>
                <c:pt idx="284">
                  <c:v>9.5491781546161292</c:v>
                </c:pt>
                <c:pt idx="285">
                  <c:v>9.4957035078270486</c:v>
                </c:pt>
                <c:pt idx="286">
                  <c:v>9.4425362492755429</c:v>
                </c:pt>
                <c:pt idx="287">
                  <c:v>9.3896724982115316</c:v>
                </c:pt>
                <c:pt idx="288">
                  <c:v>9.3371084440164296</c:v>
                </c:pt>
                <c:pt idx="289">
                  <c:v>9.2834924762444011</c:v>
                </c:pt>
                <c:pt idx="290">
                  <c:v>9.2301840024323578</c:v>
                </c:pt>
                <c:pt idx="291">
                  <c:v>9.1771791278048571</c:v>
                </c:pt>
                <c:pt idx="292">
                  <c:v>9.1244740280797547</c:v>
                </c:pt>
                <c:pt idx="293">
                  <c:v>9.0708572834753145</c:v>
                </c:pt>
                <c:pt idx="294">
                  <c:v>9.0175464490746684</c:v>
                </c:pt>
                <c:pt idx="295">
                  <c:v>8.964537647540423</c:v>
                </c:pt>
                <c:pt idx="296">
                  <c:v>8.9118270716210706</c:v>
                </c:pt>
                <c:pt idx="297">
                  <c:v>8.8582304183987084</c:v>
                </c:pt>
                <c:pt idx="298">
                  <c:v>8.8049377799936774</c:v>
                </c:pt>
                <c:pt idx="299">
                  <c:v>8.751945301892226</c:v>
                </c:pt>
                <c:pt idx="300">
                  <c:v>8.6992491991176877</c:v>
                </c:pt>
                <c:pt idx="301">
                  <c:v>8.6456915244256614</c:v>
                </c:pt>
                <c:pt idx="302">
                  <c:v>8.5924356822845205</c:v>
                </c:pt>
                <c:pt idx="303">
                  <c:v>8.5394778458600644</c:v>
                </c:pt>
                <c:pt idx="304">
                  <c:v>8.4868142571786862</c:v>
                </c:pt>
                <c:pt idx="305">
                  <c:v>8.4331073768696498</c:v>
                </c:pt>
                <c:pt idx="306">
                  <c:v>8.3797021760024819</c:v>
                </c:pt>
                <c:pt idx="307">
                  <c:v>8.3265948162149073</c:v>
                </c:pt>
                <c:pt idx="308">
                  <c:v>8.2737815282549487</c:v>
                </c:pt>
                <c:pt idx="309">
                  <c:v>8.220154902997006</c:v>
                </c:pt>
                <c:pt idx="310">
                  <c:v>8.1668271447994769</c:v>
                </c:pt>
                <c:pt idx="311">
                  <c:v>8.1137944535305255</c:v>
                </c:pt>
                <c:pt idx="312">
                  <c:v>8.0610530972166963</c:v>
                </c:pt>
                <c:pt idx="313">
                  <c:v>8.0073236154426723</c:v>
                </c:pt>
                <c:pt idx="314">
                  <c:v>7.9538921376445977</c:v>
                </c:pt>
                <c:pt idx="315">
                  <c:v>7.9007548640022893</c:v>
                </c:pt>
                <c:pt idx="316">
                  <c:v>7.8479080627954172</c:v>
                </c:pt>
                <c:pt idx="317">
                  <c:v>7.7941001062767867</c:v>
                </c:pt>
                <c:pt idx="318">
                  <c:v>7.7405889143875131</c:v>
                </c:pt>
                <c:pt idx="319">
                  <c:v>7.6873706937859261</c:v>
                </c:pt>
                <c:pt idx="320">
                  <c:v>7.6344417190119707</c:v>
                </c:pt>
                <c:pt idx="321">
                  <c:v>7.5805774350517989</c:v>
                </c:pt>
                <c:pt idx="322">
                  <c:v>7.5270083251280626</c:v>
                </c:pt>
                <c:pt idx="323">
                  <c:v>7.4737306080215538</c:v>
                </c:pt>
                <c:pt idx="324">
                  <c:v>7.4207405700296549</c:v>
                </c:pt>
                <c:pt idx="325">
                  <c:v>7.3668399723418005</c:v>
                </c:pt>
                <c:pt idx="326">
                  <c:v>7.3132326308088116</c:v>
                </c:pt>
                <c:pt idx="327">
                  <c:v>7.2599147814656897</c:v>
                </c:pt>
                <c:pt idx="328">
                  <c:v>7.2068827273651976</c:v>
                </c:pt>
                <c:pt idx="329">
                  <c:v>7.1528738739348343</c:v>
                </c:pt>
                <c:pt idx="330">
                  <c:v>7.0991570221550582</c:v>
                </c:pt>
                <c:pt idx="331">
                  <c:v>7.0457284113140028</c:v>
                </c:pt>
                <c:pt idx="332">
                  <c:v>6.9925843475374343</c:v>
                </c:pt>
                <c:pt idx="333">
                  <c:v>6.9385770096754049</c:v>
                </c:pt>
                <c:pt idx="334">
                  <c:v>6.8848591148325164</c:v>
                </c:pt>
                <c:pt idx="335">
                  <c:v>6.8314269293017214</c:v>
                </c:pt>
                <c:pt idx="336">
                  <c:v>6.7782767854603296</c:v>
                </c:pt>
                <c:pt idx="337">
                  <c:v>6.7241126708076449</c:v>
                </c:pt>
                <c:pt idx="338">
                  <c:v>6.6702370051375866</c:v>
                </c:pt>
                <c:pt idx="339">
                  <c:v>6.6166460500670263</c:v>
                </c:pt>
                <c:pt idx="340">
                  <c:v>6.5633361332767661</c:v>
                </c:pt>
                <c:pt idx="341">
                  <c:v>6.5090382956817052</c:v>
                </c:pt>
                <c:pt idx="342">
                  <c:v>6.4550275171090679</c:v>
                </c:pt>
                <c:pt idx="343">
                  <c:v>6.4013000604207697</c:v>
                </c:pt>
                <c:pt idx="344">
                  <c:v>6.3478522543680551</c:v>
                </c:pt>
                <c:pt idx="345">
                  <c:v>6.293524031909806</c:v>
                </c:pt>
                <c:pt idx="346">
                  <c:v>6.2394802435523919</c:v>
                </c:pt>
                <c:pt idx="347">
                  <c:v>6.1857171756831928</c:v>
                </c:pt>
                <c:pt idx="348">
                  <c:v>6.1322311798688194</c:v>
                </c:pt>
                <c:pt idx="349">
                  <c:v>6.0777241919696721</c:v>
                </c:pt>
                <c:pt idx="350">
                  <c:v>6.0235004091125557</c:v>
                </c:pt>
                <c:pt idx="351">
                  <c:v>5.969556112034792</c:v>
                </c:pt>
                <c:pt idx="352">
                  <c:v>5.9158876466095425</c:v>
                </c:pt>
                <c:pt idx="353">
                  <c:v>5.8612233726109064</c:v>
                </c:pt>
                <c:pt idx="354">
                  <c:v>5.8068406723815249</c:v>
                </c:pt>
                <c:pt idx="355">
                  <c:v>5.7527358266753215</c:v>
                </c:pt>
                <c:pt idx="356">
                  <c:v>5.6989051811900096</c:v>
                </c:pt>
                <c:pt idx="357">
                  <c:v>5.644180399336002</c:v>
                </c:pt>
                <c:pt idx="358">
                  <c:v>5.5897343912697863</c:v>
                </c:pt>
                <c:pt idx="359">
                  <c:v>5.5355634586083236</c:v>
                </c:pt>
                <c:pt idx="360">
                  <c:v>5.481663967221742</c:v>
                </c:pt>
                <c:pt idx="361">
                  <c:v>5.4267387094035646</c:v>
                </c:pt>
                <c:pt idx="362">
                  <c:v>5.3720906633972429</c:v>
                </c:pt>
                <c:pt idx="363">
                  <c:v>5.3177161246930735</c:v>
                </c:pt>
                <c:pt idx="364">
                  <c:v>5.2636114529517268</c:v>
                </c:pt>
                <c:pt idx="365">
                  <c:v>5.2085796594578282</c:v>
                </c:pt>
                <c:pt idx="366">
                  <c:v>5.1538223665230012</c:v>
                </c:pt>
                <c:pt idx="367">
                  <c:v>5.0993358837897933</c:v>
                </c:pt>
                <c:pt idx="368">
                  <c:v>5.0451165845047488</c:v>
                </c:pt>
                <c:pt idx="369">
                  <c:v>4.9898446084227306</c:v>
                </c:pt>
                <c:pt idx="370">
                  <c:v>4.9348455367647714</c:v>
                </c:pt>
                <c:pt idx="371">
                  <c:v>4.8801156679971402</c:v>
                </c:pt>
                <c:pt idx="372">
                  <c:v>4.8256513641867542</c:v>
                </c:pt>
                <c:pt idx="373">
                  <c:v>4.7702299739988492</c:v>
                </c:pt>
                <c:pt idx="374">
                  <c:v>4.7150787624871739</c:v>
                </c:pt>
                <c:pt idx="375">
                  <c:v>4.6601940366407764</c:v>
                </c:pt>
                <c:pt idx="376">
                  <c:v>4.6055721665778222</c:v>
                </c:pt>
                <c:pt idx="377">
                  <c:v>4.5498731530780674</c:v>
                </c:pt>
                <c:pt idx="378">
                  <c:v>4.4944425911460986</c:v>
                </c:pt>
                <c:pt idx="379">
                  <c:v>4.4392767724123692</c:v>
                </c:pt>
                <c:pt idx="380">
                  <c:v>4.3843720516890166</c:v>
                </c:pt>
                <c:pt idx="381">
                  <c:v>4.3285516970757341</c:v>
                </c:pt>
                <c:pt idx="382">
                  <c:v>4.2729963043458916</c:v>
                </c:pt>
                <c:pt idx="383">
                  <c:v>4.2177021825060912</c:v>
                </c:pt>
                <c:pt idx="384">
                  <c:v>4.1626657030384138</c:v>
                </c:pt>
                <c:pt idx="385">
                  <c:v>4.1065288142334202</c:v>
                </c:pt>
                <c:pt idx="386">
                  <c:v>4.0506549756182277</c:v>
                </c:pt>
                <c:pt idx="387">
                  <c:v>3.9950404767785686</c:v>
                </c:pt>
                <c:pt idx="388">
                  <c:v>3.9396816698804171</c:v>
                </c:pt>
                <c:pt idx="389">
                  <c:v>3.8833118478523088</c:v>
                </c:pt>
                <c:pt idx="390">
                  <c:v>3.8272020732850165</c:v>
                </c:pt>
                <c:pt idx="391">
                  <c:v>3.7713486348558742</c:v>
                </c:pt>
                <c:pt idx="392">
                  <c:v>3.7157478834928637</c:v>
                </c:pt>
                <c:pt idx="393">
                  <c:v>3.6591559412853467</c:v>
                </c:pt>
                <c:pt idx="394">
                  <c:v>3.6028206411682762</c:v>
                </c:pt>
                <c:pt idx="395">
                  <c:v>3.5467382750635386</c:v>
                </c:pt>
                <c:pt idx="396">
                  <c:v>3.4909051967063114</c:v>
                </c:pt>
                <c:pt idx="397">
                  <c:v>3.433971325270945</c:v>
                </c:pt>
                <c:pt idx="398">
                  <c:v>3.3772914413932402</c:v>
                </c:pt>
                <c:pt idx="399">
                  <c:v>3.3208618190230608</c:v>
                </c:pt>
                <c:pt idx="400">
                  <c:v>3.2646787939407194</c:v>
                </c:pt>
                <c:pt idx="401">
                  <c:v>3.2074787844423702</c:v>
                </c:pt>
                <c:pt idx="402">
                  <c:v>3.1505290730928777</c:v>
                </c:pt>
                <c:pt idx="403">
                  <c:v>3.093825933124295</c:v>
                </c:pt>
                <c:pt idx="404">
                  <c:v>3.0373656992216396</c:v>
                </c:pt>
                <c:pt idx="405">
                  <c:v>2.9798444410305986</c:v>
                </c:pt>
                <c:pt idx="406">
                  <c:v>2.9225699074575715</c:v>
                </c:pt>
                <c:pt idx="407">
                  <c:v>2.8655383628585844</c:v>
                </c:pt>
                <c:pt idx="408">
                  <c:v>2.8087461328342163</c:v>
                </c:pt>
                <c:pt idx="409">
                  <c:v>2.7508502106190629</c:v>
                </c:pt>
                <c:pt idx="410">
                  <c:v>2.6931974941984596</c:v>
                </c:pt>
                <c:pt idx="411">
                  <c:v>2.6357842315529751</c:v>
                </c:pt>
                <c:pt idx="412">
                  <c:v>2.5786067318547894</c:v>
                </c:pt>
                <c:pt idx="413">
                  <c:v>2.5203439639695553</c:v>
                </c:pt>
                <c:pt idx="414">
                  <c:v>2.4623203894255772</c:v>
                </c:pt>
                <c:pt idx="415">
                  <c:v>2.404532244475686</c:v>
                </c:pt>
                <c:pt idx="416">
                  <c:v>2.3469758264070997</c:v>
                </c:pt>
                <c:pt idx="417">
                  <c:v>2.2882922962752081</c:v>
                </c:pt>
                <c:pt idx="418">
                  <c:v>2.229843938415728</c:v>
                </c:pt>
                <c:pt idx="419">
                  <c:v>2.1716269703682478</c:v>
                </c:pt>
                <c:pt idx="420">
                  <c:v>2.1136376707027282</c:v>
                </c:pt>
                <c:pt idx="421">
                  <c:v>2.0545963763533539</c:v>
                </c:pt>
                <c:pt idx="422">
                  <c:v>1.9957852668568878</c:v>
                </c:pt>
                <c:pt idx="423">
                  <c:v>1.9372005568699895</c:v>
                </c:pt>
                <c:pt idx="424">
                  <c:v>1.8788385217476149</c:v>
                </c:pt>
                <c:pt idx="425">
                  <c:v>1.8192675414758903</c:v>
                </c:pt>
                <c:pt idx="426">
                  <c:v>1.7599226021175451</c:v>
                </c:pt>
                <c:pt idx="427">
                  <c:v>1.7007998865919411</c:v>
                </c:pt>
                <c:pt idx="428">
                  <c:v>1.6418956388196801</c:v>
                </c:pt>
                <c:pt idx="429">
                  <c:v>1.5818555946217618</c:v>
                </c:pt>
                <c:pt idx="430">
                  <c:v>1.5220364441634613</c:v>
                </c:pt>
                <c:pt idx="431">
                  <c:v>1.4624343548925711</c:v>
                </c:pt>
                <c:pt idx="432">
                  <c:v>1.4030455552450618</c:v>
                </c:pt>
                <c:pt idx="433">
                  <c:v>1.3425351031767758</c:v>
                </c:pt>
                <c:pt idx="434">
                  <c:v>1.2822398756441864</c:v>
                </c:pt>
                <c:pt idx="435">
                  <c:v>1.2221560293888007</c:v>
                </c:pt>
                <c:pt idx="436">
                  <c:v>1.1622797820719259</c:v>
                </c:pt>
                <c:pt idx="437">
                  <c:v>1.101185187779133</c:v>
                </c:pt>
                <c:pt idx="438">
                  <c:v>1.0403003887112352</c:v>
                </c:pt>
                <c:pt idx="439">
                  <c:v>0.97962151494641148</c:v>
                </c:pt>
                <c:pt idx="440">
                  <c:v>0.91914475781159921</c:v>
                </c:pt>
                <c:pt idx="441">
                  <c:v>0.85746311075730541</c:v>
                </c:pt>
                <c:pt idx="442">
                  <c:v>0.79598523729844572</c:v>
                </c:pt>
                <c:pt idx="443">
                  <c:v>0.7347072467058291</c:v>
                </c:pt>
                <c:pt idx="444">
                  <c:v>0.67362530978462498</c:v>
                </c:pt>
                <c:pt idx="445">
                  <c:v>0.61135037475281251</c:v>
                </c:pt>
                <c:pt idx="446">
                  <c:v>0.54927261892809254</c:v>
                </c:pt>
                <c:pt idx="447">
                  <c:v>0.48738813667737235</c:v>
                </c:pt>
                <c:pt idx="448">
                  <c:v>0.42569308416631618</c:v>
                </c:pt>
                <c:pt idx="449">
                  <c:v>0.36271012355426763</c:v>
                </c:pt>
                <c:pt idx="450">
                  <c:v>0.29991782710264164</c:v>
                </c:pt>
                <c:pt idx="451">
                  <c:v>0.23731226074707612</c:v>
                </c:pt>
                <c:pt idx="452">
                  <c:v>0.17488955290086061</c:v>
                </c:pt>
                <c:pt idx="453">
                  <c:v>0.11124159017702986</c:v>
                </c:pt>
                <c:pt idx="454">
                  <c:v>4.7776848400044203E-2</c:v>
                </c:pt>
                <c:pt idx="455">
                  <c:v>-1.5508617883755389E-2</c:v>
                </c:pt>
                <c:pt idx="456">
                  <c:v>-7.8618691170775787E-2</c:v>
                </c:pt>
                <c:pt idx="457">
                  <c:v>-0.14304876957419191</c:v>
                </c:pt>
                <c:pt idx="458">
                  <c:v>-0.20730306916371971</c:v>
                </c:pt>
                <c:pt idx="459">
                  <c:v>-0.27138555843325313</c:v>
                </c:pt>
                <c:pt idx="460">
                  <c:v>-0.33530014199674563</c:v>
                </c:pt>
                <c:pt idx="461">
                  <c:v>-0.40052657626276639</c:v>
                </c:pt>
                <c:pt idx="462">
                  <c:v>-0.46558530068351334</c:v>
                </c:pt>
                <c:pt idx="463">
                  <c:v>-0.53048029795954155</c:v>
                </c:pt>
                <c:pt idx="464">
                  <c:v>-0.59521548594028406</c:v>
                </c:pt>
                <c:pt idx="465">
                  <c:v>-0.66130645495348406</c:v>
                </c:pt>
                <c:pt idx="466">
                  <c:v>-0.72723813637497747</c:v>
                </c:pt>
                <c:pt idx="467">
                  <c:v>-0.79301452672570116</c:v>
                </c:pt>
                <c:pt idx="468">
                  <c:v>-0.85863955642971601</c:v>
                </c:pt>
                <c:pt idx="469">
                  <c:v>-0.92561487910402251</c:v>
                </c:pt>
                <c:pt idx="470">
                  <c:v>-0.99243994166418215</c:v>
                </c:pt>
                <c:pt idx="471">
                  <c:v>-1.0591187436392171</c:v>
                </c:pt>
                <c:pt idx="472">
                  <c:v>-1.1256552171202237</c:v>
                </c:pt>
                <c:pt idx="473">
                  <c:v>-1.1936371907473804</c:v>
                </c:pt>
                <c:pt idx="474">
                  <c:v>-1.2614780879042076</c:v>
                </c:pt>
                <c:pt idx="475">
                  <c:v>-1.329181916748988</c:v>
                </c:pt>
                <c:pt idx="476">
                  <c:v>-1.3967526161415327</c:v>
                </c:pt>
                <c:pt idx="477">
                  <c:v>-1.4657655231607261</c:v>
                </c:pt>
                <c:pt idx="478">
                  <c:v>-1.5346471463880711</c:v>
                </c:pt>
                <c:pt idx="479">
                  <c:v>-1.603401488540336</c:v>
                </c:pt>
                <c:pt idx="480">
                  <c:v>-1.672032481037762</c:v>
                </c:pt>
                <c:pt idx="481">
                  <c:v>-1.7421041380595761</c:v>
                </c:pt>
                <c:pt idx="482">
                  <c:v>-1.8120548539835131</c:v>
                </c:pt>
                <c:pt idx="483">
                  <c:v>-1.8818886107235309</c:v>
                </c:pt>
                <c:pt idx="484">
                  <c:v>-1.9516093167417861</c:v>
                </c:pt>
                <c:pt idx="485">
                  <c:v>-2.0228192613165592</c:v>
                </c:pt>
                <c:pt idx="486">
                  <c:v>-2.0939189430455629</c:v>
                </c:pt>
                <c:pt idx="487">
                  <c:v>-2.1649123142636135</c:v>
                </c:pt>
                <c:pt idx="488">
                  <c:v>-2.2358032513227371</c:v>
                </c:pt>
                <c:pt idx="489">
                  <c:v>-2.3082810619046361</c:v>
                </c:pt>
                <c:pt idx="490">
                  <c:v>-2.3806594827838925</c:v>
                </c:pt>
                <c:pt idx="491">
                  <c:v>-2.4529424331476317</c:v>
                </c:pt>
                <c:pt idx="492">
                  <c:v>-2.525133753073975</c:v>
                </c:pt>
                <c:pt idx="493">
                  <c:v>-2.5989141274561147</c:v>
                </c:pt>
                <c:pt idx="494">
                  <c:v>-2.6726064430935943</c:v>
                </c:pt>
                <c:pt idx="495">
                  <c:v>-2.7462145637553474</c:v>
                </c:pt>
                <c:pt idx="496">
                  <c:v>-2.8197422707925006</c:v>
                </c:pt>
                <c:pt idx="497">
                  <c:v>-2.8949105271934537</c:v>
                </c:pt>
                <c:pt idx="498">
                  <c:v>-2.9700023171699801</c:v>
                </c:pt>
                <c:pt idx="499">
                  <c:v>-3.0450214320797797</c:v>
                </c:pt>
                <c:pt idx="500">
                  <c:v>-3.1199715771686205</c:v>
                </c:pt>
                <c:pt idx="501">
                  <c:v>-3.1966148141565505</c:v>
                </c:pt>
                <c:pt idx="502">
                  <c:v>-3.2731933847460408</c:v>
                </c:pt>
                <c:pt idx="503">
                  <c:v>-3.34971098780135</c:v>
                </c:pt>
                <c:pt idx="504">
                  <c:v>-3.4261712320140609</c:v>
                </c:pt>
                <c:pt idx="505">
                  <c:v>-3.5043307772249399</c:v>
                </c:pt>
                <c:pt idx="506">
                  <c:v>-3.5824376549679577</c:v>
                </c:pt>
                <c:pt idx="507">
                  <c:v>-3.6604954419083451</c:v>
                </c:pt>
                <c:pt idx="508">
                  <c:v>-3.7385076203743979</c:v>
                </c:pt>
                <c:pt idx="509">
                  <c:v>-3.818273868861541</c:v>
                </c:pt>
                <c:pt idx="510">
                  <c:v>-3.8979994581915776</c:v>
                </c:pt>
                <c:pt idx="511">
                  <c:v>-3.9776878173635044</c:v>
                </c:pt>
                <c:pt idx="512">
                  <c:v>-4.0573422766078506</c:v>
                </c:pt>
                <c:pt idx="513">
                  <c:v>-4.138853660330212</c:v>
                </c:pt>
                <c:pt idx="514">
                  <c:v>-4.2203362679623968</c:v>
                </c:pt>
                <c:pt idx="515">
                  <c:v>-4.3017933578736436</c:v>
                </c:pt>
                <c:pt idx="516">
                  <c:v>-4.3832280848070688</c:v>
                </c:pt>
                <c:pt idx="517">
                  <c:v>-4.4665290034222984</c:v>
                </c:pt>
                <c:pt idx="518">
                  <c:v>-4.5498128657293151</c:v>
                </c:pt>
                <c:pt idx="519">
                  <c:v>-4.6330827217494939</c:v>
                </c:pt>
                <c:pt idx="520">
                  <c:v>-4.7163415131745756</c:v>
                </c:pt>
                <c:pt idx="521">
                  <c:v>-4.801523675893149</c:v>
                </c:pt>
                <c:pt idx="522">
                  <c:v>-4.8867001439439157</c:v>
                </c:pt>
                <c:pt idx="523">
                  <c:v>-4.971873724940937</c:v>
                </c:pt>
                <c:pt idx="524">
                  <c:v>-5.0570471135179575</c:v>
                </c:pt>
                <c:pt idx="525">
                  <c:v>-5.1442015821167679</c:v>
                </c:pt>
                <c:pt idx="526">
                  <c:v>-5.2313612013603983</c:v>
                </c:pt>
                <c:pt idx="527">
                  <c:v>-5.3185285002563001</c:v>
                </c:pt>
                <c:pt idx="528">
                  <c:v>-5.4057058903980639</c:v>
                </c:pt>
                <c:pt idx="529">
                  <c:v>-5.4949224058209847</c:v>
                </c:pt>
                <c:pt idx="530">
                  <c:v>-5.584154226318514</c:v>
                </c:pt>
                <c:pt idx="531">
                  <c:v>-5.6734035645646923</c:v>
                </c:pt>
                <c:pt idx="532">
                  <c:v>-5.7626725117969277</c:v>
                </c:pt>
                <c:pt idx="533">
                  <c:v>-5.8540859134787144</c:v>
                </c:pt>
                <c:pt idx="534">
                  <c:v>-5.9455239213786149</c:v>
                </c:pt>
                <c:pt idx="535">
                  <c:v>-6.0369883961457891</c:v>
                </c:pt>
                <c:pt idx="536">
                  <c:v>-6.1284810733457507</c:v>
                </c:pt>
                <c:pt idx="537">
                  <c:v>-6.2220818336782147</c:v>
                </c:pt>
                <c:pt idx="538">
                  <c:v>-6.3157153720600441</c:v>
                </c:pt>
                <c:pt idx="539">
                  <c:v>-6.4093831530224072</c:v>
                </c:pt>
                <c:pt idx="540">
                  <c:v>-6.5030865137568084</c:v>
                </c:pt>
                <c:pt idx="541">
                  <c:v>-6.5990500219758097</c:v>
                </c:pt>
                <c:pt idx="542">
                  <c:v>-6.6950532550282897</c:v>
                </c:pt>
                <c:pt idx="543">
                  <c:v>-6.7910972488416368</c:v>
                </c:pt>
                <c:pt idx="544">
                  <c:v>-6.887182910368673</c:v>
                </c:pt>
                <c:pt idx="545">
                  <c:v>-6.9855382519890563</c:v>
                </c:pt>
                <c:pt idx="546">
                  <c:v>-7.0839387335271962</c:v>
                </c:pt>
                <c:pt idx="547">
                  <c:v>-7.1823849254928751</c:v>
                </c:pt>
                <c:pt idx="548">
                  <c:v>-7.2808772694453481</c:v>
                </c:pt>
                <c:pt idx="549">
                  <c:v>-7.3816949865734429</c:v>
                </c:pt>
                <c:pt idx="550">
                  <c:v>-7.4825615499552747</c:v>
                </c:pt>
                <c:pt idx="551">
                  <c:v>-7.5834770341301008</c:v>
                </c:pt>
                <c:pt idx="552">
                  <c:v>-7.6844413863656964</c:v>
                </c:pt>
                <c:pt idx="553">
                  <c:v>-7.7878329111505487</c:v>
                </c:pt>
                <c:pt idx="554">
                  <c:v>-7.8912751269413119</c:v>
                </c:pt>
                <c:pt idx="555">
                  <c:v>-7.9947675862975629</c:v>
                </c:pt>
                <c:pt idx="556">
                  <c:v>-8.0983097178504586</c:v>
                </c:pt>
                <c:pt idx="557">
                  <c:v>-8.3104038451676416</c:v>
                </c:pt>
                <c:pt idx="558">
                  <c:v>-8.5226956490181465</c:v>
                </c:pt>
                <c:pt idx="559">
                  <c:v>-8.7400482717735741</c:v>
                </c:pt>
                <c:pt idx="560">
                  <c:v>-8.9575861162295034</c:v>
                </c:pt>
                <c:pt idx="561">
                  <c:v>-9.1804628450897443</c:v>
                </c:pt>
                <c:pt idx="562">
                  <c:v>-9.4035030050183455</c:v>
                </c:pt>
                <c:pt idx="563">
                  <c:v>-9.6314794433268105</c:v>
                </c:pt>
                <c:pt idx="564">
                  <c:v>-9.859586881925086</c:v>
                </c:pt>
                <c:pt idx="565">
                  <c:v>-10.093557737605732</c:v>
                </c:pt>
                <c:pt idx="566">
                  <c:v>-10.327617804267941</c:v>
                </c:pt>
                <c:pt idx="567">
                  <c:v>-10.567498383252662</c:v>
                </c:pt>
                <c:pt idx="568">
                  <c:v>-10.807415454328474</c:v>
                </c:pt>
                <c:pt idx="569">
                  <c:v>-11.052136953365629</c:v>
                </c:pt>
                <c:pt idx="570">
                  <c:v>-11.296831788870481</c:v>
                </c:pt>
                <c:pt idx="571">
                  <c:v>-11.54818061459838</c:v>
                </c:pt>
                <c:pt idx="572">
                  <c:v>-11.799428840597885</c:v>
                </c:pt>
                <c:pt idx="573">
                  <c:v>-12.055329823896862</c:v>
                </c:pt>
                <c:pt idx="574">
                  <c:v>-12.311048116003573</c:v>
                </c:pt>
                <c:pt idx="575">
                  <c:v>-12.573239281019298</c:v>
                </c:pt>
                <c:pt idx="576">
                  <c:v>-12.835154019592929</c:v>
                </c:pt>
                <c:pt idx="577">
                  <c:v>-13.939971355864735</c:v>
                </c:pt>
                <c:pt idx="578">
                  <c:v>-15.036052829742356</c:v>
                </c:pt>
                <c:pt idx="579">
                  <c:v>-17.394698517303691</c:v>
                </c:pt>
                <c:pt idx="580">
                  <c:v>-19.895068831731223</c:v>
                </c:pt>
                <c:pt idx="581">
                  <c:v>-22.510945470334512</c:v>
                </c:pt>
                <c:pt idx="582">
                  <c:v>-25.221343589408988</c:v>
                </c:pt>
                <c:pt idx="583">
                  <c:v>-28.003517029619843</c:v>
                </c:pt>
                <c:pt idx="584">
                  <c:v>-30.84150389543273</c:v>
                </c:pt>
                <c:pt idx="585">
                  <c:v>-33.718392502600949</c:v>
                </c:pt>
                <c:pt idx="586">
                  <c:v>-36.621751687558316</c:v>
                </c:pt>
                <c:pt idx="587">
                  <c:v>-39.542342464989467</c:v>
                </c:pt>
                <c:pt idx="588">
                  <c:v>-42.468205664145174</c:v>
                </c:pt>
                <c:pt idx="589">
                  <c:v>-45.393819360137456</c:v>
                </c:pt>
                <c:pt idx="590">
                  <c:v>-48.31126223073894</c:v>
                </c:pt>
                <c:pt idx="591">
                  <c:v>-51.214880913818931</c:v>
                </c:pt>
                <c:pt idx="592">
                  <c:v>-54.099203067621545</c:v>
                </c:pt>
                <c:pt idx="593">
                  <c:v>-56.96080094427748</c:v>
                </c:pt>
                <c:pt idx="594">
                  <c:v>-59.795443164971608</c:v>
                </c:pt>
                <c:pt idx="595">
                  <c:v>-62.601055444717495</c:v>
                </c:pt>
                <c:pt idx="596">
                  <c:v>-65.375258927844953</c:v>
                </c:pt>
                <c:pt idx="597">
                  <c:v>-68.117662144350916</c:v>
                </c:pt>
                <c:pt idx="598">
                  <c:v>-70.827388784367699</c:v>
                </c:pt>
                <c:pt idx="599">
                  <c:v>-73.505644371494782</c:v>
                </c:pt>
                <c:pt idx="600">
                  <c:v>-76.153140211808193</c:v>
                </c:pt>
              </c:numCache>
            </c:numRef>
          </c:yVal>
          <c:smooth val="1"/>
          <c:extLst>
            <c:ext xmlns:c16="http://schemas.microsoft.com/office/drawing/2014/chart" uri="{C3380CC4-5D6E-409C-BE32-E72D297353CC}">
              <c16:uniqueId val="{00000002-10BD-4998-8A98-65686C23F2C0}"/>
            </c:ext>
          </c:extLst>
        </c:ser>
        <c:ser>
          <c:idx val="6"/>
          <c:order val="2"/>
          <c:tx>
            <c:v>FZCOMP</c:v>
          </c:tx>
          <c:spPr>
            <a:ln w="28575">
              <a:noFill/>
            </a:ln>
          </c:spPr>
          <c:marker>
            <c:symbol val="circle"/>
            <c:size val="8"/>
            <c:spPr>
              <a:noFill/>
              <a:ln w="19050">
                <a:solidFill>
                  <a:srgbClr val="000000"/>
                </a:solidFill>
                <a:prstDash val="solid"/>
              </a:ln>
            </c:spPr>
          </c:marker>
          <c:dLbls>
            <c:dLbl>
              <c:idx val="0"/>
              <c:layout>
                <c:manualLayout>
                  <c:x val="-1.771840147036232E-2"/>
                  <c:y val="-3.7917270685628536E-2"/>
                </c:manualLayout>
              </c:layout>
              <c:tx>
                <c:rich>
                  <a:bodyPr/>
                  <a:lstStyle/>
                  <a:p>
                    <a:r>
                      <a:rPr lang="en-US"/>
                      <a:t>F</a:t>
                    </a:r>
                    <a:r>
                      <a:rPr lang="en-US" baseline="-25000"/>
                      <a:t>ZCOMP</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10BD-4998-8A98-65686C23F2C0}"/>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Calculations'!$C$635</c:f>
              <c:numCache>
                <c:formatCode>0.00</c:formatCode>
                <c:ptCount val="1"/>
                <c:pt idx="0">
                  <c:v>5894.6275286576438</c:v>
                </c:pt>
              </c:numCache>
            </c:numRef>
          </c:xVal>
          <c:yVal>
            <c:numRef>
              <c:f>'Ch2 Stability Calculations'!$D$635</c:f>
              <c:numCache>
                <c:formatCode>0.00</c:formatCode>
                <c:ptCount val="1"/>
                <c:pt idx="0">
                  <c:v>21.167858972822891</c:v>
                </c:pt>
              </c:numCache>
            </c:numRef>
          </c:yVal>
          <c:smooth val="1"/>
          <c:extLst>
            <c:ext xmlns:c16="http://schemas.microsoft.com/office/drawing/2014/chart" uri="{C3380CC4-5D6E-409C-BE32-E72D297353CC}">
              <c16:uniqueId val="{00000004-10BD-4998-8A98-65686C23F2C0}"/>
            </c:ext>
          </c:extLst>
        </c:ser>
        <c:ser>
          <c:idx val="8"/>
          <c:order val="3"/>
          <c:tx>
            <c:v>FpEA</c:v>
          </c:tx>
          <c:spPr>
            <a:ln w="28575">
              <a:noFill/>
            </a:ln>
          </c:spPr>
          <c:marker>
            <c:symbol val="x"/>
            <c:size val="8"/>
            <c:spPr>
              <a:noFill/>
              <a:ln w="22225">
                <a:solidFill>
                  <a:srgbClr val="000000"/>
                </a:solidFill>
                <a:prstDash val="solid"/>
              </a:ln>
            </c:spPr>
          </c:marker>
          <c:dLbls>
            <c:dLbl>
              <c:idx val="0"/>
              <c:layout>
                <c:manualLayout>
                  <c:x val="-2.9316756823388307E-3"/>
                  <c:y val="-1.5965166604475167E-2"/>
                </c:manualLayout>
              </c:layout>
              <c:tx>
                <c:rich>
                  <a:bodyPr/>
                  <a:lstStyle/>
                  <a:p>
                    <a:r>
                      <a:rPr lang="en-US">
                        <a:solidFill>
                          <a:srgbClr val="0000FF"/>
                        </a:solidFill>
                      </a:rPr>
                      <a:t>F</a:t>
                    </a:r>
                    <a:r>
                      <a:rPr lang="en-US" baseline="-25000">
                        <a:solidFill>
                          <a:srgbClr val="0000FF"/>
                        </a:solidFill>
                      </a:rPr>
                      <a:t>PEA</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10BD-4998-8A98-65686C23F2C0}"/>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Calculations'!$C$5</c:f>
              <c:numCache>
                <c:formatCode>0.0</c:formatCode>
                <c:ptCount val="1"/>
                <c:pt idx="0">
                  <c:v>1.3812296013413206</c:v>
                </c:pt>
              </c:numCache>
            </c:numRef>
          </c:xVal>
          <c:yVal>
            <c:numRef>
              <c:f>'Ch2 Stability Calculations'!$Q$624</c:f>
              <c:numCache>
                <c:formatCode>0.00</c:formatCode>
                <c:ptCount val="1"/>
                <c:pt idx="0">
                  <c:v>92.198717214502025</c:v>
                </c:pt>
              </c:numCache>
            </c:numRef>
          </c:yVal>
          <c:smooth val="1"/>
          <c:extLst>
            <c:ext xmlns:c16="http://schemas.microsoft.com/office/drawing/2014/chart" uri="{C3380CC4-5D6E-409C-BE32-E72D297353CC}">
              <c16:uniqueId val="{00000006-10BD-4998-8A98-65686C23F2C0}"/>
            </c:ext>
          </c:extLst>
        </c:ser>
        <c:ser>
          <c:idx val="9"/>
          <c:order val="4"/>
          <c:tx>
            <c:v>FpLOAD</c:v>
          </c:tx>
          <c:spPr>
            <a:ln w="28575">
              <a:solidFill>
                <a:schemeClr val="tx1"/>
              </a:solidFill>
            </a:ln>
          </c:spPr>
          <c:marker>
            <c:symbol val="x"/>
            <c:size val="8"/>
            <c:spPr>
              <a:noFill/>
              <a:ln w="22225">
                <a:solidFill>
                  <a:schemeClr val="tx1"/>
                </a:solidFill>
              </a:ln>
            </c:spPr>
          </c:marker>
          <c:dLbls>
            <c:dLbl>
              <c:idx val="0"/>
              <c:tx>
                <c:rich>
                  <a:bodyPr/>
                  <a:lstStyle/>
                  <a:p>
                    <a:r>
                      <a:rPr lang="en-US">
                        <a:solidFill>
                          <a:schemeClr val="tx1"/>
                        </a:solidFill>
                      </a:rPr>
                      <a:t>F</a:t>
                    </a:r>
                    <a:r>
                      <a:rPr lang="en-US" baseline="-25000">
                        <a:solidFill>
                          <a:schemeClr val="tx1"/>
                        </a:solidFill>
                      </a:rPr>
                      <a:t>PLOAD</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10BD-4998-8A98-65686C23F2C0}"/>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Calculations'!$K$4</c:f>
              <c:numCache>
                <c:formatCode>0</c:formatCode>
                <c:ptCount val="1"/>
                <c:pt idx="0">
                  <c:v>4420.681711975064</c:v>
                </c:pt>
              </c:numCache>
            </c:numRef>
          </c:xVal>
          <c:yVal>
            <c:numRef>
              <c:f>'Ch2 Stability Calculations'!$D$632</c:f>
              <c:numCache>
                <c:formatCode>0.00</c:formatCode>
                <c:ptCount val="1"/>
                <c:pt idx="0">
                  <c:v>24.026452604697841</c:v>
                </c:pt>
              </c:numCache>
            </c:numRef>
          </c:yVal>
          <c:smooth val="1"/>
          <c:extLst>
            <c:ext xmlns:c16="http://schemas.microsoft.com/office/drawing/2014/chart" uri="{C3380CC4-5D6E-409C-BE32-E72D297353CC}">
              <c16:uniqueId val="{00000008-10BD-4998-8A98-65686C23F2C0}"/>
            </c:ext>
          </c:extLst>
        </c:ser>
        <c:ser>
          <c:idx val="4"/>
          <c:order val="6"/>
          <c:tx>
            <c:v>FZESR</c:v>
          </c:tx>
          <c:spPr>
            <a:ln w="28575">
              <a:noFill/>
            </a:ln>
          </c:spPr>
          <c:marker>
            <c:symbol val="circle"/>
            <c:size val="8"/>
            <c:spPr>
              <a:noFill/>
              <a:ln w="19050">
                <a:solidFill>
                  <a:srgbClr val="000000"/>
                </a:solidFill>
                <a:prstDash val="solid"/>
              </a:ln>
            </c:spPr>
          </c:marker>
          <c:dLbls>
            <c:dLbl>
              <c:idx val="0"/>
              <c:layout>
                <c:manualLayout>
                  <c:x val="-3.9306499421109475E-2"/>
                  <c:y val="3.9912923770191157E-2"/>
                </c:manualLayout>
              </c:layout>
              <c:tx>
                <c:rich>
                  <a:bodyPr/>
                  <a:lstStyle/>
                  <a:p>
                    <a:r>
                      <a:rPr lang="en-US" b="1"/>
                      <a:t>F</a:t>
                    </a:r>
                    <a:r>
                      <a:rPr lang="en-US" b="1" baseline="-25000"/>
                      <a:t>ZESR</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10BD-4998-8A98-65686C23F2C0}"/>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Calculations'!$A$623</c:f>
              <c:numCache>
                <c:formatCode>0</c:formatCode>
                <c:ptCount val="1"/>
                <c:pt idx="0">
                  <c:v>663145.59697398485</c:v>
                </c:pt>
              </c:numCache>
            </c:numRef>
          </c:xVal>
          <c:yVal>
            <c:numRef>
              <c:f>'Ch2 Stability Calculations'!$Q$623</c:f>
              <c:numCache>
                <c:formatCode>0.00</c:formatCode>
                <c:ptCount val="1"/>
                <c:pt idx="0">
                  <c:v>-64.103652296312418</c:v>
                </c:pt>
              </c:numCache>
            </c:numRef>
          </c:yVal>
          <c:smooth val="1"/>
          <c:extLst>
            <c:ext xmlns:c16="http://schemas.microsoft.com/office/drawing/2014/chart" uri="{C3380CC4-5D6E-409C-BE32-E72D297353CC}">
              <c16:uniqueId val="{0000000A-10BD-4998-8A98-65686C23F2C0}"/>
            </c:ext>
          </c:extLst>
        </c:ser>
        <c:dLbls>
          <c:showLegendKey val="0"/>
          <c:showVal val="0"/>
          <c:showCatName val="0"/>
          <c:showSerName val="0"/>
          <c:showPercent val="0"/>
          <c:showBubbleSize val="0"/>
        </c:dLbls>
        <c:axId val="185161600"/>
        <c:axId val="185188352"/>
      </c:scatterChart>
      <c:scatterChart>
        <c:scatterStyle val="lineMarker"/>
        <c:varyColors val="0"/>
        <c:ser>
          <c:idx val="3"/>
          <c:order val="1"/>
          <c:tx>
            <c:v>Loop Phase</c:v>
          </c:tx>
          <c:spPr>
            <a:ln w="34925">
              <a:solidFill>
                <a:srgbClr val="002060"/>
              </a:solidFill>
              <a:prstDash val="sysDash"/>
            </a:ln>
          </c:spPr>
          <c:marker>
            <c:symbol val="none"/>
          </c:marker>
          <c:xVal>
            <c:numRef>
              <c:f>'Ch2 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'Ch2 Stability Calculations'!$R$13:$R$613</c:f>
              <c:numCache>
                <c:formatCode>0.00</c:formatCode>
                <c:ptCount val="601"/>
                <c:pt idx="0">
                  <c:v>-35.908630646594688</c:v>
                </c:pt>
                <c:pt idx="1">
                  <c:v>-38.449372918048745</c:v>
                </c:pt>
                <c:pt idx="2">
                  <c:v>-41.043401142602363</c:v>
                </c:pt>
                <c:pt idx="3">
                  <c:v>-43.670363424530372</c:v>
                </c:pt>
                <c:pt idx="4">
                  <c:v>-46.306827926370779</c:v>
                </c:pt>
                <c:pt idx="5">
                  <c:v>-48.934997448139512</c:v>
                </c:pt>
                <c:pt idx="6">
                  <c:v>-51.52938943411484</c:v>
                </c:pt>
                <c:pt idx="7">
                  <c:v>-54.071299733606821</c:v>
                </c:pt>
                <c:pt idx="8">
                  <c:v>-56.540567424987508</c:v>
                </c:pt>
                <c:pt idx="9">
                  <c:v>-58.923394131674875</c:v>
                </c:pt>
                <c:pt idx="10">
                  <c:v>-61.205708606379552</c:v>
                </c:pt>
                <c:pt idx="11">
                  <c:v>-63.378301104031991</c:v>
                </c:pt>
                <c:pt idx="12">
                  <c:v>-65.435700485664455</c:v>
                </c:pt>
                <c:pt idx="13">
                  <c:v>-67.372182544505577</c:v>
                </c:pt>
                <c:pt idx="14">
                  <c:v>-69.188043973110098</c:v>
                </c:pt>
                <c:pt idx="15">
                  <c:v>-70.883350403439636</c:v>
                </c:pt>
                <c:pt idx="16">
                  <c:v>-72.460749186786899</c:v>
                </c:pt>
                <c:pt idx="17">
                  <c:v>-73.923846637566044</c:v>
                </c:pt>
                <c:pt idx="18">
                  <c:v>-75.277836631550599</c:v>
                </c:pt>
                <c:pt idx="19">
                  <c:v>-76.527782888833272</c:v>
                </c:pt>
                <c:pt idx="20">
                  <c:v>-77.679784211107204</c:v>
                </c:pt>
                <c:pt idx="21">
                  <c:v>-78.739660214288577</c:v>
                </c:pt>
                <c:pt idx="22">
                  <c:v>-79.713735906751097</c:v>
                </c:pt>
                <c:pt idx="23">
                  <c:v>-80.607794497970374</c:v>
                </c:pt>
                <c:pt idx="24">
                  <c:v>-81.427920376905334</c:v>
                </c:pt>
                <c:pt idx="25">
                  <c:v>-82.17960223740036</c:v>
                </c:pt>
                <c:pt idx="26">
                  <c:v>-82.868354211172814</c:v>
                </c:pt>
                <c:pt idx="27">
                  <c:v>-83.499008973471632</c:v>
                </c:pt>
                <c:pt idx="28">
                  <c:v>-84.07635907034151</c:v>
                </c:pt>
                <c:pt idx="29">
                  <c:v>-84.604542581916448</c:v>
                </c:pt>
                <c:pt idx="30">
                  <c:v>-85.088565777443662</c:v>
                </c:pt>
                <c:pt idx="31">
                  <c:v>-85.531551202733255</c:v>
                </c:pt>
                <c:pt idx="32">
                  <c:v>-85.937364573541728</c:v>
                </c:pt>
                <c:pt idx="33">
                  <c:v>-86.309012923363341</c:v>
                </c:pt>
                <c:pt idx="34">
                  <c:v>-86.649824971373917</c:v>
                </c:pt>
                <c:pt idx="35">
                  <c:v>-86.962405628200244</c:v>
                </c:pt>
                <c:pt idx="36">
                  <c:v>-87.24939935476975</c:v>
                </c:pt>
                <c:pt idx="37">
                  <c:v>-87.513330818859217</c:v>
                </c:pt>
                <c:pt idx="38">
                  <c:v>-87.756149129270128</c:v>
                </c:pt>
                <c:pt idx="39">
                  <c:v>-87.980087067410253</c:v>
                </c:pt>
                <c:pt idx="40">
                  <c:v>-88.186930797723733</c:v>
                </c:pt>
                <c:pt idx="41">
                  <c:v>-88.37843796075272</c:v>
                </c:pt>
                <c:pt idx="42">
                  <c:v>-88.55619677585112</c:v>
                </c:pt>
                <c:pt idx="43">
                  <c:v>-88.721757694576908</c:v>
                </c:pt>
                <c:pt idx="44">
                  <c:v>-88.87647301425767</c:v>
                </c:pt>
                <c:pt idx="45">
                  <c:v>-89.021681524251292</c:v>
                </c:pt>
                <c:pt idx="46">
                  <c:v>-89.1585817617148</c:v>
                </c:pt>
                <c:pt idx="47">
                  <c:v>-89.288361562692856</c:v>
                </c:pt>
                <c:pt idx="48">
                  <c:v>-89.412087490762701</c:v>
                </c:pt>
                <c:pt idx="49">
                  <c:v>-89.530838757991802</c:v>
                </c:pt>
                <c:pt idx="50">
                  <c:v>-89.645601590491694</c:v>
                </c:pt>
                <c:pt idx="51">
                  <c:v>-89.757373339321077</c:v>
                </c:pt>
                <c:pt idx="52">
                  <c:v>-89.867063582906681</c:v>
                </c:pt>
                <c:pt idx="53">
                  <c:v>-89.975604310863773</c:v>
                </c:pt>
                <c:pt idx="54">
                  <c:v>-90.083844570898265</c:v>
                </c:pt>
                <c:pt idx="55">
                  <c:v>-90.192880208916208</c:v>
                </c:pt>
                <c:pt idx="56">
                  <c:v>-90.303476144130386</c:v>
                </c:pt>
                <c:pt idx="57">
                  <c:v>-90.416635228859207</c:v>
                </c:pt>
                <c:pt idx="58">
                  <c:v>-90.533221712140119</c:v>
                </c:pt>
                <c:pt idx="59">
                  <c:v>-90.654295699482745</c:v>
                </c:pt>
                <c:pt idx="60">
                  <c:v>-90.780791883734082</c:v>
                </c:pt>
                <c:pt idx="61">
                  <c:v>-90.91376730198202</c:v>
                </c:pt>
                <c:pt idx="62">
                  <c:v>-91.054382830771573</c:v>
                </c:pt>
                <c:pt idx="63">
                  <c:v>-91.203639673584021</c:v>
                </c:pt>
                <c:pt idx="64">
                  <c:v>-91.362847484246927</c:v>
                </c:pt>
                <c:pt idx="65">
                  <c:v>-91.533201930601479</c:v>
                </c:pt>
                <c:pt idx="66">
                  <c:v>-91.716033132232596</c:v>
                </c:pt>
                <c:pt idx="67">
                  <c:v>-91.912695708695225</c:v>
                </c:pt>
                <c:pt idx="68">
                  <c:v>-92.124695937832087</c:v>
                </c:pt>
                <c:pt idx="69">
                  <c:v>-92.353488510743148</c:v>
                </c:pt>
                <c:pt idx="70">
                  <c:v>-92.600684034624933</c:v>
                </c:pt>
                <c:pt idx="71">
                  <c:v>-92.86783889459096</c:v>
                </c:pt>
                <c:pt idx="72">
                  <c:v>-93.156640463269397</c:v>
                </c:pt>
                <c:pt idx="73">
                  <c:v>-93.468641599005451</c:v>
                </c:pt>
                <c:pt idx="74">
                  <c:v>-93.805503912379891</c:v>
                </c:pt>
                <c:pt idx="75">
                  <c:v>-94.168668186732233</c:v>
                </c:pt>
                <c:pt idx="76">
                  <c:v>-94.559557782799473</c:v>
                </c:pt>
                <c:pt idx="77">
                  <c:v>-94.979144258249136</c:v>
                </c:pt>
                <c:pt idx="78">
                  <c:v>-95.428189566433957</c:v>
                </c:pt>
                <c:pt idx="79">
                  <c:v>-95.906680059679928</c:v>
                </c:pt>
                <c:pt idx="80">
                  <c:v>-96.415154177042552</c:v>
                </c:pt>
                <c:pt idx="81">
                  <c:v>-96.951922574471368</c:v>
                </c:pt>
                <c:pt idx="82">
                  <c:v>-97.515483132541632</c:v>
                </c:pt>
                <c:pt idx="83">
                  <c:v>-98.10260036962184</c:v>
                </c:pt>
                <c:pt idx="84">
                  <c:v>-98.709857092941675</c:v>
                </c:pt>
                <c:pt idx="85">
                  <c:v>-99.332014403585063</c:v>
                </c:pt>
                <c:pt idx="86">
                  <c:v>-99.963331734126243</c:v>
                </c:pt>
                <c:pt idx="87">
                  <c:v>-100.59762614469088</c:v>
                </c:pt>
                <c:pt idx="88">
                  <c:v>-101.22745606111788</c:v>
                </c:pt>
                <c:pt idx="89">
                  <c:v>-101.84670403943484</c:v>
                </c:pt>
                <c:pt idx="90">
                  <c:v>-102.44936105332211</c:v>
                </c:pt>
                <c:pt idx="91">
                  <c:v>-103.03126151578618</c:v>
                </c:pt>
                <c:pt idx="92">
                  <c:v>-103.59033426864163</c:v>
                </c:pt>
                <c:pt idx="93">
                  <c:v>-104.12752320512286</c:v>
                </c:pt>
                <c:pt idx="94">
                  <c:v>-104.25871985909863</c:v>
                </c:pt>
                <c:pt idx="95">
                  <c:v>-104.32432038649313</c:v>
                </c:pt>
                <c:pt idx="96">
                  <c:v>-104.38892085440577</c:v>
                </c:pt>
                <c:pt idx="97">
                  <c:v>-104.4540239558395</c:v>
                </c:pt>
                <c:pt idx="98">
                  <c:v>-104.51816058352536</c:v>
                </c:pt>
                <c:pt idx="99">
                  <c:v>-104.58284036391836</c:v>
                </c:pt>
                <c:pt idx="100">
                  <c:v>-104.64658920559511</c:v>
                </c:pt>
                <c:pt idx="101">
                  <c:v>-104.71087576494806</c:v>
                </c:pt>
                <c:pt idx="102">
                  <c:v>-104.77427016739894</c:v>
                </c:pt>
                <c:pt idx="103">
                  <c:v>-104.8382953162189</c:v>
                </c:pt>
                <c:pt idx="104">
                  <c:v>-104.90146755964793</c:v>
                </c:pt>
                <c:pt idx="105">
                  <c:v>-104.96527156374033</c:v>
                </c:pt>
                <c:pt idx="106">
                  <c:v>-105.02826491494621</c:v>
                </c:pt>
                <c:pt idx="107">
                  <c:v>-105.09189668271594</c:v>
                </c:pt>
                <c:pt idx="108">
                  <c:v>-105.15476266684215</c:v>
                </c:pt>
                <c:pt idx="109">
                  <c:v>-105.21832198427053</c:v>
                </c:pt>
                <c:pt idx="110">
                  <c:v>-105.28116165918978</c:v>
                </c:pt>
                <c:pt idx="111">
                  <c:v>-105.34479371097815</c:v>
                </c:pt>
                <c:pt idx="112">
                  <c:v>-105.40775257630473</c:v>
                </c:pt>
                <c:pt idx="113">
                  <c:v>-105.47152003303508</c:v>
                </c:pt>
                <c:pt idx="114">
                  <c:v>-105.53466284125605</c:v>
                </c:pt>
                <c:pt idx="115">
                  <c:v>-105.59867570231661</c:v>
                </c:pt>
                <c:pt idx="116">
                  <c:v>-105.66211340864037</c:v>
                </c:pt>
                <c:pt idx="117">
                  <c:v>-105.7264849080446</c:v>
                </c:pt>
                <c:pt idx="118">
                  <c:v>-105.79033157055841</c:v>
                </c:pt>
                <c:pt idx="119">
                  <c:v>-105.85513891395779</c:v>
                </c:pt>
                <c:pt idx="120">
                  <c:v>-105.91947297126777</c:v>
                </c:pt>
                <c:pt idx="121">
                  <c:v>-105.98483709088524</c:v>
                </c:pt>
                <c:pt idx="122">
                  <c:v>-106.04977981415828</c:v>
                </c:pt>
                <c:pt idx="123">
                  <c:v>-106.11586215604132</c:v>
                </c:pt>
                <c:pt idx="124">
                  <c:v>-106.18157477598994</c:v>
                </c:pt>
                <c:pt idx="125">
                  <c:v>-106.24846188258292</c:v>
                </c:pt>
                <c:pt idx="126">
                  <c:v>-106.31503149665028</c:v>
                </c:pt>
                <c:pt idx="127">
                  <c:v>-106.38285100320275</c:v>
                </c:pt>
                <c:pt idx="128">
                  <c:v>-106.45040512532465</c:v>
                </c:pt>
                <c:pt idx="129">
                  <c:v>-106.51928638944689</c:v>
                </c:pt>
                <c:pt idx="130">
                  <c:v>-106.58795409886527</c:v>
                </c:pt>
                <c:pt idx="131">
                  <c:v>-106.65802795055967</c:v>
                </c:pt>
                <c:pt idx="132">
                  <c:v>-106.69300224933345</c:v>
                </c:pt>
                <c:pt idx="133">
                  <c:v>-106.72793964184976</c:v>
                </c:pt>
                <c:pt idx="134">
                  <c:v>-106.76367298026028</c:v>
                </c:pt>
                <c:pt idx="135">
                  <c:v>-106.79937494861767</c:v>
                </c:pt>
                <c:pt idx="136">
                  <c:v>-106.8350490795457</c:v>
                </c:pt>
                <c:pt idx="137">
                  <c:v>-106.87069879772731</c:v>
                </c:pt>
                <c:pt idx="138">
                  <c:v>-106.90713610905605</c:v>
                </c:pt>
                <c:pt idx="139">
                  <c:v>-106.94355479829036</c:v>
                </c:pt>
                <c:pt idx="140">
                  <c:v>-106.97995819663691</c:v>
                </c:pt>
                <c:pt idx="141">
                  <c:v>-107.01634952929999</c:v>
                </c:pt>
                <c:pt idx="142">
                  <c:v>-107.05359458563885</c:v>
                </c:pt>
                <c:pt idx="143">
                  <c:v>-107.09083350937038</c:v>
                </c:pt>
                <c:pt idx="144">
                  <c:v>-107.12806943400153</c:v>
                </c:pt>
                <c:pt idx="145">
                  <c:v>-107.16530538892604</c:v>
                </c:pt>
                <c:pt idx="146">
                  <c:v>-107.20340696687757</c:v>
                </c:pt>
                <c:pt idx="147">
                  <c:v>-107.24151467148636</c:v>
                </c:pt>
                <c:pt idx="148">
                  <c:v>-107.27963142799651</c:v>
                </c:pt>
                <c:pt idx="149">
                  <c:v>-107.31776006000858</c:v>
                </c:pt>
                <c:pt idx="150">
                  <c:v>-107.35678541072321</c:v>
                </c:pt>
                <c:pt idx="151">
                  <c:v>-107.39582885895926</c:v>
                </c:pt>
                <c:pt idx="152">
                  <c:v>-107.43489311738072</c:v>
                </c:pt>
                <c:pt idx="153">
                  <c:v>-107.47398079982126</c:v>
                </c:pt>
                <c:pt idx="154">
                  <c:v>-107.51401551053245</c:v>
                </c:pt>
                <c:pt idx="155">
                  <c:v>-107.55407999773921</c:v>
                </c:pt>
                <c:pt idx="156">
                  <c:v>-107.59417676167016</c:v>
                </c:pt>
                <c:pt idx="157">
                  <c:v>-107.63430820668465</c:v>
                </c:pt>
                <c:pt idx="158">
                  <c:v>-107.67541942033615</c:v>
                </c:pt>
                <c:pt idx="159">
                  <c:v>-107.71657176250211</c:v>
                </c:pt>
                <c:pt idx="160">
                  <c:v>-107.75776751791871</c:v>
                </c:pt>
                <c:pt idx="161">
                  <c:v>-107.79900887873583</c:v>
                </c:pt>
                <c:pt idx="162">
                  <c:v>-107.84124492399697</c:v>
                </c:pt>
                <c:pt idx="163">
                  <c:v>-107.8835330454979</c:v>
                </c:pt>
                <c:pt idx="164">
                  <c:v>-107.9258753079064</c:v>
                </c:pt>
                <c:pt idx="165">
                  <c:v>-107.96827368703525</c:v>
                </c:pt>
                <c:pt idx="166">
                  <c:v>-108.01173810538332</c:v>
                </c:pt>
                <c:pt idx="167">
                  <c:v>-108.05526525260854</c:v>
                </c:pt>
                <c:pt idx="168">
                  <c:v>-108.09885697800058</c:v>
                </c:pt>
                <c:pt idx="169">
                  <c:v>-108.1425150456781</c:v>
                </c:pt>
                <c:pt idx="170">
                  <c:v>-108.18718022314837</c:v>
                </c:pt>
                <c:pt idx="171">
                  <c:v>-108.23191808216265</c:v>
                </c:pt>
                <c:pt idx="172">
                  <c:v>-108.27673024613112</c:v>
                </c:pt>
                <c:pt idx="173">
                  <c:v>-108.32161825790331</c:v>
                </c:pt>
                <c:pt idx="174">
                  <c:v>-108.3677181735947</c:v>
                </c:pt>
                <c:pt idx="175">
                  <c:v>-108.41390084608665</c:v>
                </c:pt>
                <c:pt idx="176">
                  <c:v>-108.46016769247407</c:v>
                </c:pt>
                <c:pt idx="177">
                  <c:v>-108.50652005289476</c:v>
                </c:pt>
                <c:pt idx="178">
                  <c:v>-108.55410224290829</c:v>
                </c:pt>
                <c:pt idx="179">
                  <c:v>-108.6017768168866</c:v>
                </c:pt>
                <c:pt idx="180">
                  <c:v>-108.64954498295219</c:v>
                </c:pt>
                <c:pt idx="181">
                  <c:v>-108.69740787627697</c:v>
                </c:pt>
                <c:pt idx="182">
                  <c:v>-108.746326719584</c:v>
                </c:pt>
                <c:pt idx="183">
                  <c:v>-108.79534628267115</c:v>
                </c:pt>
                <c:pt idx="184">
                  <c:v>-108.84446755302838</c:v>
                </c:pt>
                <c:pt idx="185">
                  <c:v>-108.89369145058002</c:v>
                </c:pt>
                <c:pt idx="186">
                  <c:v>-108.94437438227591</c:v>
                </c:pt>
                <c:pt idx="187">
                  <c:v>-108.99516741397741</c:v>
                </c:pt>
                <c:pt idx="188">
                  <c:v>-109.0460713377161</c:v>
                </c:pt>
                <c:pt idx="189">
                  <c:v>-109.09708688147633</c:v>
                </c:pt>
                <c:pt idx="190">
                  <c:v>-109.14919152969705</c:v>
                </c:pt>
                <c:pt idx="191">
                  <c:v>-109.20141343338521</c:v>
                </c:pt>
                <c:pt idx="192">
                  <c:v>-109.25375317407527</c:v>
                </c:pt>
                <c:pt idx="193">
                  <c:v>-109.30621127491686</c:v>
                </c:pt>
                <c:pt idx="194">
                  <c:v>-109.36016822683894</c:v>
                </c:pt>
                <c:pt idx="195">
                  <c:v>-109.41425076451503</c:v>
                </c:pt>
                <c:pt idx="196">
                  <c:v>-109.4684592774237</c:v>
                </c:pt>
                <c:pt idx="197">
                  <c:v>-109.52279410069384</c:v>
                </c:pt>
                <c:pt idx="198">
                  <c:v>-109.57844952152368</c:v>
                </c:pt>
                <c:pt idx="199">
                  <c:v>-109.63423738925898</c:v>
                </c:pt>
                <c:pt idx="200">
                  <c:v>-109.69015790081639</c:v>
                </c:pt>
                <c:pt idx="201">
                  <c:v>-109.74621120376591</c:v>
                </c:pt>
                <c:pt idx="202">
                  <c:v>-109.80360284332669</c:v>
                </c:pt>
                <c:pt idx="203">
                  <c:v>-109.86113318973275</c:v>
                </c:pt>
                <c:pt idx="204">
                  <c:v>-109.91880225517043</c:v>
                </c:pt>
                <c:pt idx="205">
                  <c:v>-109.97661000749406</c:v>
                </c:pt>
                <c:pt idx="206">
                  <c:v>-110.03597637697057</c:v>
                </c:pt>
                <c:pt idx="207">
                  <c:v>-110.09548810347835</c:v>
                </c:pt>
                <c:pt idx="208">
                  <c:v>-110.15514502140479</c:v>
                </c:pt>
                <c:pt idx="209">
                  <c:v>-110.21494692525248</c:v>
                </c:pt>
                <c:pt idx="210">
                  <c:v>-110.27653236757075</c:v>
                </c:pt>
                <c:pt idx="211">
                  <c:v>-110.33827026096839</c:v>
                </c:pt>
                <c:pt idx="212">
                  <c:v>-110.40016026433788</c:v>
                </c:pt>
                <c:pt idx="213">
                  <c:v>-110.46220200076172</c:v>
                </c:pt>
                <c:pt idx="214">
                  <c:v>-110.52563632349222</c:v>
                </c:pt>
                <c:pt idx="215">
                  <c:v>-110.58922759121336</c:v>
                </c:pt>
                <c:pt idx="216">
                  <c:v>-110.65297530119307</c:v>
                </c:pt>
                <c:pt idx="217">
                  <c:v>-110.7168789199399</c:v>
                </c:pt>
                <c:pt idx="218">
                  <c:v>-110.78240031971623</c:v>
                </c:pt>
                <c:pt idx="219">
                  <c:v>-110.84808359939456</c:v>
                </c:pt>
                <c:pt idx="220">
                  <c:v>-110.91392809973583</c:v>
                </c:pt>
                <c:pt idx="221">
                  <c:v>-110.97993313528201</c:v>
                </c:pt>
                <c:pt idx="222">
                  <c:v>-111.04757482446547</c:v>
                </c:pt>
                <c:pt idx="223">
                  <c:v>-111.11538276082472</c:v>
                </c:pt>
                <c:pt idx="224">
                  <c:v>-111.18335613766313</c:v>
                </c:pt>
                <c:pt idx="225">
                  <c:v>-111.25149412653498</c:v>
                </c:pt>
                <c:pt idx="226">
                  <c:v>-111.32150018722538</c:v>
                </c:pt>
                <c:pt idx="227">
                  <c:v>-111.39167734148342</c:v>
                </c:pt>
                <c:pt idx="228">
                  <c:v>-111.46202463610472</c:v>
                </c:pt>
                <c:pt idx="229">
                  <c:v>-111.53254110028946</c:v>
                </c:pt>
                <c:pt idx="230">
                  <c:v>-111.67752750152161</c:v>
                </c:pt>
                <c:pt idx="231">
                  <c:v>-111.75028268684224</c:v>
                </c:pt>
                <c:pt idx="232">
                  <c:v>-111.82321105960872</c:v>
                </c:pt>
                <c:pt idx="233">
                  <c:v>-111.89804890624877</c:v>
                </c:pt>
                <c:pt idx="234">
                  <c:v>-111.97306587886901</c:v>
                </c:pt>
                <c:pt idx="235">
                  <c:v>-112.04826075620647</c:v>
                </c:pt>
                <c:pt idx="236">
                  <c:v>-112.12363230758793</c:v>
                </c:pt>
                <c:pt idx="237">
                  <c:v>-112.20071393873877</c:v>
                </c:pt>
                <c:pt idx="238">
                  <c:v>-112.27797687288862</c:v>
                </c:pt>
                <c:pt idx="239">
                  <c:v>-112.35541978006378</c:v>
                </c:pt>
                <c:pt idx="240">
                  <c:v>-112.43304132487964</c:v>
                </c:pt>
                <c:pt idx="241">
                  <c:v>-112.51283165520516</c:v>
                </c:pt>
                <c:pt idx="242">
                  <c:v>-112.59280701684628</c:v>
                </c:pt>
                <c:pt idx="243">
                  <c:v>-112.67296595828945</c:v>
                </c:pt>
                <c:pt idx="244">
                  <c:v>-112.75330702633978</c:v>
                </c:pt>
                <c:pt idx="245">
                  <c:v>-112.83561521754153</c:v>
                </c:pt>
                <c:pt idx="246">
                  <c:v>-112.91811062519113</c:v>
                </c:pt>
                <c:pt idx="247">
                  <c:v>-113.00079169776022</c:v>
                </c:pt>
                <c:pt idx="248">
                  <c:v>-113.08365688565905</c:v>
                </c:pt>
                <c:pt idx="249">
                  <c:v>-113.16873246481308</c:v>
                </c:pt>
                <c:pt idx="250">
                  <c:v>-113.25399796788612</c:v>
                </c:pt>
                <c:pt idx="251">
                  <c:v>-113.33945174057317</c:v>
                </c:pt>
                <c:pt idx="252">
                  <c:v>-113.42509213398819</c:v>
                </c:pt>
                <c:pt idx="253">
                  <c:v>-113.51273590228196</c:v>
                </c:pt>
                <c:pt idx="254">
                  <c:v>-113.60057081916746</c:v>
                </c:pt>
                <c:pt idx="255">
                  <c:v>-113.68859515067486</c:v>
                </c:pt>
                <c:pt idx="256">
                  <c:v>-113.77680717149127</c:v>
                </c:pt>
                <c:pt idx="257">
                  <c:v>-113.8674977250661</c:v>
                </c:pt>
                <c:pt idx="258">
                  <c:v>-113.95838217041099</c:v>
                </c:pt>
                <c:pt idx="259">
                  <c:v>-114.04945867666714</c:v>
                </c:pt>
                <c:pt idx="260">
                  <c:v>-114.14072542487612</c:v>
                </c:pt>
                <c:pt idx="261">
                  <c:v>-114.23426131124982</c:v>
                </c:pt>
                <c:pt idx="262">
                  <c:v>-114.32799237690212</c:v>
                </c:pt>
                <c:pt idx="263">
                  <c:v>-114.42191671757149</c:v>
                </c:pt>
                <c:pt idx="264">
                  <c:v>-114.51603244385558</c:v>
                </c:pt>
                <c:pt idx="265">
                  <c:v>-114.61243549174169</c:v>
                </c:pt>
                <c:pt idx="266">
                  <c:v>-114.70903458232198</c:v>
                </c:pt>
                <c:pt idx="267">
                  <c:v>-114.80582774778784</c:v>
                </c:pt>
                <c:pt idx="268">
                  <c:v>-114.90281303793475</c:v>
                </c:pt>
                <c:pt idx="269">
                  <c:v>-115.00233809077716</c:v>
                </c:pt>
                <c:pt idx="270">
                  <c:v>-115.10206057893367</c:v>
                </c:pt>
                <c:pt idx="271">
                  <c:v>-115.2019784664238</c:v>
                </c:pt>
                <c:pt idx="272">
                  <c:v>-115.3020897375818</c:v>
                </c:pt>
                <c:pt idx="273">
                  <c:v>-115.40476032003279</c:v>
                </c:pt>
                <c:pt idx="274">
                  <c:v>-115.50762930790967</c:v>
                </c:pt>
                <c:pt idx="275">
                  <c:v>-115.61069460659604</c:v>
                </c:pt>
                <c:pt idx="276">
                  <c:v>-115.71395414430405</c:v>
                </c:pt>
                <c:pt idx="277">
                  <c:v>-115.81955320406261</c:v>
                </c:pt>
                <c:pt idx="278">
                  <c:v>-115.92535035331629</c:v>
                </c:pt>
                <c:pt idx="279">
                  <c:v>-116.03134346259465</c:v>
                </c:pt>
                <c:pt idx="280">
                  <c:v>-116.13753042733265</c:v>
                </c:pt>
                <c:pt idx="281">
                  <c:v>-116.24679340740991</c:v>
                </c:pt>
                <c:pt idx="282">
                  <c:v>-116.35625646770977</c:v>
                </c:pt>
                <c:pt idx="283">
                  <c:v>-116.46591740973955</c:v>
                </c:pt>
                <c:pt idx="284">
                  <c:v>-116.57577406246132</c:v>
                </c:pt>
                <c:pt idx="285">
                  <c:v>-116.6880030375566</c:v>
                </c:pt>
                <c:pt idx="286">
                  <c:v>-116.80043106875824</c:v>
                </c:pt>
                <c:pt idx="287">
                  <c:v>-116.91305594101068</c:v>
                </c:pt>
                <c:pt idx="288">
                  <c:v>-117.02587546832868</c:v>
                </c:pt>
                <c:pt idx="289">
                  <c:v>-117.14181275283549</c:v>
                </c:pt>
                <c:pt idx="290">
                  <c:v>-117.25795032346771</c:v>
                </c:pt>
                <c:pt idx="291">
                  <c:v>-117.37428591421151</c:v>
                </c:pt>
                <c:pt idx="292">
                  <c:v>-117.49081729027228</c:v>
                </c:pt>
                <c:pt idx="293">
                  <c:v>-117.61024194434947</c:v>
                </c:pt>
                <c:pt idx="294">
                  <c:v>-117.72986690343137</c:v>
                </c:pt>
                <c:pt idx="295">
                  <c:v>-117.84968987375863</c:v>
                </c:pt>
                <c:pt idx="296">
                  <c:v>-117.96970859446917</c:v>
                </c:pt>
                <c:pt idx="297">
                  <c:v>-118.09263832128073</c:v>
                </c:pt>
                <c:pt idx="298">
                  <c:v>-118.21576806332949</c:v>
                </c:pt>
                <c:pt idx="299">
                  <c:v>-118.339095507433</c:v>
                </c:pt>
                <c:pt idx="300">
                  <c:v>-118.46261837476365</c:v>
                </c:pt>
                <c:pt idx="301">
                  <c:v>-118.58906926789724</c:v>
                </c:pt>
                <c:pt idx="302">
                  <c:v>-118.71571960691861</c:v>
                </c:pt>
                <c:pt idx="303">
                  <c:v>-118.84256706709957</c:v>
                </c:pt>
                <c:pt idx="304">
                  <c:v>-118.96960935930352</c:v>
                </c:pt>
                <c:pt idx="305">
                  <c:v>-119.1000963454358</c:v>
                </c:pt>
                <c:pt idx="306">
                  <c:v>-119.2307834789389</c:v>
                </c:pt>
                <c:pt idx="307">
                  <c:v>-119.3616684041576</c:v>
                </c:pt>
                <c:pt idx="308">
                  <c:v>-119.49274880260971</c:v>
                </c:pt>
                <c:pt idx="309">
                  <c:v>-119.62679075622519</c:v>
                </c:pt>
                <c:pt idx="310">
                  <c:v>-119.76103173889845</c:v>
                </c:pt>
                <c:pt idx="311">
                  <c:v>-119.89546939881571</c:v>
                </c:pt>
                <c:pt idx="312">
                  <c:v>-120.03010142213394</c:v>
                </c:pt>
                <c:pt idx="313">
                  <c:v>-120.16821630600737</c:v>
                </c:pt>
                <c:pt idx="314">
                  <c:v>-120.30653035416029</c:v>
                </c:pt>
                <c:pt idx="315">
                  <c:v>-120.44504119922898</c:v>
                </c:pt>
                <c:pt idx="316">
                  <c:v>-120.58374651297551</c:v>
                </c:pt>
                <c:pt idx="317">
                  <c:v>-120.72595341250442</c:v>
                </c:pt>
                <c:pt idx="318">
                  <c:v>-120.8683593351906</c:v>
                </c:pt>
                <c:pt idx="319">
                  <c:v>-121.01096190560588</c:v>
                </c:pt>
                <c:pt idx="320">
                  <c:v>-121.15375878838805</c:v>
                </c:pt>
                <c:pt idx="321">
                  <c:v>-121.30007527724052</c:v>
                </c:pt>
                <c:pt idx="322">
                  <c:v>-121.4465903993548</c:v>
                </c:pt>
                <c:pt idx="323">
                  <c:v>-121.59330177821073</c:v>
                </c:pt>
                <c:pt idx="324">
                  <c:v>-121.74020707808108</c:v>
                </c:pt>
                <c:pt idx="325">
                  <c:v>-121.89064932449581</c:v>
                </c:pt>
                <c:pt idx="326">
                  <c:v>-122.04128959227049</c:v>
                </c:pt>
                <c:pt idx="327">
                  <c:v>-122.19212551020352</c:v>
                </c:pt>
                <c:pt idx="328">
                  <c:v>-122.34315474840395</c:v>
                </c:pt>
                <c:pt idx="329">
                  <c:v>-122.49799628596226</c:v>
                </c:pt>
                <c:pt idx="330">
                  <c:v>-122.65303569273996</c:v>
                </c:pt>
                <c:pt idx="331">
                  <c:v>-122.80827059691042</c:v>
                </c:pt>
                <c:pt idx="332">
                  <c:v>-122.96369866854783</c:v>
                </c:pt>
                <c:pt idx="333">
                  <c:v>-123.12269709103631</c:v>
                </c:pt>
                <c:pt idx="334">
                  <c:v>-123.28189236957688</c:v>
                </c:pt>
                <c:pt idx="335">
                  <c:v>-123.44128214926231</c:v>
                </c:pt>
                <c:pt idx="336">
                  <c:v>-123.60086411719381</c:v>
                </c:pt>
                <c:pt idx="337">
                  <c:v>-123.76455434462169</c:v>
                </c:pt>
                <c:pt idx="338">
                  <c:v>-123.92844151329273</c:v>
                </c:pt>
                <c:pt idx="339">
                  <c:v>-124.0925232674811</c:v>
                </c:pt>
                <c:pt idx="340">
                  <c:v>-124.25679729392192</c:v>
                </c:pt>
                <c:pt idx="341">
                  <c:v>-124.42519817557998</c:v>
                </c:pt>
                <c:pt idx="342">
                  <c:v>-124.59379586305332</c:v>
                </c:pt>
                <c:pt idx="343">
                  <c:v>-124.76258800545341</c:v>
                </c:pt>
                <c:pt idx="344">
                  <c:v>-124.93157229459122</c:v>
                </c:pt>
                <c:pt idx="345">
                  <c:v>-125.10443771907413</c:v>
                </c:pt>
                <c:pt idx="346">
                  <c:v>-125.27749902171588</c:v>
                </c:pt>
                <c:pt idx="347">
                  <c:v>-125.45075387201537</c:v>
                </c:pt>
                <c:pt idx="348">
                  <c:v>-125.62419998194333</c:v>
                </c:pt>
                <c:pt idx="349">
                  <c:v>-125.80207245054642</c:v>
                </c:pt>
                <c:pt idx="350">
                  <c:v>-125.98014089415504</c:v>
                </c:pt>
                <c:pt idx="351">
                  <c:v>-126.15840298550299</c:v>
                </c:pt>
                <c:pt idx="352">
                  <c:v>-126.3368564398841</c:v>
                </c:pt>
                <c:pt idx="353">
                  <c:v>-126.51975469561265</c:v>
                </c:pt>
                <c:pt idx="354">
                  <c:v>-126.70284882112936</c:v>
                </c:pt>
                <c:pt idx="355">
                  <c:v>-126.88613649674251</c:v>
                </c:pt>
                <c:pt idx="356">
                  <c:v>-127.06961544519314</c:v>
                </c:pt>
                <c:pt idx="357">
                  <c:v>-127.25728990893661</c:v>
                </c:pt>
                <c:pt idx="358">
                  <c:v>-127.44515940079867</c:v>
                </c:pt>
                <c:pt idx="359">
                  <c:v>-127.63322162194802</c:v>
                </c:pt>
                <c:pt idx="360">
                  <c:v>-127.8214743154133</c:v>
                </c:pt>
                <c:pt idx="361">
                  <c:v>-128.01447447154627</c:v>
                </c:pt>
                <c:pt idx="362">
                  <c:v>-128.20766976134388</c:v>
                </c:pt>
                <c:pt idx="363">
                  <c:v>-128.40105788986409</c:v>
                </c:pt>
                <c:pt idx="364">
                  <c:v>-128.59463660372523</c:v>
                </c:pt>
                <c:pt idx="365">
                  <c:v>-128.79271174811296</c:v>
                </c:pt>
                <c:pt idx="366">
                  <c:v>-128.9909814091059</c:v>
                </c:pt>
                <c:pt idx="367">
                  <c:v>-129.18944330750557</c:v>
                </c:pt>
                <c:pt idx="368">
                  <c:v>-129.38809520493669</c:v>
                </c:pt>
                <c:pt idx="369">
                  <c:v>-129.59180016445484</c:v>
                </c:pt>
                <c:pt idx="370">
                  <c:v>-129.79569990091613</c:v>
                </c:pt>
                <c:pt idx="371">
                  <c:v>-129.99979213393198</c:v>
                </c:pt>
                <c:pt idx="372">
                  <c:v>-130.20407462342985</c:v>
                </c:pt>
                <c:pt idx="373">
                  <c:v>-130.41315739806231</c:v>
                </c:pt>
                <c:pt idx="374">
                  <c:v>-130.62243449213884</c:v>
                </c:pt>
                <c:pt idx="375">
                  <c:v>-130.83190363429222</c:v>
                </c:pt>
                <c:pt idx="376">
                  <c:v>-131.04156259253111</c:v>
                </c:pt>
                <c:pt idx="377">
                  <c:v>-131.2565828399776</c:v>
                </c:pt>
                <c:pt idx="378">
                  <c:v>-131.47179775168934</c:v>
                </c:pt>
                <c:pt idx="379">
                  <c:v>-131.68720504797864</c:v>
                </c:pt>
                <c:pt idx="380">
                  <c:v>-131.9028024877762</c:v>
                </c:pt>
                <c:pt idx="381">
                  <c:v>-132.12323339988862</c:v>
                </c:pt>
                <c:pt idx="382">
                  <c:v>-132.34385811790108</c:v>
                </c:pt>
                <c:pt idx="383">
                  <c:v>-132.5646743704859</c:v>
                </c:pt>
                <c:pt idx="384">
                  <c:v>-132.78567992356378</c:v>
                </c:pt>
                <c:pt idx="385">
                  <c:v>-133.01235678671333</c:v>
                </c:pt>
                <c:pt idx="386">
                  <c:v>-133.23922781409877</c:v>
                </c:pt>
                <c:pt idx="387">
                  <c:v>-133.46629071576709</c:v>
                </c:pt>
                <c:pt idx="388">
                  <c:v>-133.69354323796867</c:v>
                </c:pt>
                <c:pt idx="389">
                  <c:v>-133.9262106896993</c:v>
                </c:pt>
                <c:pt idx="390">
                  <c:v>-134.15907191484015</c:v>
                </c:pt>
                <c:pt idx="391">
                  <c:v>-134.39212461087249</c:v>
                </c:pt>
                <c:pt idx="392">
                  <c:v>-134.62536651000809</c:v>
                </c:pt>
                <c:pt idx="393">
                  <c:v>-134.86403999991717</c:v>
                </c:pt>
                <c:pt idx="394">
                  <c:v>-135.10290659816133</c:v>
                </c:pt>
                <c:pt idx="395">
                  <c:v>-135.34196398584899</c:v>
                </c:pt>
                <c:pt idx="396">
                  <c:v>-135.58120987711033</c:v>
                </c:pt>
                <c:pt idx="397">
                  <c:v>-135.82645711835653</c:v>
                </c:pt>
                <c:pt idx="398">
                  <c:v>-136.07189737360326</c:v>
                </c:pt>
                <c:pt idx="399">
                  <c:v>-136.31752828662323</c:v>
                </c:pt>
                <c:pt idx="400">
                  <c:v>-136.56334753254797</c:v>
                </c:pt>
                <c:pt idx="401">
                  <c:v>-136.81490811284303</c:v>
                </c:pt>
                <c:pt idx="402">
                  <c:v>-137.06666080304367</c:v>
                </c:pt>
                <c:pt idx="403">
                  <c:v>-137.31860321140721</c:v>
                </c:pt>
                <c:pt idx="404">
                  <c:v>-137.57073297547342</c:v>
                </c:pt>
                <c:pt idx="405">
                  <c:v>-137.82889829232224</c:v>
                </c:pt>
                <c:pt idx="406">
                  <c:v>-138.08725483589541</c:v>
                </c:pt>
                <c:pt idx="407">
                  <c:v>-138.34580016319714</c:v>
                </c:pt>
                <c:pt idx="408">
                  <c:v>-138.60453185829917</c:v>
                </c:pt>
                <c:pt idx="409">
                  <c:v>-138.86959445518332</c:v>
                </c:pt>
                <c:pt idx="410">
                  <c:v>-139.13484732858967</c:v>
                </c:pt>
                <c:pt idx="411">
                  <c:v>-139.40028796696805</c:v>
                </c:pt>
                <c:pt idx="412">
                  <c:v>-139.66591388344227</c:v>
                </c:pt>
                <c:pt idx="413">
                  <c:v>-139.93788682020073</c:v>
                </c:pt>
                <c:pt idx="414">
                  <c:v>-140.21004853158615</c:v>
                </c:pt>
                <c:pt idx="415">
                  <c:v>-140.48239642625737</c:v>
                </c:pt>
                <c:pt idx="416">
                  <c:v>-140.75492793484673</c:v>
                </c:pt>
                <c:pt idx="417">
                  <c:v>-141.03410240439382</c:v>
                </c:pt>
                <c:pt idx="418">
                  <c:v>-141.31346390597031</c:v>
                </c:pt>
                <c:pt idx="419">
                  <c:v>-141.59300974711999</c:v>
                </c:pt>
                <c:pt idx="420">
                  <c:v>-141.8727372544331</c:v>
                </c:pt>
                <c:pt idx="421">
                  <c:v>-142.15884089112654</c:v>
                </c:pt>
                <c:pt idx="422">
                  <c:v>-142.44512873237645</c:v>
                </c:pt>
                <c:pt idx="423">
                  <c:v>-142.73159797732492</c:v>
                </c:pt>
                <c:pt idx="424">
                  <c:v>-143.01824584084571</c:v>
                </c:pt>
                <c:pt idx="425">
                  <c:v>-143.31212941566017</c:v>
                </c:pt>
                <c:pt idx="426">
                  <c:v>-143.60619463331872</c:v>
                </c:pt>
                <c:pt idx="427">
                  <c:v>-143.90043854170446</c:v>
                </c:pt>
                <c:pt idx="428">
                  <c:v>-144.19485820096861</c:v>
                </c:pt>
                <c:pt idx="429">
                  <c:v>-144.49624445472068</c:v>
                </c:pt>
                <c:pt idx="430">
                  <c:v>-144.79780846591476</c:v>
                </c:pt>
                <c:pt idx="431">
                  <c:v>-145.09954711886024</c:v>
                </c:pt>
                <c:pt idx="432">
                  <c:v>-145.40145730626818</c:v>
                </c:pt>
                <c:pt idx="433">
                  <c:v>-145.71034525021196</c:v>
                </c:pt>
                <c:pt idx="434">
                  <c:v>-146.01940599767693</c:v>
                </c:pt>
                <c:pt idx="435">
                  <c:v>-146.32863624622925</c:v>
                </c:pt>
                <c:pt idx="436">
                  <c:v>-146.63803269764949</c:v>
                </c:pt>
                <c:pt idx="437">
                  <c:v>-146.95498478599899</c:v>
                </c:pt>
                <c:pt idx="438">
                  <c:v>-147.272104119029</c:v>
                </c:pt>
                <c:pt idx="439">
                  <c:v>-147.58938716287301</c:v>
                </c:pt>
                <c:pt idx="440">
                  <c:v>-147.90683038339176</c:v>
                </c:pt>
                <c:pt idx="441">
                  <c:v>-148.23183800152253</c:v>
                </c:pt>
                <c:pt idx="442">
                  <c:v>-148.55700585974677</c:v>
                </c:pt>
                <c:pt idx="443">
                  <c:v>-148.88233016268941</c:v>
                </c:pt>
                <c:pt idx="444">
                  <c:v>-149.2078071098816</c:v>
                </c:pt>
                <c:pt idx="445">
                  <c:v>-149.54085464330126</c:v>
                </c:pt>
                <c:pt idx="446">
                  <c:v>-149.87405379393684</c:v>
                </c:pt>
                <c:pt idx="447">
                  <c:v>-150.20740047193669</c:v>
                </c:pt>
                <c:pt idx="448">
                  <c:v>-150.54089057724423</c:v>
                </c:pt>
                <c:pt idx="449">
                  <c:v>-150.88252649482143</c:v>
                </c:pt>
                <c:pt idx="450">
                  <c:v>-151.22430406601845</c:v>
                </c:pt>
                <c:pt idx="451">
                  <c:v>-151.56621884846103</c:v>
                </c:pt>
                <c:pt idx="452">
                  <c:v>-151.90826638411949</c:v>
                </c:pt>
                <c:pt idx="453">
                  <c:v>-152.25817481428726</c:v>
                </c:pt>
                <c:pt idx="454">
                  <c:v>-152.60821258111557</c:v>
                </c:pt>
                <c:pt idx="455">
                  <c:v>-152.95837486034623</c:v>
                </c:pt>
                <c:pt idx="456">
                  <c:v>-153.3086568064559</c:v>
                </c:pt>
                <c:pt idx="457">
                  <c:v>-153.66737037725304</c:v>
                </c:pt>
                <c:pt idx="458">
                  <c:v>-154.0261990128931</c:v>
                </c:pt>
                <c:pt idx="459">
                  <c:v>-154.38513743949488</c:v>
                </c:pt>
                <c:pt idx="460">
                  <c:v>-154.74418035602855</c:v>
                </c:pt>
                <c:pt idx="461">
                  <c:v>-155.11164900253348</c:v>
                </c:pt>
                <c:pt idx="462">
                  <c:v>-155.4792157210918</c:v>
                </c:pt>
                <c:pt idx="463">
                  <c:v>-155.84687473994694</c:v>
                </c:pt>
                <c:pt idx="464">
                  <c:v>-156.21462025426038</c:v>
                </c:pt>
                <c:pt idx="465">
                  <c:v>-156.59106827120749</c:v>
                </c:pt>
                <c:pt idx="466">
                  <c:v>-156.96759447375274</c:v>
                </c:pt>
                <c:pt idx="467">
                  <c:v>-157.34419252727128</c:v>
                </c:pt>
                <c:pt idx="468">
                  <c:v>-157.72085605810341</c:v>
                </c:pt>
                <c:pt idx="469">
                  <c:v>-158.10620652891623</c:v>
                </c:pt>
                <c:pt idx="470">
                  <c:v>-158.491611892469</c:v>
                </c:pt>
                <c:pt idx="471">
                  <c:v>-158.87706519705665</c:v>
                </c:pt>
                <c:pt idx="472">
                  <c:v>-159.26255944623875</c:v>
                </c:pt>
                <c:pt idx="473">
                  <c:v>-159.65729459706094</c:v>
                </c:pt>
                <c:pt idx="474">
                  <c:v>-160.05205768195788</c:v>
                </c:pt>
                <c:pt idx="475">
                  <c:v>-160.44684104344717</c:v>
                </c:pt>
                <c:pt idx="476">
                  <c:v>-160.84163697379012</c:v>
                </c:pt>
                <c:pt idx="477">
                  <c:v>-161.2456458901051</c:v>
                </c:pt>
                <c:pt idx="478">
                  <c:v>-161.64965147568125</c:v>
                </c:pt>
                <c:pt idx="479">
                  <c:v>-162.05364530699421</c:v>
                </c:pt>
                <c:pt idx="480">
                  <c:v>-162.45761890543372</c:v>
                </c:pt>
                <c:pt idx="481">
                  <c:v>-162.87077005463669</c:v>
                </c:pt>
                <c:pt idx="482">
                  <c:v>-163.28388192153332</c:v>
                </c:pt>
                <c:pt idx="483">
                  <c:v>-163.69694525726149</c:v>
                </c:pt>
                <c:pt idx="484">
                  <c:v>-164.10995075405111</c:v>
                </c:pt>
                <c:pt idx="485">
                  <c:v>-164.53237771023225</c:v>
                </c:pt>
                <c:pt idx="486">
                  <c:v>-164.95472424752589</c:v>
                </c:pt>
                <c:pt idx="487">
                  <c:v>-165.37698021422989</c:v>
                </c:pt>
                <c:pt idx="488">
                  <c:v>-165.79913539711345</c:v>
                </c:pt>
                <c:pt idx="489">
                  <c:v>-166.23123359308224</c:v>
                </c:pt>
                <c:pt idx="490">
                  <c:v>-166.66320428573064</c:v>
                </c:pt>
                <c:pt idx="491">
                  <c:v>-167.09503632060878</c:v>
                </c:pt>
                <c:pt idx="492">
                  <c:v>-167.52671848055772</c:v>
                </c:pt>
                <c:pt idx="493">
                  <c:v>-167.96827952219414</c:v>
                </c:pt>
                <c:pt idx="494">
                  <c:v>-168.40965967358093</c:v>
                </c:pt>
                <c:pt idx="495">
                  <c:v>-168.85084672222075</c:v>
                </c:pt>
                <c:pt idx="496">
                  <c:v>-169.29182839398425</c:v>
                </c:pt>
                <c:pt idx="497">
                  <c:v>-169.74289991744078</c:v>
                </c:pt>
                <c:pt idx="498">
                  <c:v>-170.19373014372778</c:v>
                </c:pt>
                <c:pt idx="499">
                  <c:v>-170.64430573040528</c:v>
                </c:pt>
                <c:pt idx="500">
                  <c:v>-171.09461327711287</c:v>
                </c:pt>
                <c:pt idx="501">
                  <c:v>-171.55520787526902</c:v>
                </c:pt>
                <c:pt idx="502">
                  <c:v>-172.01549311330709</c:v>
                </c:pt>
                <c:pt idx="503">
                  <c:v>-172.47545445375667</c:v>
                </c:pt>
                <c:pt idx="504">
                  <c:v>-172.93507730818624</c:v>
                </c:pt>
                <c:pt idx="505">
                  <c:v>-173.4048843298408</c:v>
                </c:pt>
                <c:pt idx="506">
                  <c:v>-173.87430611831246</c:v>
                </c:pt>
                <c:pt idx="507">
                  <c:v>-174.3433269147917</c:v>
                </c:pt>
                <c:pt idx="508">
                  <c:v>-174.81193092047934</c:v>
                </c:pt>
                <c:pt idx="509">
                  <c:v>-175.29088574246711</c:v>
                </c:pt>
                <c:pt idx="510">
                  <c:v>-175.76937078152051</c:v>
                </c:pt>
                <c:pt idx="511">
                  <c:v>-176.24736901949069</c:v>
                </c:pt>
                <c:pt idx="512">
                  <c:v>-176.72486341375139</c:v>
                </c:pt>
                <c:pt idx="513">
                  <c:v>-177.21313982974448</c:v>
                </c:pt>
                <c:pt idx="514">
                  <c:v>-177.70085202499209</c:v>
                </c:pt>
                <c:pt idx="515">
                  <c:v>-178.18798166978323</c:v>
                </c:pt>
                <c:pt idx="516">
                  <c:v>-178.67451043067703</c:v>
                </c:pt>
                <c:pt idx="517">
                  <c:v>-179.17166691214453</c:v>
                </c:pt>
                <c:pt idx="518">
                  <c:v>-179.66815553703719</c:v>
                </c:pt>
                <c:pt idx="519">
                  <c:v>-180.16395669600942</c:v>
                </c:pt>
                <c:pt idx="520">
                  <c:v>-180.65905080273257</c:v>
                </c:pt>
                <c:pt idx="521">
                  <c:v>-181.16488041182583</c:v>
                </c:pt>
                <c:pt idx="522">
                  <c:v>-181.66992839274465</c:v>
                </c:pt>
                <c:pt idx="523">
                  <c:v>-182.17417388462357</c:v>
                </c:pt>
                <c:pt idx="524">
                  <c:v>-182.67759608292684</c:v>
                </c:pt>
                <c:pt idx="525">
                  <c:v>-183.19183898555048</c:v>
                </c:pt>
                <c:pt idx="526">
                  <c:v>-183.70517604389963</c:v>
                </c:pt>
                <c:pt idx="527">
                  <c:v>-184.21758520463828</c:v>
                </c:pt>
                <c:pt idx="528">
                  <c:v>-184.72904451117319</c:v>
                </c:pt>
                <c:pt idx="529">
                  <c:v>-185.25138577009065</c:v>
                </c:pt>
                <c:pt idx="530">
                  <c:v>-185.77268634159856</c:v>
                </c:pt>
                <c:pt idx="531">
                  <c:v>-186.29292307420479</c:v>
                </c:pt>
                <c:pt idx="532">
                  <c:v>-186.81207296105478</c:v>
                </c:pt>
                <c:pt idx="533">
                  <c:v>-187.34241420258741</c:v>
                </c:pt>
                <c:pt idx="534">
                  <c:v>-187.87156801661342</c:v>
                </c:pt>
                <c:pt idx="535">
                  <c:v>-188.39951024974695</c:v>
                </c:pt>
                <c:pt idx="536">
                  <c:v>-188.92621694921715</c:v>
                </c:pt>
                <c:pt idx="537">
                  <c:v>-189.46357923164535</c:v>
                </c:pt>
                <c:pt idx="538">
                  <c:v>-189.99959925243732</c:v>
                </c:pt>
                <c:pt idx="539">
                  <c:v>-190.53425210710643</c:v>
                </c:pt>
                <c:pt idx="540">
                  <c:v>-191.06751315450197</c:v>
                </c:pt>
                <c:pt idx="541">
                  <c:v>-191.61195250148842</c:v>
                </c:pt>
                <c:pt idx="542">
                  <c:v>-192.15488188045879</c:v>
                </c:pt>
                <c:pt idx="543">
                  <c:v>-192.69627578114009</c:v>
                </c:pt>
                <c:pt idx="544">
                  <c:v>-193.23610902754874</c:v>
                </c:pt>
                <c:pt idx="545">
                  <c:v>-193.78680583961309</c:v>
                </c:pt>
                <c:pt idx="546">
                  <c:v>-194.33581665236426</c:v>
                </c:pt>
                <c:pt idx="547">
                  <c:v>-194.8831156542584</c:v>
                </c:pt>
                <c:pt idx="548">
                  <c:v>-195.42867744486688</c:v>
                </c:pt>
                <c:pt idx="549">
                  <c:v>-195.98502940650576</c:v>
                </c:pt>
                <c:pt idx="550">
                  <c:v>-196.53951046428114</c:v>
                </c:pt>
                <c:pt idx="551">
                  <c:v>-197.09209481662535</c:v>
                </c:pt>
                <c:pt idx="552">
                  <c:v>-197.64275715513247</c:v>
                </c:pt>
                <c:pt idx="553">
                  <c:v>-198.20436605366262</c:v>
                </c:pt>
                <c:pt idx="554">
                  <c:v>-198.76390935386493</c:v>
                </c:pt>
                <c:pt idx="555">
                  <c:v>-199.32136158291405</c:v>
                </c:pt>
                <c:pt idx="556">
                  <c:v>-199.87669784790546</c:v>
                </c:pt>
                <c:pt idx="557">
                  <c:v>-201.00672571438949</c:v>
                </c:pt>
                <c:pt idx="558">
                  <c:v>-202.12758617398799</c:v>
                </c:pt>
                <c:pt idx="559">
                  <c:v>-203.26445531912245</c:v>
                </c:pt>
                <c:pt idx="560">
                  <c:v>-204.39134180108897</c:v>
                </c:pt>
                <c:pt idx="561">
                  <c:v>-205.53443661807481</c:v>
                </c:pt>
                <c:pt idx="562">
                  <c:v>-206.66670223281128</c:v>
                </c:pt>
                <c:pt idx="563">
                  <c:v>-207.81191281271191</c:v>
                </c:pt>
                <c:pt idx="564">
                  <c:v>-208.94548934740197</c:v>
                </c:pt>
                <c:pt idx="565">
                  <c:v>-210.09541141497417</c:v>
                </c:pt>
                <c:pt idx="566">
                  <c:v>-211.23280735521635</c:v>
                </c:pt>
                <c:pt idx="567">
                  <c:v>-212.3850471750132</c:v>
                </c:pt>
                <c:pt idx="568">
                  <c:v>-213.52388398031383</c:v>
                </c:pt>
                <c:pt idx="569">
                  <c:v>-214.6715831541905</c:v>
                </c:pt>
                <c:pt idx="570">
                  <c:v>-215.80513947200757</c:v>
                </c:pt>
                <c:pt idx="571">
                  <c:v>-216.95500487703345</c:v>
                </c:pt>
                <c:pt idx="572">
                  <c:v>-218.08980071303017</c:v>
                </c:pt>
                <c:pt idx="573">
                  <c:v>-219.23070444632455</c:v>
                </c:pt>
                <c:pt idx="574">
                  <c:v>-220.35588579496917</c:v>
                </c:pt>
                <c:pt idx="575">
                  <c:v>-221.49421083165439</c:v>
                </c:pt>
                <c:pt idx="576">
                  <c:v>-222.61597799520052</c:v>
                </c:pt>
                <c:pt idx="577">
                  <c:v>-227.18257368648062</c:v>
                </c:pt>
                <c:pt idx="578">
                  <c:v>-231.45850792126737</c:v>
                </c:pt>
                <c:pt idx="579">
                  <c:v>-239.86243651981141</c:v>
                </c:pt>
                <c:pt idx="580">
                  <c:v>-247.70177148069411</c:v>
                </c:pt>
                <c:pt idx="581">
                  <c:v>-254.87490157311359</c:v>
                </c:pt>
                <c:pt idx="582">
                  <c:v>-261.34160868730442</c:v>
                </c:pt>
                <c:pt idx="583">
                  <c:v>-267.08688803715586</c:v>
                </c:pt>
                <c:pt idx="584">
                  <c:v>-272.12823612010504</c:v>
                </c:pt>
                <c:pt idx="585">
                  <c:v>-276.49000265892539</c:v>
                </c:pt>
                <c:pt idx="586">
                  <c:v>-280.20833789635088</c:v>
                </c:pt>
                <c:pt idx="587">
                  <c:v>-283.32393499858551</c:v>
                </c:pt>
                <c:pt idx="588">
                  <c:v>-285.87455946331823</c:v>
                </c:pt>
                <c:pt idx="589">
                  <c:v>-287.90378790643416</c:v>
                </c:pt>
                <c:pt idx="590">
                  <c:v>-289.45235740930758</c:v>
                </c:pt>
                <c:pt idx="591">
                  <c:v>-290.56246866762763</c:v>
                </c:pt>
                <c:pt idx="592">
                  <c:v>-291.27647808595253</c:v>
                </c:pt>
                <c:pt idx="593">
                  <c:v>-291.63744697473714</c:v>
                </c:pt>
                <c:pt idx="594">
                  <c:v>-291.68839112123953</c:v>
                </c:pt>
                <c:pt idx="595">
                  <c:v>-291.47238683271701</c:v>
                </c:pt>
                <c:pt idx="596">
                  <c:v>-291.03189388663543</c:v>
                </c:pt>
                <c:pt idx="597">
                  <c:v>-290.40789089408457</c:v>
                </c:pt>
                <c:pt idx="598">
                  <c:v>-289.63949886321694</c:v>
                </c:pt>
                <c:pt idx="599">
                  <c:v>-288.7626495310783</c:v>
                </c:pt>
                <c:pt idx="600">
                  <c:v>-287.8101272406418</c:v>
                </c:pt>
              </c:numCache>
            </c:numRef>
          </c:yVal>
          <c:smooth val="0"/>
          <c:extLst>
            <c:ext xmlns:c16="http://schemas.microsoft.com/office/drawing/2014/chart" uri="{C3380CC4-5D6E-409C-BE32-E72D297353CC}">
              <c16:uniqueId val="{0000000B-10BD-4998-8A98-65686C23F2C0}"/>
            </c:ext>
          </c:extLst>
        </c:ser>
        <c:ser>
          <c:idx val="1"/>
          <c:order val="7"/>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C-10BD-4998-8A98-65686C23F2C0}"/>
              </c:ext>
            </c:extLst>
          </c:dPt>
          <c:xVal>
            <c:numRef>
              <c:f>'Ch2 Stability Calculations'!$A$617:$A$618</c:f>
              <c:numCache>
                <c:formatCode>General</c:formatCode>
                <c:ptCount val="2"/>
                <c:pt idx="0">
                  <c:v>53092</c:v>
                </c:pt>
                <c:pt idx="1">
                  <c:v>53092</c:v>
                </c:pt>
              </c:numCache>
            </c:numRef>
          </c:xVal>
          <c:yVal>
            <c:numRef>
              <c:f>'Ch2 Stability Calculations'!$R$617:$R$618</c:f>
              <c:numCache>
                <c:formatCode>0.00</c:formatCode>
                <c:ptCount val="2"/>
                <c:pt idx="0">
                  <c:v>-152.60821258111557</c:v>
                </c:pt>
                <c:pt idx="1">
                  <c:v>-135</c:v>
                </c:pt>
              </c:numCache>
            </c:numRef>
          </c:yVal>
          <c:smooth val="0"/>
          <c:extLst>
            <c:ext xmlns:c16="http://schemas.microsoft.com/office/drawing/2014/chart" uri="{C3380CC4-5D6E-409C-BE32-E72D297353CC}">
              <c16:uniqueId val="{0000000D-10BD-4998-8A98-65686C23F2C0}"/>
            </c:ext>
          </c:extLst>
        </c:ser>
        <c:ser>
          <c:idx val="0"/>
          <c:order val="8"/>
          <c:tx>
            <c:v>Fc2</c:v>
          </c:tx>
          <c:spPr>
            <a:ln w="22225">
              <a:solidFill>
                <a:schemeClr val="tx1">
                  <a:lumMod val="50000"/>
                  <a:lumOff val="50000"/>
                </a:schemeClr>
              </a:solidFill>
              <a:prstDash val="sysDash"/>
            </a:ln>
          </c:spPr>
          <c:marker>
            <c:symbol val="none"/>
          </c:marker>
          <c:xVal>
            <c:numRef>
              <c:f>'Ch2 Stability Calculations'!$A$619:$A$620</c:f>
              <c:numCache>
                <c:formatCode>General</c:formatCode>
                <c:ptCount val="2"/>
                <c:pt idx="0">
                  <c:v>53092</c:v>
                </c:pt>
                <c:pt idx="1">
                  <c:v>1000000</c:v>
                </c:pt>
              </c:numCache>
            </c:numRef>
          </c:xVal>
          <c:yVal>
            <c:numRef>
              <c:f>'Ch2 Stability Calculations'!$R$619:$R$620</c:f>
              <c:numCache>
                <c:formatCode>0.00</c:formatCode>
                <c:ptCount val="2"/>
                <c:pt idx="1">
                  <c:v>-152.60821258111557</c:v>
                </c:pt>
              </c:numCache>
            </c:numRef>
          </c:yVal>
          <c:smooth val="0"/>
          <c:extLst>
            <c:ext xmlns:c16="http://schemas.microsoft.com/office/drawing/2014/chart" uri="{C3380CC4-5D6E-409C-BE32-E72D297353CC}">
              <c16:uniqueId val="{0000000E-10BD-4998-8A98-65686C23F2C0}"/>
            </c:ext>
          </c:extLst>
        </c:ser>
        <c:dLbls>
          <c:showLegendKey val="0"/>
          <c:showVal val="0"/>
          <c:showCatName val="0"/>
          <c:showSerName val="0"/>
          <c:showPercent val="0"/>
          <c:showBubbleSize val="0"/>
        </c:dLbls>
        <c:axId val="185190272"/>
        <c:axId val="185191808"/>
      </c:scatterChart>
      <c:valAx>
        <c:axId val="185161600"/>
        <c:scaling>
          <c:logBase val="10"/>
          <c:orientation val="minMax"/>
          <c:max val="1000000"/>
          <c:min val="10"/>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c:rich>
          </c:tx>
          <c:layout>
            <c:manualLayout>
              <c:xMode val="edge"/>
              <c:yMode val="edge"/>
              <c:x val="0.43129335258697837"/>
              <c:y val="0.93828708847530751"/>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185188352"/>
        <c:crossesAt val="-80"/>
        <c:crossBetween val="midCat"/>
      </c:valAx>
      <c:valAx>
        <c:axId val="185188352"/>
        <c:scaling>
          <c:orientation val="minMax"/>
          <c:max val="8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Loop Gain (dB)</a:t>
                </a:r>
              </a:p>
            </c:rich>
          </c:tx>
          <c:layout>
            <c:manualLayout>
              <c:xMode val="edge"/>
              <c:yMode val="edge"/>
              <c:x val="1.8000828843762959E-2"/>
              <c:y val="0.374150332272295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85161600"/>
        <c:crossesAt val="1.0000000000000005E-2"/>
        <c:crossBetween val="midCat"/>
        <c:majorUnit val="20"/>
      </c:valAx>
      <c:valAx>
        <c:axId val="185190272"/>
        <c:scaling>
          <c:logBase val="10"/>
          <c:orientation val="minMax"/>
        </c:scaling>
        <c:delete val="1"/>
        <c:axPos val="b"/>
        <c:numFmt formatCode="General" sourceLinked="1"/>
        <c:majorTickMark val="out"/>
        <c:minorTickMark val="none"/>
        <c:tickLblPos val="none"/>
        <c:crossAx val="185191808"/>
        <c:crosses val="autoZero"/>
        <c:crossBetween val="midCat"/>
      </c:valAx>
      <c:valAx>
        <c:axId val="185191808"/>
        <c:scaling>
          <c:orientation val="minMax"/>
          <c:max val="-45"/>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Loop Phase  (°)</a:t>
                </a:r>
              </a:p>
            </c:rich>
          </c:tx>
          <c:layout>
            <c:manualLayout>
              <c:xMode val="edge"/>
              <c:yMode val="edge"/>
              <c:x val="0.9649302942395358"/>
              <c:y val="0.367637795275590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185190272"/>
        <c:crosses val="max"/>
        <c:crossBetween val="midCat"/>
        <c:majorUnit val="45"/>
      </c:valAx>
      <c:spPr>
        <a:noFill/>
        <a:ln w="12700">
          <a:solidFill>
            <a:srgbClr val="808080"/>
          </a:solidFill>
          <a:prstDash val="solid"/>
        </a:ln>
      </c:spPr>
    </c:plotArea>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88" r="0.75000000000000688" t="1" header="0.5" footer="0.5"/>
    <c:pageSetup orientation="landscape"/>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 MOSFET Temp Rise</a:t>
            </a:r>
          </a:p>
        </c:rich>
      </c:tx>
      <c:layout>
        <c:manualLayout>
          <c:xMode val="edge"/>
          <c:yMode val="edge"/>
          <c:x val="0.10222965146116514"/>
          <c:y val="5.3971744656178336E-2"/>
        </c:manualLayout>
      </c:layout>
      <c:overlay val="0"/>
      <c:spPr>
        <a:noFill/>
        <a:ln w="25400">
          <a:noFill/>
        </a:ln>
      </c:spPr>
    </c:title>
    <c:autoTitleDeleted val="0"/>
    <c:plotArea>
      <c:layout>
        <c:manualLayout>
          <c:layoutTarget val="inner"/>
          <c:xMode val="edge"/>
          <c:yMode val="edge"/>
          <c:x val="0.10064104795743185"/>
          <c:y val="0.15757606845026328"/>
          <c:w val="0.85614122031885154"/>
          <c:h val="0.71717313204926625"/>
        </c:manualLayout>
      </c:layout>
      <c:scatterChart>
        <c:scatterStyle val="lineMarker"/>
        <c:varyColors val="0"/>
        <c:ser>
          <c:idx val="0"/>
          <c:order val="0"/>
          <c:tx>
            <c:strRef>
              <c:f>'Efficiency Calculations'!$AW$8</c:f>
              <c:strCache>
                <c:ptCount val="1"/>
                <c:pt idx="0">
                  <c:v>Buck ''CONTROL'' MOSFET Temp Rise</c:v>
                </c:pt>
              </c:strCache>
            </c:strRef>
          </c:tx>
          <c:spPr>
            <a:ln w="31750">
              <a:solidFill>
                <a:srgbClr val="000080"/>
              </a:solidFill>
              <a:prstDash val="dash"/>
            </a:ln>
          </c:spPr>
          <c:marker>
            <c:symbol val="none"/>
          </c:marker>
          <c:xVal>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xVal>
          <c:yVal>
            <c:numRef>
              <c:f>'Efficiency Calculations'!$AW$9:$AW$109</c:f>
              <c:numCache>
                <c:formatCode>0.0</c:formatCode>
                <c:ptCount val="101"/>
                <c:pt idx="0">
                  <c:v>3.8462381293808572</c:v>
                </c:pt>
                <c:pt idx="1">
                  <c:v>5.5092980831253806</c:v>
                </c:pt>
                <c:pt idx="2">
                  <c:v>7.1772490295940425</c:v>
                </c:pt>
                <c:pt idx="3">
                  <c:v>8.850187120160788</c:v>
                </c:pt>
                <c:pt idx="4">
                  <c:v>10.528209108684399</c:v>
                </c:pt>
                <c:pt idx="5">
                  <c:v>12.211412370169617</c:v>
                </c:pt>
                <c:pt idx="6">
                  <c:v>13.89989491961734</c:v>
                </c:pt>
                <c:pt idx="7">
                  <c:v>15.593755431071591</c:v>
                </c:pt>
                <c:pt idx="8">
                  <c:v>17.293093256870996</c:v>
                </c:pt>
                <c:pt idx="9">
                  <c:v>18.315138819279742</c:v>
                </c:pt>
                <c:pt idx="10">
                  <c:v>18.698470203203581</c:v>
                </c:pt>
                <c:pt idx="11">
                  <c:v>19.087038225845717</c:v>
                </c:pt>
                <c:pt idx="12">
                  <c:v>19.480869007184822</c:v>
                </c:pt>
                <c:pt idx="13">
                  <c:v>19.87998929481039</c:v>
                </c:pt>
                <c:pt idx="14">
                  <c:v>20.284426469860072</c:v>
                </c:pt>
                <c:pt idx="15">
                  <c:v>20.694208553147913</c:v>
                </c:pt>
                <c:pt idx="16">
                  <c:v>21.109364211486074</c:v>
                </c:pt>
                <c:pt idx="17">
                  <c:v>21.529922764203242</c:v>
                </c:pt>
                <c:pt idx="18">
                  <c:v>21.955914189862579</c:v>
                </c:pt>
                <c:pt idx="19">
                  <c:v>22.38736913318246</c:v>
                </c:pt>
                <c:pt idx="20">
                  <c:v>22.824318912163388</c:v>
                </c:pt>
                <c:pt idx="21">
                  <c:v>23.266795525424264</c:v>
                </c:pt>
                <c:pt idx="22">
                  <c:v>23.714831659751823</c:v>
                </c:pt>
                <c:pt idx="23">
                  <c:v>24.16846069786666</c:v>
                </c:pt>
                <c:pt idx="24">
                  <c:v>24.627716726409787</c:v>
                </c:pt>
                <c:pt idx="25">
                  <c:v>25.092634544153562</c:v>
                </c:pt>
                <c:pt idx="26">
                  <c:v>25.563249670441103</c:v>
                </c:pt>
                <c:pt idx="27">
                  <c:v>26.039598353858292</c:v>
                </c:pt>
                <c:pt idx="28">
                  <c:v>26.521717581142809</c:v>
                </c:pt>
                <c:pt idx="29">
                  <c:v>27.009645086334579</c:v>
                </c:pt>
                <c:pt idx="30">
                  <c:v>27.503419360172366</c:v>
                </c:pt>
                <c:pt idx="31">
                  <c:v>28.003079659741164</c:v>
                </c:pt>
                <c:pt idx="32">
                  <c:v>28.508666018375479</c:v>
                </c:pt>
                <c:pt idx="33">
                  <c:v>29.020219255823463</c:v>
                </c:pt>
                <c:pt idx="34">
                  <c:v>29.537780988677255</c:v>
                </c:pt>
                <c:pt idx="35">
                  <c:v>30.061393641074943</c:v>
                </c:pt>
                <c:pt idx="36">
                  <c:v>30.59110045567974</c:v>
                </c:pt>
                <c:pt idx="37">
                  <c:v>31.126945504942224</c:v>
                </c:pt>
                <c:pt idx="38">
                  <c:v>31.668973702651531</c:v>
                </c:pt>
                <c:pt idx="39">
                  <c:v>32.217230815781811</c:v>
                </c:pt>
                <c:pt idx="40">
                  <c:v>32.771763476640096</c:v>
                </c:pt>
                <c:pt idx="41">
                  <c:v>33.332619195322451</c:v>
                </c:pt>
                <c:pt idx="42">
                  <c:v>33.899846372484845</c:v>
                </c:pt>
                <c:pt idx="43">
                  <c:v>34.473494312436046</c:v>
                </c:pt>
                <c:pt idx="44">
                  <c:v>35.053613236559528</c:v>
                </c:pt>
                <c:pt idx="45">
                  <c:v>35.640254297071955</c:v>
                </c:pt>
                <c:pt idx="46">
                  <c:v>36.233469591125861</c:v>
                </c:pt>
                <c:pt idx="47">
                  <c:v>36.833312175264439</c:v>
                </c:pt>
                <c:pt idx="48">
                  <c:v>37.439836080236667</c:v>
                </c:pt>
                <c:pt idx="49">
                  <c:v>38.053096326181127</c:v>
                </c:pt>
                <c:pt idx="50">
                  <c:v>38.673148938187246</c:v>
                </c:pt>
                <c:pt idx="51">
                  <c:v>39.300050962242864</c:v>
                </c:pt>
                <c:pt idx="52">
                  <c:v>39.933860481577454</c:v>
                </c:pt>
                <c:pt idx="53">
                  <c:v>40.574636633410464</c:v>
                </c:pt>
                <c:pt idx="54">
                  <c:v>41.222439626114657</c:v>
                </c:pt>
                <c:pt idx="55">
                  <c:v>41.877330756804575</c:v>
                </c:pt>
                <c:pt idx="56">
                  <c:v>42.539372429360583</c:v>
                </c:pt>
                <c:pt idx="57">
                  <c:v>43.208628172899353</c:v>
                </c:pt>
                <c:pt idx="58">
                  <c:v>43.885162660701724</c:v>
                </c:pt>
                <c:pt idx="59">
                  <c:v>44.5690417296099</c:v>
                </c:pt>
                <c:pt idx="60">
                  <c:v>45.260332399905131</c:v>
                </c:pt>
                <c:pt idx="61">
                  <c:v>45.959102895678882</c:v>
                </c:pt>
                <c:pt idx="62">
                  <c:v>46.665422665709478</c:v>
                </c:pt>
                <c:pt idx="63">
                  <c:v>47.379362404857645</c:v>
                </c:pt>
                <c:pt idx="64">
                  <c:v>48.100994075994343</c:v>
                </c:pt>
                <c:pt idx="65">
                  <c:v>48.830390932474508</c:v>
                </c:pt>
                <c:pt idx="66">
                  <c:v>49.567627541171326</c:v>
                </c:pt>
                <c:pt idx="67">
                  <c:v>50.312779806085786</c:v>
                </c:pt>
                <c:pt idx="68">
                  <c:v>51.065924992546556</c:v>
                </c:pt>
                <c:pt idx="69">
                  <c:v>51.827141752016225</c:v>
                </c:pt>
                <c:pt idx="70">
                  <c:v>52.596510147519957</c:v>
                </c:pt>
                <c:pt idx="71">
                  <c:v>53.374111679713472</c:v>
                </c:pt>
                <c:pt idx="72">
                  <c:v>54.16002931360773</c:v>
                </c:pt>
                <c:pt idx="73">
                  <c:v>54.954347505968109</c:v>
                </c:pt>
                <c:pt idx="74">
                  <c:v>55.757152233406813</c:v>
                </c:pt>
                <c:pt idx="75">
                  <c:v>56.568531021187184</c:v>
                </c:pt>
                <c:pt idx="76">
                  <c:v>57.388572972760365</c:v>
                </c:pt>
                <c:pt idx="77">
                  <c:v>58.217368800053912</c:v>
                </c:pt>
                <c:pt idx="78">
                  <c:v>59.055010854534153</c:v>
                </c:pt>
                <c:pt idx="79">
                  <c:v>59.90159315906363</c:v>
                </c:pt>
                <c:pt idx="80">
                  <c:v>60.757211440576306</c:v>
                </c:pt>
                <c:pt idx="81">
                  <c:v>61.621963163593776</c:v>
                </c:pt>
                <c:pt idx="82">
                  <c:v>62.495947564606617</c:v>
                </c:pt>
                <c:pt idx="83">
                  <c:v>63.379265687345629</c:v>
                </c:pt>
                <c:pt idx="84">
                  <c:v>64.272020418968822</c:v>
                </c:pt>
                <c:pt idx="85">
                  <c:v>65.17431652719057</c:v>
                </c:pt>
                <c:pt idx="86">
                  <c:v>66.086260698380741</c:v>
                </c:pt>
                <c:pt idx="87">
                  <c:v>67.007961576661813</c:v>
                </c:pt>
                <c:pt idx="88">
                  <c:v>67.939529804033924</c:v>
                </c:pt>
                <c:pt idx="89">
                  <c:v>68.881078061557815</c:v>
                </c:pt>
                <c:pt idx="90">
                  <c:v>69.832721111627606</c:v>
                </c:pt>
                <c:pt idx="91">
                  <c:v>70.794575841365685</c:v>
                </c:pt>
                <c:pt idx="92">
                  <c:v>71.766761307173738</c:v>
                </c:pt>
                <c:pt idx="93">
                  <c:v>72.749398780474536</c:v>
                </c:pt>
                <c:pt idx="94">
                  <c:v>73.742611794681082</c:v>
                </c:pt>
                <c:pt idx="95">
                  <c:v>74.746526193430171</c:v>
                </c:pt>
                <c:pt idx="96">
                  <c:v>75.761270180119325</c:v>
                </c:pt>
                <c:pt idx="97">
                  <c:v>76.786974368787369</c:v>
                </c:pt>
                <c:pt idx="98">
                  <c:v>77.823771836380132</c:v>
                </c:pt>
                <c:pt idx="99">
                  <c:v>78.8717981764445</c:v>
                </c:pt>
                <c:pt idx="100">
                  <c:v>79.931191554295211</c:v>
                </c:pt>
              </c:numCache>
            </c:numRef>
          </c:yVal>
          <c:smooth val="0"/>
          <c:extLst>
            <c:ext xmlns:c16="http://schemas.microsoft.com/office/drawing/2014/chart" uri="{C3380CC4-5D6E-409C-BE32-E72D297353CC}">
              <c16:uniqueId val="{00000000-EFF6-4CEF-8042-54EBF9C08737}"/>
            </c:ext>
          </c:extLst>
        </c:ser>
        <c:ser>
          <c:idx val="1"/>
          <c:order val="1"/>
          <c:tx>
            <c:strRef>
              <c:f>'Efficiency Calculations'!$AX$8</c:f>
              <c:strCache>
                <c:ptCount val="1"/>
                <c:pt idx="0">
                  <c:v>Buck ''SYNC'' MOSFET Temp Rise</c:v>
                </c:pt>
              </c:strCache>
            </c:strRef>
          </c:tx>
          <c:spPr>
            <a:ln w="25400">
              <a:solidFill>
                <a:srgbClr val="FF0000"/>
              </a:solidFill>
              <a:prstDash val="solid"/>
            </a:ln>
          </c:spPr>
          <c:marker>
            <c:symbol val="none"/>
          </c:marker>
          <c:xVal>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xVal>
          <c:yVal>
            <c:numRef>
              <c:f>'Efficiency Calculations'!$AX$9:$AX$109</c:f>
              <c:numCache>
                <c:formatCode>0.0</c:formatCode>
                <c:ptCount val="101"/>
                <c:pt idx="0">
                  <c:v>0.60845703757483705</c:v>
                </c:pt>
                <c:pt idx="1">
                  <c:v>0.6105302942041031</c:v>
                </c:pt>
                <c:pt idx="2">
                  <c:v>0.61675429968953854</c:v>
                </c:pt>
                <c:pt idx="3">
                  <c:v>0.62712892904688022</c:v>
                </c:pt>
                <c:pt idx="4">
                  <c:v>0.64165447057116565</c:v>
                </c:pt>
                <c:pt idx="5">
                  <c:v>0.66033162584667626</c:v>
                </c:pt>
                <c:pt idx="6">
                  <c:v>0.68316150985975843</c:v>
                </c:pt>
                <c:pt idx="7">
                  <c:v>0.71014565121456275</c:v>
                </c:pt>
                <c:pt idx="8">
                  <c:v>0.74128599245178683</c:v>
                </c:pt>
                <c:pt idx="9">
                  <c:v>0.77658489047055412</c:v>
                </c:pt>
                <c:pt idx="10">
                  <c:v>0.81604511705361216</c:v>
                </c:pt>
                <c:pt idx="11">
                  <c:v>0.85966985949607999</c:v>
                </c:pt>
                <c:pt idx="12">
                  <c:v>0.90746272133802086</c:v>
                </c:pt>
                <c:pt idx="13">
                  <c:v>0.95942772320116976</c:v>
                </c:pt>
                <c:pt idx="14">
                  <c:v>1.0155693037301887</c:v>
                </c:pt>
                <c:pt idx="15">
                  <c:v>1.0758923206388769</c:v>
                </c:pt>
                <c:pt idx="16">
                  <c:v>1.1404020518618045</c:v>
                </c:pt>
                <c:pt idx="17">
                  <c:v>1.2091041968119005</c:v>
                </c:pt>
                <c:pt idx="18">
                  <c:v>1.2820048777445592</c:v>
                </c:pt>
                <c:pt idx="19">
                  <c:v>1.3591106412288982</c:v>
                </c:pt>
                <c:pt idx="20">
                  <c:v>1.4404284597268346</c:v>
                </c:pt>
                <c:pt idx="21">
                  <c:v>1.5259657332807139</c:v>
                </c:pt>
                <c:pt idx="22">
                  <c:v>1.615730291310258</c:v>
                </c:pt>
                <c:pt idx="23">
                  <c:v>1.7097303945196773</c:v>
                </c:pt>
                <c:pt idx="24">
                  <c:v>1.8079747369158155</c:v>
                </c:pt>
                <c:pt idx="25">
                  <c:v>1.9104724479382844</c:v>
                </c:pt>
                <c:pt idx="26">
                  <c:v>2.0172330947025539</c:v>
                </c:pt>
                <c:pt idx="27">
                  <c:v>2.128266684357071</c:v>
                </c:pt>
                <c:pt idx="28">
                  <c:v>2.2435836665554998</c:v>
                </c:pt>
                <c:pt idx="29">
                  <c:v>2.3631949360452378</c:v>
                </c:pt>
                <c:pt idx="30">
                  <c:v>2.4871118353734376</c:v>
                </c:pt>
                <c:pt idx="31">
                  <c:v>2.6153461577118007</c:v>
                </c:pt>
                <c:pt idx="32">
                  <c:v>2.7479101498014971</c:v>
                </c:pt>
                <c:pt idx="33">
                  <c:v>2.8848165150195819</c:v>
                </c:pt>
                <c:pt idx="34">
                  <c:v>3.0260784165683927</c:v>
                </c:pt>
                <c:pt idx="35">
                  <c:v>3.1717094807894455</c:v>
                </c:pt>
                <c:pt idx="36">
                  <c:v>3.3217238006033911</c:v>
                </c:pt>
                <c:pt idx="37">
                  <c:v>3.4761359390777256</c:v>
                </c:pt>
                <c:pt idx="38">
                  <c:v>3.6349609331239465</c:v>
                </c:pt>
                <c:pt idx="39">
                  <c:v>3.7982142973259254</c:v>
                </c:pt>
                <c:pt idx="40">
                  <c:v>3.9659120279014166</c:v>
                </c:pt>
                <c:pt idx="41">
                  <c:v>4.1380706067985313</c:v>
                </c:pt>
                <c:pt idx="42">
                  <c:v>4.3147070059292831</c:v>
                </c:pt>
                <c:pt idx="43">
                  <c:v>4.495838691542196</c:v>
                </c:pt>
                <c:pt idx="44">
                  <c:v>4.6814836287361521</c:v>
                </c:pt>
                <c:pt idx="45">
                  <c:v>4.8716602861177352</c:v>
                </c:pt>
                <c:pt idx="46">
                  <c:v>5.0663876406043196</c:v>
                </c:pt>
                <c:pt idx="47">
                  <c:v>5.2656851823753215</c:v>
                </c:pt>
                <c:pt idx="48">
                  <c:v>5.4695729199741105</c:v>
                </c:pt>
                <c:pt idx="49">
                  <c:v>5.6780713855630696</c:v>
                </c:pt>
                <c:pt idx="50">
                  <c:v>5.8912016403344927</c:v>
                </c:pt>
                <c:pt idx="51">
                  <c:v>6.1089852800800628</c:v>
                </c:pt>
                <c:pt idx="52">
                  <c:v>6.3314444409216675</c:v>
                </c:pt>
                <c:pt idx="53">
                  <c:v>6.5586018052065516</c:v>
                </c:pt>
                <c:pt idx="54">
                  <c:v>6.7904806075697639</c:v>
                </c:pt>
                <c:pt idx="55">
                  <c:v>7.0271046411670088</c:v>
                </c:pt>
                <c:pt idx="56">
                  <c:v>7.2684982640811677</c:v>
                </c:pt>
                <c:pt idx="57">
                  <c:v>7.5146864059057252</c:v>
                </c:pt>
                <c:pt idx="58">
                  <c:v>7.7656945745086325</c:v>
                </c:pt>
                <c:pt idx="59">
                  <c:v>8.0215488629800227</c:v>
                </c:pt>
                <c:pt idx="60">
                  <c:v>8.282275956767517</c:v>
                </c:pt>
                <c:pt idx="61">
                  <c:v>8.5479031410028483</c:v>
                </c:pt>
                <c:pt idx="62">
                  <c:v>8.818458308023672</c:v>
                </c:pt>
                <c:pt idx="63">
                  <c:v>9.0939699650946295</c:v>
                </c:pt>
                <c:pt idx="64">
                  <c:v>9.3744672423317077</c:v>
                </c:pt>
                <c:pt idx="65">
                  <c:v>9.6599799008342213</c:v>
                </c:pt>
                <c:pt idx="66">
                  <c:v>9.950538341028798</c:v>
                </c:pt>
                <c:pt idx="67">
                  <c:v>10.246173611229924</c:v>
                </c:pt>
                <c:pt idx="68">
                  <c:v>10.546917416421651</c:v>
                </c:pt>
                <c:pt idx="69">
                  <c:v>10.852802127265374</c:v>
                </c:pt>
                <c:pt idx="70">
                  <c:v>11.163860789338592</c:v>
                </c:pt>
                <c:pt idx="71">
                  <c:v>11.480127132609837</c:v>
                </c:pt>
                <c:pt idx="72">
                  <c:v>11.80163558115497</c:v>
                </c:pt>
                <c:pt idx="73">
                  <c:v>12.128421263120396</c:v>
                </c:pt>
                <c:pt idx="74">
                  <c:v>12.46052002093875</c:v>
                </c:pt>
                <c:pt idx="75">
                  <c:v>12.797968421802871</c:v>
                </c:pt>
                <c:pt idx="76">
                  <c:v>13.140803768404059</c:v>
                </c:pt>
                <c:pt idx="77">
                  <c:v>13.489064109940726</c:v>
                </c:pt>
                <c:pt idx="78">
                  <c:v>13.842788253403908</c:v>
                </c:pt>
                <c:pt idx="79">
                  <c:v>14.202015775145997</c:v>
                </c:pt>
                <c:pt idx="80">
                  <c:v>14.566787032739688</c:v>
                </c:pt>
                <c:pt idx="81">
                  <c:v>14.937143177133944</c:v>
                </c:pt>
                <c:pt idx="82">
                  <c:v>15.313126165114177</c:v>
                </c:pt>
                <c:pt idx="83">
                  <c:v>15.694778772074136</c:v>
                </c:pt>
                <c:pt idx="84">
                  <c:v>16.082144605107132</c:v>
                </c:pt>
                <c:pt idx="85">
                  <c:v>16.475268116424377</c:v>
                </c:pt>
                <c:pt idx="86">
                  <c:v>16.874194617108728</c:v>
                </c:pt>
                <c:pt idx="87">
                  <c:v>17.278970291212104</c:v>
                </c:pt>
                <c:pt idx="88">
                  <c:v>17.689642210205257</c:v>
                </c:pt>
                <c:pt idx="89">
                  <c:v>18.106258347788966</c:v>
                </c:pt>
                <c:pt idx="90">
                  <c:v>18.528867595075475</c:v>
                </c:pt>
                <c:pt idx="91">
                  <c:v>18.95751977615031</c:v>
                </c:pt>
                <c:pt idx="92">
                  <c:v>19.392265664023533</c:v>
                </c:pt>
                <c:pt idx="93">
                  <c:v>19.833156996981234</c:v>
                </c:pt>
                <c:pt idx="94">
                  <c:v>20.280246495347264</c:v>
                </c:pt>
                <c:pt idx="95">
                  <c:v>20.733587878666143</c:v>
                </c:pt>
                <c:pt idx="96">
                  <c:v>21.193235883318227</c:v>
                </c:pt>
                <c:pt idx="97">
                  <c:v>21.659246280578753</c:v>
                </c:pt>
                <c:pt idx="98">
                  <c:v>22.13167589513235</c:v>
                </c:pt>
                <c:pt idx="99">
                  <c:v>22.610582624055581</c:v>
                </c:pt>
                <c:pt idx="100">
                  <c:v>23.096025456279822</c:v>
                </c:pt>
              </c:numCache>
            </c:numRef>
          </c:yVal>
          <c:smooth val="0"/>
          <c:extLst>
            <c:ext xmlns:c16="http://schemas.microsoft.com/office/drawing/2014/chart" uri="{C3380CC4-5D6E-409C-BE32-E72D297353CC}">
              <c16:uniqueId val="{00000001-EFF6-4CEF-8042-54EBF9C08737}"/>
            </c:ext>
          </c:extLst>
        </c:ser>
        <c:dLbls>
          <c:showLegendKey val="0"/>
          <c:showVal val="0"/>
          <c:showCatName val="0"/>
          <c:showSerName val="0"/>
          <c:showPercent val="0"/>
          <c:showBubbleSize val="0"/>
        </c:dLbls>
        <c:axId val="196498944"/>
        <c:axId val="196500864"/>
      </c:scatterChart>
      <c:valAx>
        <c:axId val="196498944"/>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052333022741466"/>
              <c:y val="0.937985266634570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96500864"/>
        <c:crosses val="autoZero"/>
        <c:crossBetween val="midCat"/>
      </c:valAx>
      <c:valAx>
        <c:axId val="196500864"/>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Temperature (</a:t>
                </a:r>
                <a:r>
                  <a:rPr lang="en-US" sz="1100">
                    <a:sym typeface="Symbol"/>
                  </a:rPr>
                  <a:t></a:t>
                </a:r>
                <a:r>
                  <a:rPr lang="en-US" sz="1100"/>
                  <a:t>C)</a:t>
                </a:r>
              </a:p>
            </c:rich>
          </c:tx>
          <c:layout>
            <c:manualLayout>
              <c:xMode val="edge"/>
              <c:yMode val="edge"/>
              <c:x val="1.3813487878384515E-2"/>
              <c:y val="0.4038499329595635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96498944"/>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t"/>
      <c:layout>
        <c:manualLayout>
          <c:xMode val="edge"/>
          <c:yMode val="edge"/>
          <c:x val="0.60965366061085946"/>
          <c:y val="2.0620499360656842E-2"/>
          <c:w val="0.351320840481532"/>
          <c:h val="9.8607526130239626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High-side MOSFET Power Dissipation</a:t>
            </a:r>
          </a:p>
        </c:rich>
      </c:tx>
      <c:layout>
        <c:manualLayout>
          <c:xMode val="edge"/>
          <c:yMode val="edge"/>
          <c:x val="0.13740051025090394"/>
          <c:y val="4.9059139784946235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strRef>
              <c:f>'Efficiency Calculations'!$AI$8</c:f>
              <c:strCache>
                <c:ptCount val="1"/>
                <c:pt idx="0">
                  <c:v>RDS(on) Loss</c:v>
                </c:pt>
              </c:strCache>
            </c:strRef>
          </c:tx>
          <c:spPr>
            <a:ln w="25400">
              <a:solidFill>
                <a:srgbClr val="000080"/>
              </a:solidFill>
              <a:prstDash val="dash"/>
            </a:ln>
          </c:spPr>
          <c:marker>
            <c:symbol val="none"/>
          </c:marker>
          <c:xVal>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xVal>
          <c:yVal>
            <c:numRef>
              <c:f>'Efficiency Calculations'!$AC$9:$AC$109</c:f>
              <c:numCache>
                <c:formatCode>0.000</c:formatCode>
                <c:ptCount val="101"/>
                <c:pt idx="0">
                  <c:v>1.4974471992653807E-3</c:v>
                </c:pt>
                <c:pt idx="1">
                  <c:v>1.5599503566182801E-3</c:v>
                </c:pt>
                <c:pt idx="2">
                  <c:v>1.7472730882600045E-3</c:v>
                </c:pt>
                <c:pt idx="3">
                  <c:v>2.0594349860639238E-3</c:v>
                </c:pt>
                <c:pt idx="4">
                  <c:v>2.4964556407540911E-3</c:v>
                </c:pt>
                <c:pt idx="5">
                  <c:v>3.0583546419053159E-3</c:v>
                </c:pt>
                <c:pt idx="6">
                  <c:v>3.7451515779432622E-3</c:v>
                </c:pt>
                <c:pt idx="7">
                  <c:v>4.5568660361445142E-3</c:v>
                </c:pt>
                <c:pt idx="8">
                  <c:v>5.4935176026366852E-3</c:v>
                </c:pt>
                <c:pt idx="9">
                  <c:v>6.5551258623984731E-3</c:v>
                </c:pt>
                <c:pt idx="10">
                  <c:v>7.7417103992597673E-3</c:v>
                </c:pt>
                <c:pt idx="11">
                  <c:v>9.053290795901725E-3</c:v>
                </c:pt>
                <c:pt idx="12">
                  <c:v>1.0489886633856855E-2</c:v>
                </c:pt>
                <c:pt idx="13">
                  <c:v>1.2051517493509094E-2</c:v>
                </c:pt>
                <c:pt idx="14">
                  <c:v>1.373820295409392E-2</c:v>
                </c:pt>
                <c:pt idx="15">
                  <c:v>1.554996259369839E-2</c:v>
                </c:pt>
                <c:pt idx="16">
                  <c:v>1.7486815989261262E-2</c:v>
                </c:pt>
                <c:pt idx="17">
                  <c:v>1.9548782716573072E-2</c:v>
                </c:pt>
                <c:pt idx="18">
                  <c:v>2.1735882350276219E-2</c:v>
                </c:pt>
                <c:pt idx="19">
                  <c:v>2.4048134463865011E-2</c:v>
                </c:pt>
                <c:pt idx="20">
                  <c:v>2.6485558629685813E-2</c:v>
                </c:pt>
                <c:pt idx="21">
                  <c:v>2.9048174418937062E-2</c:v>
                </c:pt>
                <c:pt idx="22">
                  <c:v>3.1736001401669475E-2</c:v>
                </c:pt>
                <c:pt idx="23">
                  <c:v>3.4549059146785958E-2</c:v>
                </c:pt>
                <c:pt idx="24">
                  <c:v>3.7487367222041802E-2</c:v>
                </c:pt>
                <c:pt idx="25">
                  <c:v>4.0550945194044744E-2</c:v>
                </c:pt>
                <c:pt idx="26">
                  <c:v>4.373981262825509E-2</c:v>
                </c:pt>
                <c:pt idx="27">
                  <c:v>4.7053989088985684E-2</c:v>
                </c:pt>
                <c:pt idx="28">
                  <c:v>5.049349413940217E-2</c:v>
                </c:pt>
                <c:pt idx="29">
                  <c:v>5.4058347341522851E-2</c:v>
                </c:pt>
                <c:pt idx="30">
                  <c:v>5.7748568256219053E-2</c:v>
                </c:pt>
                <c:pt idx="31">
                  <c:v>6.1564176443214907E-2</c:v>
                </c:pt>
                <c:pt idx="32">
                  <c:v>6.5505191461087589E-2</c:v>
                </c:pt>
                <c:pt idx="33">
                  <c:v>6.9571632867267558E-2</c:v>
                </c:pt>
                <c:pt idx="34">
                  <c:v>7.3763520218038239E-2</c:v>
                </c:pt>
                <c:pt idx="35">
                  <c:v>7.8080873068536574E-2</c:v>
                </c:pt>
                <c:pt idx="36">
                  <c:v>8.2523710972752712E-2</c:v>
                </c:pt>
                <c:pt idx="37">
                  <c:v>8.7092053483530302E-2</c:v>
                </c:pt>
                <c:pt idx="38">
                  <c:v>9.1785920152566536E-2</c:v>
                </c:pt>
                <c:pt idx="39">
                  <c:v>9.6605330530412314E-2</c:v>
                </c:pt>
                <c:pt idx="40">
                  <c:v>0.10155030416647208</c:v>
                </c:pt>
                <c:pt idx="41">
                  <c:v>0.10662086060900412</c:v>
                </c:pt>
                <c:pt idx="42">
                  <c:v>0.11181701940512076</c:v>
                </c:pt>
                <c:pt idx="43">
                  <c:v>0.11713880010078807</c:v>
                </c:pt>
                <c:pt idx="44">
                  <c:v>0.12258622224082617</c:v>
                </c:pt>
                <c:pt idx="45">
                  <c:v>0.1281593053689096</c:v>
                </c:pt>
                <c:pt idx="46">
                  <c:v>0.13385806902756675</c:v>
                </c:pt>
                <c:pt idx="47">
                  <c:v>0.13968253275818049</c:v>
                </c:pt>
                <c:pt idx="48">
                  <c:v>0.14563271610098791</c:v>
                </c:pt>
                <c:pt idx="49">
                  <c:v>0.1517086385950808</c:v>
                </c:pt>
                <c:pt idx="50">
                  <c:v>0.1579103197784055</c:v>
                </c:pt>
                <c:pt idx="51">
                  <c:v>0.16423777918776267</c:v>
                </c:pt>
                <c:pt idx="52">
                  <c:v>0.17069103635880783</c:v>
                </c:pt>
                <c:pt idx="53">
                  <c:v>0.1772701108260516</c:v>
                </c:pt>
                <c:pt idx="54">
                  <c:v>0.18397502212285904</c:v>
                </c:pt>
                <c:pt idx="55">
                  <c:v>0.19080578978145035</c:v>
                </c:pt>
                <c:pt idx="56">
                  <c:v>0.19776243333290092</c:v>
                </c:pt>
                <c:pt idx="57">
                  <c:v>0.20484497230714108</c:v>
                </c:pt>
                <c:pt idx="58">
                  <c:v>0.21205342623295639</c:v>
                </c:pt>
                <c:pt idx="59">
                  <c:v>0.21938781463798784</c:v>
                </c:pt>
                <c:pt idx="60">
                  <c:v>0.22684815704873176</c:v>
                </c:pt>
                <c:pt idx="61">
                  <c:v>0.23443447299053993</c:v>
                </c:pt>
                <c:pt idx="62">
                  <c:v>0.24214678198761966</c:v>
                </c:pt>
                <c:pt idx="63">
                  <c:v>0.24998510356303366</c:v>
                </c:pt>
                <c:pt idx="64">
                  <c:v>0.25794945723870111</c:v>
                </c:pt>
                <c:pt idx="65">
                  <c:v>0.26603986253539624</c:v>
                </c:pt>
                <c:pt idx="66">
                  <c:v>0.27425633897274942</c:v>
                </c:pt>
                <c:pt idx="67">
                  <c:v>0.28259890606924704</c:v>
                </c:pt>
                <c:pt idx="68">
                  <c:v>0.29106758334223154</c:v>
                </c:pt>
                <c:pt idx="69">
                  <c:v>0.29966239030790137</c:v>
                </c:pt>
                <c:pt idx="70">
                  <c:v>0.30838334648131138</c:v>
                </c:pt>
                <c:pt idx="71">
                  <c:v>0.31723047137637289</c:v>
                </c:pt>
                <c:pt idx="72">
                  <c:v>0.32620378450585302</c:v>
                </c:pt>
                <c:pt idx="73">
                  <c:v>0.33530330538137565</c:v>
                </c:pt>
                <c:pt idx="74">
                  <c:v>0.34452905351342183</c:v>
                </c:pt>
                <c:pt idx="75">
                  <c:v>0.353881048411328</c:v>
                </c:pt>
                <c:pt idx="76">
                  <c:v>0.36335930958328877</c:v>
                </c:pt>
                <c:pt idx="77">
                  <c:v>0.37296385653635444</c:v>
                </c:pt>
                <c:pt idx="78">
                  <c:v>0.38269470877643269</c:v>
                </c:pt>
                <c:pt idx="79">
                  <c:v>0.39255188580828798</c:v>
                </c:pt>
                <c:pt idx="80">
                  <c:v>0.40253540713554214</c:v>
                </c:pt>
                <c:pt idx="81">
                  <c:v>0.41264529226067376</c:v>
                </c:pt>
                <c:pt idx="82">
                  <c:v>0.42288156068501898</c:v>
                </c:pt>
                <c:pt idx="83">
                  <c:v>0.43324423190877076</c:v>
                </c:pt>
                <c:pt idx="84">
                  <c:v>0.44373332543098037</c:v>
                </c:pt>
                <c:pt idx="85">
                  <c:v>0.45434886074955583</c:v>
                </c:pt>
                <c:pt idx="86">
                  <c:v>0.4650908573612626</c:v>
                </c:pt>
                <c:pt idx="87">
                  <c:v>0.4759593347617242</c:v>
                </c:pt>
                <c:pt idx="88">
                  <c:v>0.48695431244542209</c:v>
                </c:pt>
                <c:pt idx="89">
                  <c:v>0.498075809905695</c:v>
                </c:pt>
                <c:pt idx="90">
                  <c:v>0.50932384663473973</c:v>
                </c:pt>
                <c:pt idx="91">
                  <c:v>0.52069844212361116</c:v>
                </c:pt>
                <c:pt idx="92">
                  <c:v>0.53219961586222242</c:v>
                </c:pt>
                <c:pt idx="93">
                  <c:v>0.54382738733934399</c:v>
                </c:pt>
                <c:pt idx="94">
                  <c:v>0.55558177604260572</c:v>
                </c:pt>
                <c:pt idx="95">
                  <c:v>0.56746280145849515</c:v>
                </c:pt>
                <c:pt idx="96">
                  <c:v>0.57947048307235804</c:v>
                </c:pt>
                <c:pt idx="97">
                  <c:v>0.59160484036839889</c:v>
                </c:pt>
                <c:pt idx="98">
                  <c:v>0.60386589282968051</c:v>
                </c:pt>
                <c:pt idx="99">
                  <c:v>0.61625365993812509</c:v>
                </c:pt>
                <c:pt idx="100">
                  <c:v>0.62876816117451328</c:v>
                </c:pt>
              </c:numCache>
            </c:numRef>
          </c:yVal>
          <c:smooth val="0"/>
          <c:extLst>
            <c:ext xmlns:c16="http://schemas.microsoft.com/office/drawing/2014/chart" uri="{C3380CC4-5D6E-409C-BE32-E72D297353CC}">
              <c16:uniqueId val="{00000000-707C-431D-A4F2-D6BD8D7D2451}"/>
            </c:ext>
          </c:extLst>
        </c:ser>
        <c:ser>
          <c:idx val="3"/>
          <c:order val="1"/>
          <c:tx>
            <c:strRef>
              <c:f>'Efficiency Calculations'!$AD$8</c:f>
              <c:strCache>
                <c:ptCount val="1"/>
                <c:pt idx="0">
                  <c:v>Transition Loss (not including capacitive loss)</c:v>
                </c:pt>
              </c:strCache>
            </c:strRef>
          </c:tx>
          <c:spPr>
            <a:ln w="25400">
              <a:solidFill>
                <a:srgbClr val="FF0000"/>
              </a:solidFill>
              <a:prstDash val="solid"/>
            </a:ln>
          </c:spPr>
          <c:marker>
            <c:symbol val="none"/>
          </c:marker>
          <c:xVal>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xVal>
          <c:yVal>
            <c:numRef>
              <c:f>'Efficiency Calculations'!$AD$9:$AD$109</c:f>
              <c:numCache>
                <c:formatCode>0.000</c:formatCode>
                <c:ptCount val="101"/>
                <c:pt idx="0">
                  <c:v>0</c:v>
                </c:pt>
                <c:pt idx="1">
                  <c:v>8.8075862068965529E-3</c:v>
                </c:pt>
                <c:pt idx="2">
                  <c:v>1.7615172413793106E-2</c:v>
                </c:pt>
                <c:pt idx="3">
                  <c:v>2.6422758620689657E-2</c:v>
                </c:pt>
                <c:pt idx="4">
                  <c:v>3.5230344827586212E-2</c:v>
                </c:pt>
                <c:pt idx="5">
                  <c:v>4.4037931034482759E-2</c:v>
                </c:pt>
                <c:pt idx="6">
                  <c:v>5.2845517241379314E-2</c:v>
                </c:pt>
                <c:pt idx="7">
                  <c:v>6.1653103448275862E-2</c:v>
                </c:pt>
                <c:pt idx="8">
                  <c:v>7.0460689655172423E-2</c:v>
                </c:pt>
                <c:pt idx="9">
                  <c:v>7.9268275862068985E-2</c:v>
                </c:pt>
                <c:pt idx="10">
                  <c:v>8.8075862068965519E-2</c:v>
                </c:pt>
                <c:pt idx="11">
                  <c:v>9.6883448275862066E-2</c:v>
                </c:pt>
                <c:pt idx="12">
                  <c:v>0.10569103448275863</c:v>
                </c:pt>
                <c:pt idx="13">
                  <c:v>0.11449862068965518</c:v>
                </c:pt>
                <c:pt idx="14">
                  <c:v>0.12330620689655172</c:v>
                </c:pt>
                <c:pt idx="15">
                  <c:v>0.13211379310344828</c:v>
                </c:pt>
                <c:pt idx="16">
                  <c:v>0.14092137931034485</c:v>
                </c:pt>
                <c:pt idx="17">
                  <c:v>0.14972896551724135</c:v>
                </c:pt>
                <c:pt idx="18">
                  <c:v>0.15853655172413797</c:v>
                </c:pt>
                <c:pt idx="19">
                  <c:v>0.16734413793103448</c:v>
                </c:pt>
                <c:pt idx="20">
                  <c:v>0.17615172413793104</c:v>
                </c:pt>
                <c:pt idx="21">
                  <c:v>0.1849593103448276</c:v>
                </c:pt>
                <c:pt idx="22">
                  <c:v>0.19376689655172413</c:v>
                </c:pt>
                <c:pt idx="23">
                  <c:v>0.20257448275862069</c:v>
                </c:pt>
                <c:pt idx="24">
                  <c:v>0.21138206896551726</c:v>
                </c:pt>
                <c:pt idx="25">
                  <c:v>0.22018965517241379</c:v>
                </c:pt>
                <c:pt idx="26">
                  <c:v>0.22899724137931035</c:v>
                </c:pt>
                <c:pt idx="27">
                  <c:v>0.23780482758620691</c:v>
                </c:pt>
                <c:pt idx="28">
                  <c:v>0.24661241379310345</c:v>
                </c:pt>
                <c:pt idx="29">
                  <c:v>0.25541999999999998</c:v>
                </c:pt>
                <c:pt idx="30">
                  <c:v>0.26422758620689657</c:v>
                </c:pt>
                <c:pt idx="31">
                  <c:v>0.27303517241379316</c:v>
                </c:pt>
                <c:pt idx="32">
                  <c:v>0.28184275862068969</c:v>
                </c:pt>
                <c:pt idx="33">
                  <c:v>0.29065034482758623</c:v>
                </c:pt>
                <c:pt idx="34">
                  <c:v>0.29945793103448271</c:v>
                </c:pt>
                <c:pt idx="35">
                  <c:v>0.30826551724137935</c:v>
                </c:pt>
                <c:pt idx="36">
                  <c:v>0.31707310344827594</c:v>
                </c:pt>
                <c:pt idx="37">
                  <c:v>0.32588068965517242</c:v>
                </c:pt>
                <c:pt idx="38">
                  <c:v>0.33468827586206895</c:v>
                </c:pt>
                <c:pt idx="39">
                  <c:v>0.34349586206896554</c:v>
                </c:pt>
                <c:pt idx="40">
                  <c:v>0.35230344827586207</c:v>
                </c:pt>
                <c:pt idx="41">
                  <c:v>0.36111103448275861</c:v>
                </c:pt>
                <c:pt idx="42">
                  <c:v>0.3699186206896552</c:v>
                </c:pt>
                <c:pt idx="43">
                  <c:v>0.37872620689655173</c:v>
                </c:pt>
                <c:pt idx="44">
                  <c:v>0.38753379310344827</c:v>
                </c:pt>
                <c:pt idx="45">
                  <c:v>0.39634137931034485</c:v>
                </c:pt>
                <c:pt idx="46">
                  <c:v>0.40514896551724139</c:v>
                </c:pt>
                <c:pt idx="47">
                  <c:v>0.41395655172413792</c:v>
                </c:pt>
                <c:pt idx="48">
                  <c:v>0.42276413793103451</c:v>
                </c:pt>
                <c:pt idx="49">
                  <c:v>0.43157172413793105</c:v>
                </c:pt>
                <c:pt idx="50">
                  <c:v>0.44037931034482758</c:v>
                </c:pt>
                <c:pt idx="51">
                  <c:v>0.44918689655172417</c:v>
                </c:pt>
                <c:pt idx="52">
                  <c:v>0.4579944827586207</c:v>
                </c:pt>
                <c:pt idx="53">
                  <c:v>0.46680206896551724</c:v>
                </c:pt>
                <c:pt idx="54">
                  <c:v>0.47560965517241383</c:v>
                </c:pt>
                <c:pt idx="55">
                  <c:v>0.48441724137931036</c:v>
                </c:pt>
                <c:pt idx="56">
                  <c:v>0.49322482758620689</c:v>
                </c:pt>
                <c:pt idx="57">
                  <c:v>0.50203241379310359</c:v>
                </c:pt>
                <c:pt idx="58">
                  <c:v>0.51083999999999996</c:v>
                </c:pt>
                <c:pt idx="59">
                  <c:v>0.51964758620689655</c:v>
                </c:pt>
                <c:pt idx="60">
                  <c:v>0.52845517241379314</c:v>
                </c:pt>
                <c:pt idx="61">
                  <c:v>0.53726275862068973</c:v>
                </c:pt>
                <c:pt idx="62">
                  <c:v>0.54607034482758632</c:v>
                </c:pt>
                <c:pt idx="63">
                  <c:v>0.55487793103448269</c:v>
                </c:pt>
                <c:pt idx="64">
                  <c:v>0.56368551724137939</c:v>
                </c:pt>
                <c:pt idx="65">
                  <c:v>0.57249310344827586</c:v>
                </c:pt>
                <c:pt idx="66">
                  <c:v>0.58130068965517245</c:v>
                </c:pt>
                <c:pt idx="67">
                  <c:v>0.59010827586206904</c:v>
                </c:pt>
                <c:pt idx="68">
                  <c:v>0.59891586206896541</c:v>
                </c:pt>
                <c:pt idx="69">
                  <c:v>0.60772344827586211</c:v>
                </c:pt>
                <c:pt idx="70">
                  <c:v>0.6165310344827587</c:v>
                </c:pt>
                <c:pt idx="71">
                  <c:v>0.62533862068965518</c:v>
                </c:pt>
                <c:pt idx="72">
                  <c:v>0.63414620689655188</c:v>
                </c:pt>
                <c:pt idx="73">
                  <c:v>0.64295379310344825</c:v>
                </c:pt>
                <c:pt idx="74">
                  <c:v>0.65176137931034483</c:v>
                </c:pt>
                <c:pt idx="75">
                  <c:v>0.66056896551724142</c:v>
                </c:pt>
                <c:pt idx="76">
                  <c:v>0.6693765517241379</c:v>
                </c:pt>
                <c:pt idx="77">
                  <c:v>0.67818413793103449</c:v>
                </c:pt>
                <c:pt idx="78">
                  <c:v>0.68699172413793108</c:v>
                </c:pt>
                <c:pt idx="79">
                  <c:v>0.69579931034482756</c:v>
                </c:pt>
                <c:pt idx="80">
                  <c:v>0.70460689655172415</c:v>
                </c:pt>
                <c:pt idx="81">
                  <c:v>0.71341448275862074</c:v>
                </c:pt>
                <c:pt idx="82">
                  <c:v>0.72222206896551722</c:v>
                </c:pt>
                <c:pt idx="83">
                  <c:v>0.73102965517241381</c:v>
                </c:pt>
                <c:pt idx="84">
                  <c:v>0.7398372413793104</c:v>
                </c:pt>
                <c:pt idx="85">
                  <c:v>0.74864482758620687</c:v>
                </c:pt>
                <c:pt idx="86">
                  <c:v>0.75745241379310346</c:v>
                </c:pt>
                <c:pt idx="87">
                  <c:v>0.76626000000000005</c:v>
                </c:pt>
                <c:pt idx="88">
                  <c:v>0.77506758620689653</c:v>
                </c:pt>
                <c:pt idx="89">
                  <c:v>0.78387517241379312</c:v>
                </c:pt>
                <c:pt idx="90">
                  <c:v>0.79268275862068971</c:v>
                </c:pt>
                <c:pt idx="91">
                  <c:v>0.80149034482758619</c:v>
                </c:pt>
                <c:pt idx="92">
                  <c:v>0.81029793103448278</c:v>
                </c:pt>
                <c:pt idx="93">
                  <c:v>0.81910551724137937</c:v>
                </c:pt>
                <c:pt idx="94">
                  <c:v>0.82791310344827584</c:v>
                </c:pt>
                <c:pt idx="95">
                  <c:v>0.83672068965517243</c:v>
                </c:pt>
                <c:pt idx="96">
                  <c:v>0.84552827586206902</c:v>
                </c:pt>
                <c:pt idx="97">
                  <c:v>0.8543358620689655</c:v>
                </c:pt>
                <c:pt idx="98">
                  <c:v>0.86314344827586209</c:v>
                </c:pt>
                <c:pt idx="99">
                  <c:v>0.87195103448275868</c:v>
                </c:pt>
                <c:pt idx="100">
                  <c:v>0.88075862068965516</c:v>
                </c:pt>
              </c:numCache>
            </c:numRef>
          </c:yVal>
          <c:smooth val="0"/>
          <c:extLst>
            <c:ext xmlns:c16="http://schemas.microsoft.com/office/drawing/2014/chart" uri="{C3380CC4-5D6E-409C-BE32-E72D297353CC}">
              <c16:uniqueId val="{00000001-707C-431D-A4F2-D6BD8D7D2451}"/>
            </c:ext>
          </c:extLst>
        </c:ser>
        <c:ser>
          <c:idx val="0"/>
          <c:order val="2"/>
          <c:tx>
            <c:strRef>
              <c:f>'Efficiency Calculations'!$AE$8</c:f>
              <c:strCache>
                <c:ptCount val="1"/>
                <c:pt idx="0">
                  <c:v>MOSFET Output Capacitance Loss</c:v>
                </c:pt>
              </c:strCache>
            </c:strRef>
          </c:tx>
          <c:spPr>
            <a:ln w="31750">
              <a:solidFill>
                <a:srgbClr val="FF6600"/>
              </a:solidFill>
              <a:prstDash val="lgDash"/>
            </a:ln>
          </c:spPr>
          <c:marker>
            <c:symbol val="none"/>
          </c:marker>
          <c:xVal>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xVal>
          <c:yVal>
            <c:numRef>
              <c:f>'Efficiency Calculations'!$AE$9:$AE$109</c:f>
              <c:numCache>
                <c:formatCode>0.000</c:formatCode>
                <c:ptCount val="101"/>
                <c:pt idx="0">
                  <c:v>7.0300000000000029E-2</c:v>
                </c:pt>
                <c:pt idx="1">
                  <c:v>0.10518358683123771</c:v>
                </c:pt>
                <c:pt idx="2">
                  <c:v>0.14006717551537276</c:v>
                </c:pt>
                <c:pt idx="3">
                  <c:v>0.17495076605232346</c:v>
                </c:pt>
                <c:pt idx="4">
                  <c:v>0.20983435844200832</c:v>
                </c:pt>
                <c:pt idx="5">
                  <c:v>0.24471795268434604</c:v>
                </c:pt>
                <c:pt idx="6">
                  <c:v>0.27960154877925492</c:v>
                </c:pt>
                <c:pt idx="7">
                  <c:v>0.3144851467266534</c:v>
                </c:pt>
                <c:pt idx="8">
                  <c:v>0.34936874652646011</c:v>
                </c:pt>
                <c:pt idx="9">
                  <c:v>0.36630000000000001</c:v>
                </c:pt>
                <c:pt idx="10">
                  <c:v>0.36630000000000001</c:v>
                </c:pt>
                <c:pt idx="11">
                  <c:v>0.36630000000000001</c:v>
                </c:pt>
                <c:pt idx="12">
                  <c:v>0.36630000000000001</c:v>
                </c:pt>
                <c:pt idx="13">
                  <c:v>0.36630000000000001</c:v>
                </c:pt>
                <c:pt idx="14">
                  <c:v>0.36630000000000001</c:v>
                </c:pt>
                <c:pt idx="15">
                  <c:v>0.36630000000000001</c:v>
                </c:pt>
                <c:pt idx="16">
                  <c:v>0.36630000000000001</c:v>
                </c:pt>
                <c:pt idx="17">
                  <c:v>0.36630000000000001</c:v>
                </c:pt>
                <c:pt idx="18">
                  <c:v>0.36630000000000001</c:v>
                </c:pt>
                <c:pt idx="19">
                  <c:v>0.36630000000000001</c:v>
                </c:pt>
                <c:pt idx="20">
                  <c:v>0.36630000000000001</c:v>
                </c:pt>
                <c:pt idx="21">
                  <c:v>0.36630000000000001</c:v>
                </c:pt>
                <c:pt idx="22">
                  <c:v>0.36630000000000001</c:v>
                </c:pt>
                <c:pt idx="23">
                  <c:v>0.36630000000000001</c:v>
                </c:pt>
                <c:pt idx="24">
                  <c:v>0.36630000000000001</c:v>
                </c:pt>
                <c:pt idx="25">
                  <c:v>0.36630000000000001</c:v>
                </c:pt>
                <c:pt idx="26">
                  <c:v>0.36630000000000001</c:v>
                </c:pt>
                <c:pt idx="27">
                  <c:v>0.36630000000000001</c:v>
                </c:pt>
                <c:pt idx="28">
                  <c:v>0.36630000000000001</c:v>
                </c:pt>
                <c:pt idx="29">
                  <c:v>0.36630000000000001</c:v>
                </c:pt>
                <c:pt idx="30">
                  <c:v>0.36630000000000001</c:v>
                </c:pt>
                <c:pt idx="31">
                  <c:v>0.36630000000000001</c:v>
                </c:pt>
                <c:pt idx="32">
                  <c:v>0.36630000000000001</c:v>
                </c:pt>
                <c:pt idx="33">
                  <c:v>0.36630000000000001</c:v>
                </c:pt>
                <c:pt idx="34">
                  <c:v>0.36630000000000001</c:v>
                </c:pt>
                <c:pt idx="35">
                  <c:v>0.36630000000000001</c:v>
                </c:pt>
                <c:pt idx="36">
                  <c:v>0.36630000000000001</c:v>
                </c:pt>
                <c:pt idx="37">
                  <c:v>0.36630000000000001</c:v>
                </c:pt>
                <c:pt idx="38">
                  <c:v>0.36630000000000001</c:v>
                </c:pt>
                <c:pt idx="39">
                  <c:v>0.36630000000000001</c:v>
                </c:pt>
                <c:pt idx="40">
                  <c:v>0.36630000000000001</c:v>
                </c:pt>
                <c:pt idx="41">
                  <c:v>0.36630000000000001</c:v>
                </c:pt>
                <c:pt idx="42">
                  <c:v>0.36630000000000001</c:v>
                </c:pt>
                <c:pt idx="43">
                  <c:v>0.36630000000000001</c:v>
                </c:pt>
                <c:pt idx="44">
                  <c:v>0.36630000000000001</c:v>
                </c:pt>
                <c:pt idx="45">
                  <c:v>0.36630000000000001</c:v>
                </c:pt>
                <c:pt idx="46">
                  <c:v>0.36630000000000001</c:v>
                </c:pt>
                <c:pt idx="47">
                  <c:v>0.36630000000000001</c:v>
                </c:pt>
                <c:pt idx="48">
                  <c:v>0.36630000000000001</c:v>
                </c:pt>
                <c:pt idx="49">
                  <c:v>0.36630000000000001</c:v>
                </c:pt>
                <c:pt idx="50">
                  <c:v>0.36630000000000001</c:v>
                </c:pt>
                <c:pt idx="51">
                  <c:v>0.36630000000000001</c:v>
                </c:pt>
                <c:pt idx="52">
                  <c:v>0.36630000000000001</c:v>
                </c:pt>
                <c:pt idx="53">
                  <c:v>0.36630000000000001</c:v>
                </c:pt>
                <c:pt idx="54">
                  <c:v>0.36630000000000001</c:v>
                </c:pt>
                <c:pt idx="55">
                  <c:v>0.36630000000000001</c:v>
                </c:pt>
                <c:pt idx="56">
                  <c:v>0.36630000000000001</c:v>
                </c:pt>
                <c:pt idx="57">
                  <c:v>0.36630000000000001</c:v>
                </c:pt>
                <c:pt idx="58">
                  <c:v>0.36630000000000001</c:v>
                </c:pt>
                <c:pt idx="59">
                  <c:v>0.36630000000000001</c:v>
                </c:pt>
                <c:pt idx="60">
                  <c:v>0.36630000000000001</c:v>
                </c:pt>
                <c:pt idx="61">
                  <c:v>0.36630000000000001</c:v>
                </c:pt>
                <c:pt idx="62">
                  <c:v>0.36630000000000001</c:v>
                </c:pt>
                <c:pt idx="63">
                  <c:v>0.36630000000000001</c:v>
                </c:pt>
                <c:pt idx="64">
                  <c:v>0.36630000000000001</c:v>
                </c:pt>
                <c:pt idx="65">
                  <c:v>0.36630000000000001</c:v>
                </c:pt>
                <c:pt idx="66">
                  <c:v>0.36630000000000001</c:v>
                </c:pt>
                <c:pt idx="67">
                  <c:v>0.36630000000000001</c:v>
                </c:pt>
                <c:pt idx="68">
                  <c:v>0.36630000000000001</c:v>
                </c:pt>
                <c:pt idx="69">
                  <c:v>0.36630000000000001</c:v>
                </c:pt>
                <c:pt idx="70">
                  <c:v>0.36630000000000001</c:v>
                </c:pt>
                <c:pt idx="71">
                  <c:v>0.36630000000000001</c:v>
                </c:pt>
                <c:pt idx="72">
                  <c:v>0.36630000000000001</c:v>
                </c:pt>
                <c:pt idx="73">
                  <c:v>0.36630000000000001</c:v>
                </c:pt>
                <c:pt idx="74">
                  <c:v>0.36630000000000001</c:v>
                </c:pt>
                <c:pt idx="75">
                  <c:v>0.36630000000000001</c:v>
                </c:pt>
                <c:pt idx="76">
                  <c:v>0.36630000000000001</c:v>
                </c:pt>
                <c:pt idx="77">
                  <c:v>0.36630000000000001</c:v>
                </c:pt>
                <c:pt idx="78">
                  <c:v>0.36630000000000001</c:v>
                </c:pt>
                <c:pt idx="79">
                  <c:v>0.36630000000000001</c:v>
                </c:pt>
                <c:pt idx="80">
                  <c:v>0.36630000000000001</c:v>
                </c:pt>
                <c:pt idx="81">
                  <c:v>0.36630000000000001</c:v>
                </c:pt>
                <c:pt idx="82">
                  <c:v>0.36630000000000001</c:v>
                </c:pt>
                <c:pt idx="83">
                  <c:v>0.36630000000000001</c:v>
                </c:pt>
                <c:pt idx="84">
                  <c:v>0.36630000000000001</c:v>
                </c:pt>
                <c:pt idx="85">
                  <c:v>0.36630000000000001</c:v>
                </c:pt>
                <c:pt idx="86">
                  <c:v>0.36630000000000001</c:v>
                </c:pt>
                <c:pt idx="87">
                  <c:v>0.36630000000000001</c:v>
                </c:pt>
                <c:pt idx="88">
                  <c:v>0.36630000000000001</c:v>
                </c:pt>
                <c:pt idx="89">
                  <c:v>0.36630000000000001</c:v>
                </c:pt>
                <c:pt idx="90">
                  <c:v>0.36630000000000001</c:v>
                </c:pt>
                <c:pt idx="91">
                  <c:v>0.36630000000000001</c:v>
                </c:pt>
                <c:pt idx="92">
                  <c:v>0.36630000000000001</c:v>
                </c:pt>
                <c:pt idx="93">
                  <c:v>0.36630000000000001</c:v>
                </c:pt>
                <c:pt idx="94">
                  <c:v>0.36630000000000001</c:v>
                </c:pt>
                <c:pt idx="95">
                  <c:v>0.36630000000000001</c:v>
                </c:pt>
                <c:pt idx="96">
                  <c:v>0.36630000000000001</c:v>
                </c:pt>
                <c:pt idx="97">
                  <c:v>0.36630000000000001</c:v>
                </c:pt>
                <c:pt idx="98">
                  <c:v>0.36630000000000001</c:v>
                </c:pt>
                <c:pt idx="99">
                  <c:v>0.36630000000000001</c:v>
                </c:pt>
                <c:pt idx="100">
                  <c:v>0.36630000000000001</c:v>
                </c:pt>
              </c:numCache>
            </c:numRef>
          </c:yVal>
          <c:smooth val="0"/>
          <c:extLst>
            <c:ext xmlns:c16="http://schemas.microsoft.com/office/drawing/2014/chart" uri="{C3380CC4-5D6E-409C-BE32-E72D297353CC}">
              <c16:uniqueId val="{00000002-707C-431D-A4F2-D6BD8D7D2451}"/>
            </c:ext>
          </c:extLst>
        </c:ser>
        <c:ser>
          <c:idx val="1"/>
          <c:order val="3"/>
          <c:tx>
            <c:strRef>
              <c:f>'Efficiency Calculations'!$AM$8</c:f>
              <c:strCache>
                <c:ptCount val="1"/>
                <c:pt idx="0">
                  <c:v>Reverse Recovery Loss</c:v>
                </c:pt>
              </c:strCache>
            </c:strRef>
          </c:tx>
          <c:spPr>
            <a:ln>
              <a:solidFill>
                <a:srgbClr val="00B050"/>
              </a:solidFill>
              <a:prstDash val="sysDot"/>
            </a:ln>
          </c:spPr>
          <c:marker>
            <c:symbol val="none"/>
          </c:marker>
          <c:xVal>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xVal>
          <c:yVal>
            <c:numRef>
              <c:f>'Efficiency Calculations'!$AM$9:$AM$109</c:f>
              <c:numCache>
                <c:formatCode>0.000</c:formatCode>
                <c:ptCount val="101"/>
                <c:pt idx="0">
                  <c:v>4.4549999999999999E-2</c:v>
                </c:pt>
                <c:pt idx="1">
                  <c:v>4.4549999999999999E-2</c:v>
                </c:pt>
                <c:pt idx="2">
                  <c:v>4.4549999999999999E-2</c:v>
                </c:pt>
                <c:pt idx="3">
                  <c:v>4.4549999999999999E-2</c:v>
                </c:pt>
                <c:pt idx="4">
                  <c:v>4.4549999999999999E-2</c:v>
                </c:pt>
                <c:pt idx="5">
                  <c:v>4.4549999999999999E-2</c:v>
                </c:pt>
                <c:pt idx="6">
                  <c:v>4.4549999999999999E-2</c:v>
                </c:pt>
                <c:pt idx="7">
                  <c:v>4.4549999999999999E-2</c:v>
                </c:pt>
                <c:pt idx="8">
                  <c:v>4.4549999999999999E-2</c:v>
                </c:pt>
                <c:pt idx="9">
                  <c:v>4.4549999999999999E-2</c:v>
                </c:pt>
                <c:pt idx="10">
                  <c:v>4.4549999999999999E-2</c:v>
                </c:pt>
                <c:pt idx="11">
                  <c:v>4.4549999999999999E-2</c:v>
                </c:pt>
                <c:pt idx="12">
                  <c:v>4.4549999999999999E-2</c:v>
                </c:pt>
                <c:pt idx="13">
                  <c:v>4.4549999999999999E-2</c:v>
                </c:pt>
                <c:pt idx="14">
                  <c:v>4.4549999999999999E-2</c:v>
                </c:pt>
                <c:pt idx="15">
                  <c:v>4.4549999999999999E-2</c:v>
                </c:pt>
                <c:pt idx="16">
                  <c:v>4.4549999999999999E-2</c:v>
                </c:pt>
                <c:pt idx="17">
                  <c:v>4.4549999999999999E-2</c:v>
                </c:pt>
                <c:pt idx="18">
                  <c:v>4.4549999999999999E-2</c:v>
                </c:pt>
                <c:pt idx="19">
                  <c:v>4.4549999999999999E-2</c:v>
                </c:pt>
                <c:pt idx="20">
                  <c:v>4.4549999999999999E-2</c:v>
                </c:pt>
                <c:pt idx="21">
                  <c:v>4.4549999999999999E-2</c:v>
                </c:pt>
                <c:pt idx="22">
                  <c:v>4.4549999999999999E-2</c:v>
                </c:pt>
                <c:pt idx="23">
                  <c:v>4.4549999999999999E-2</c:v>
                </c:pt>
                <c:pt idx="24">
                  <c:v>4.4549999999999999E-2</c:v>
                </c:pt>
                <c:pt idx="25">
                  <c:v>4.4549999999999999E-2</c:v>
                </c:pt>
                <c:pt idx="26">
                  <c:v>4.4549999999999999E-2</c:v>
                </c:pt>
                <c:pt idx="27">
                  <c:v>4.4549999999999999E-2</c:v>
                </c:pt>
                <c:pt idx="28">
                  <c:v>4.4549999999999999E-2</c:v>
                </c:pt>
                <c:pt idx="29">
                  <c:v>4.4549999999999999E-2</c:v>
                </c:pt>
                <c:pt idx="30">
                  <c:v>4.4549999999999999E-2</c:v>
                </c:pt>
                <c:pt idx="31">
                  <c:v>4.4549999999999999E-2</c:v>
                </c:pt>
                <c:pt idx="32">
                  <c:v>4.4549999999999999E-2</c:v>
                </c:pt>
                <c:pt idx="33">
                  <c:v>4.4549999999999999E-2</c:v>
                </c:pt>
                <c:pt idx="34">
                  <c:v>4.4549999999999999E-2</c:v>
                </c:pt>
                <c:pt idx="35">
                  <c:v>4.4549999999999999E-2</c:v>
                </c:pt>
                <c:pt idx="36">
                  <c:v>4.4549999999999999E-2</c:v>
                </c:pt>
                <c:pt idx="37">
                  <c:v>4.4549999999999999E-2</c:v>
                </c:pt>
                <c:pt idx="38">
                  <c:v>4.4549999999999999E-2</c:v>
                </c:pt>
                <c:pt idx="39">
                  <c:v>4.4549999999999999E-2</c:v>
                </c:pt>
                <c:pt idx="40">
                  <c:v>4.4549999999999999E-2</c:v>
                </c:pt>
                <c:pt idx="41">
                  <c:v>4.4549999999999999E-2</c:v>
                </c:pt>
                <c:pt idx="42">
                  <c:v>4.4549999999999999E-2</c:v>
                </c:pt>
                <c:pt idx="43">
                  <c:v>4.4549999999999999E-2</c:v>
                </c:pt>
                <c:pt idx="44">
                  <c:v>4.4549999999999999E-2</c:v>
                </c:pt>
                <c:pt idx="45">
                  <c:v>4.4549999999999999E-2</c:v>
                </c:pt>
                <c:pt idx="46">
                  <c:v>4.4549999999999999E-2</c:v>
                </c:pt>
                <c:pt idx="47">
                  <c:v>4.4549999999999999E-2</c:v>
                </c:pt>
                <c:pt idx="48">
                  <c:v>4.4549999999999999E-2</c:v>
                </c:pt>
                <c:pt idx="49">
                  <c:v>4.4549999999999999E-2</c:v>
                </c:pt>
                <c:pt idx="50">
                  <c:v>4.4549999999999999E-2</c:v>
                </c:pt>
                <c:pt idx="51">
                  <c:v>4.4549999999999999E-2</c:v>
                </c:pt>
                <c:pt idx="52">
                  <c:v>4.4549999999999999E-2</c:v>
                </c:pt>
                <c:pt idx="53">
                  <c:v>4.4549999999999999E-2</c:v>
                </c:pt>
                <c:pt idx="54">
                  <c:v>4.4549999999999999E-2</c:v>
                </c:pt>
                <c:pt idx="55">
                  <c:v>4.4549999999999999E-2</c:v>
                </c:pt>
                <c:pt idx="56">
                  <c:v>4.4549999999999999E-2</c:v>
                </c:pt>
                <c:pt idx="57">
                  <c:v>4.4549999999999999E-2</c:v>
                </c:pt>
                <c:pt idx="58">
                  <c:v>4.4549999999999999E-2</c:v>
                </c:pt>
                <c:pt idx="59">
                  <c:v>4.4549999999999999E-2</c:v>
                </c:pt>
                <c:pt idx="60">
                  <c:v>4.4549999999999999E-2</c:v>
                </c:pt>
                <c:pt idx="61">
                  <c:v>4.4549999999999999E-2</c:v>
                </c:pt>
                <c:pt idx="62">
                  <c:v>4.4549999999999999E-2</c:v>
                </c:pt>
                <c:pt idx="63">
                  <c:v>4.4549999999999999E-2</c:v>
                </c:pt>
                <c:pt idx="64">
                  <c:v>4.4549999999999999E-2</c:v>
                </c:pt>
                <c:pt idx="65">
                  <c:v>4.4549999999999999E-2</c:v>
                </c:pt>
                <c:pt idx="66">
                  <c:v>4.4549999999999999E-2</c:v>
                </c:pt>
                <c:pt idx="67">
                  <c:v>4.4549999999999999E-2</c:v>
                </c:pt>
                <c:pt idx="68">
                  <c:v>4.4549999999999999E-2</c:v>
                </c:pt>
                <c:pt idx="69">
                  <c:v>4.4549999999999999E-2</c:v>
                </c:pt>
                <c:pt idx="70">
                  <c:v>4.4549999999999999E-2</c:v>
                </c:pt>
                <c:pt idx="71">
                  <c:v>4.4549999999999999E-2</c:v>
                </c:pt>
                <c:pt idx="72">
                  <c:v>4.4549999999999999E-2</c:v>
                </c:pt>
                <c:pt idx="73">
                  <c:v>4.4549999999999999E-2</c:v>
                </c:pt>
                <c:pt idx="74">
                  <c:v>4.4549999999999999E-2</c:v>
                </c:pt>
                <c:pt idx="75">
                  <c:v>4.4549999999999999E-2</c:v>
                </c:pt>
                <c:pt idx="76">
                  <c:v>4.4549999999999999E-2</c:v>
                </c:pt>
                <c:pt idx="77">
                  <c:v>4.4549999999999999E-2</c:v>
                </c:pt>
                <c:pt idx="78">
                  <c:v>4.4549999999999999E-2</c:v>
                </c:pt>
                <c:pt idx="79">
                  <c:v>4.4549999999999999E-2</c:v>
                </c:pt>
                <c:pt idx="80">
                  <c:v>4.4549999999999999E-2</c:v>
                </c:pt>
                <c:pt idx="81">
                  <c:v>4.4549999999999999E-2</c:v>
                </c:pt>
                <c:pt idx="82">
                  <c:v>4.4549999999999999E-2</c:v>
                </c:pt>
                <c:pt idx="83">
                  <c:v>4.4549999999999999E-2</c:v>
                </c:pt>
                <c:pt idx="84">
                  <c:v>4.4549999999999999E-2</c:v>
                </c:pt>
                <c:pt idx="85">
                  <c:v>4.4549999999999999E-2</c:v>
                </c:pt>
                <c:pt idx="86">
                  <c:v>4.4549999999999999E-2</c:v>
                </c:pt>
                <c:pt idx="87">
                  <c:v>4.4549999999999999E-2</c:v>
                </c:pt>
                <c:pt idx="88">
                  <c:v>4.4549999999999999E-2</c:v>
                </c:pt>
                <c:pt idx="89">
                  <c:v>4.4549999999999999E-2</c:v>
                </c:pt>
                <c:pt idx="90">
                  <c:v>4.4549999999999999E-2</c:v>
                </c:pt>
                <c:pt idx="91">
                  <c:v>4.4549999999999999E-2</c:v>
                </c:pt>
                <c:pt idx="92">
                  <c:v>4.4549999999999999E-2</c:v>
                </c:pt>
                <c:pt idx="93">
                  <c:v>4.4549999999999999E-2</c:v>
                </c:pt>
                <c:pt idx="94">
                  <c:v>4.4549999999999999E-2</c:v>
                </c:pt>
                <c:pt idx="95">
                  <c:v>4.4549999999999999E-2</c:v>
                </c:pt>
                <c:pt idx="96">
                  <c:v>4.4549999999999999E-2</c:v>
                </c:pt>
                <c:pt idx="97">
                  <c:v>4.4549999999999999E-2</c:v>
                </c:pt>
                <c:pt idx="98">
                  <c:v>4.4549999999999999E-2</c:v>
                </c:pt>
                <c:pt idx="99">
                  <c:v>4.4549999999999999E-2</c:v>
                </c:pt>
                <c:pt idx="100">
                  <c:v>4.4549999999999999E-2</c:v>
                </c:pt>
              </c:numCache>
            </c:numRef>
          </c:yVal>
          <c:smooth val="0"/>
          <c:extLst>
            <c:ext xmlns:c16="http://schemas.microsoft.com/office/drawing/2014/chart" uri="{C3380CC4-5D6E-409C-BE32-E72D297353CC}">
              <c16:uniqueId val="{00000000-DE97-44C0-9E09-4F57490C8304}"/>
            </c:ext>
          </c:extLst>
        </c:ser>
        <c:dLbls>
          <c:showLegendKey val="0"/>
          <c:showVal val="0"/>
          <c:showCatName val="0"/>
          <c:showSerName val="0"/>
          <c:showPercent val="0"/>
          <c:showBubbleSize val="0"/>
        </c:dLbls>
        <c:axId val="196609536"/>
        <c:axId val="196611456"/>
      </c:scatterChart>
      <c:valAx>
        <c:axId val="196609536"/>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6611456"/>
        <c:crosses val="autoZero"/>
        <c:crossBetween val="midCat"/>
      </c:valAx>
      <c:valAx>
        <c:axId val="196611456"/>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660953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56046611093765375"/>
          <c:y val="1.0080645161290322E-2"/>
          <c:w val="0.41405632280755778"/>
          <c:h val="0.13942069083982347"/>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sz="1600"/>
              <a:t> Overall Efficiency</a:t>
            </a:r>
          </a:p>
        </c:rich>
      </c:tx>
      <c:layout>
        <c:manualLayout>
          <c:xMode val="edge"/>
          <c:yMode val="edge"/>
          <c:x val="0.41192468827576156"/>
          <c:y val="3.0241935483871822E-2"/>
        </c:manualLayout>
      </c:layout>
      <c:overlay val="0"/>
      <c:spPr>
        <a:noFill/>
        <a:ln w="25400">
          <a:noFill/>
        </a:ln>
      </c:spPr>
    </c:title>
    <c:autoTitleDeleted val="0"/>
    <c:plotArea>
      <c:layout>
        <c:manualLayout>
          <c:layoutTarget val="inner"/>
          <c:xMode val="edge"/>
          <c:yMode val="edge"/>
          <c:x val="0.10474102129638858"/>
          <c:y val="0.15927435034411094"/>
          <c:w val="0.85384629851107507"/>
          <c:h val="0.72983942815910108"/>
        </c:manualLayout>
      </c:layout>
      <c:scatterChart>
        <c:scatterStyle val="lineMarker"/>
        <c:varyColors val="0"/>
        <c:ser>
          <c:idx val="0"/>
          <c:order val="0"/>
          <c:tx>
            <c:v>Efficiency</c:v>
          </c:tx>
          <c:spPr>
            <a:ln w="25400">
              <a:solidFill>
                <a:srgbClr val="000080"/>
              </a:solidFill>
              <a:prstDash val="solid"/>
            </a:ln>
          </c:spPr>
          <c:marker>
            <c:symbol val="none"/>
          </c:marker>
          <c:xVal>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xVal>
          <c:yVal>
            <c:numRef>
              <c:f>'Efficiency Calculations'!$AV$9:$AV$109</c:f>
              <c:numCache>
                <c:formatCode>0.0%</c:formatCode>
                <c:ptCount val="101"/>
                <c:pt idx="0">
                  <c:v>0</c:v>
                </c:pt>
                <c:pt idx="1">
                  <c:v>0.90723579318297942</c:v>
                </c:pt>
                <c:pt idx="2">
                  <c:v>0.94844214341051358</c:v>
                </c:pt>
                <c:pt idx="3">
                  <c:v>0.96297724892260705</c:v>
                </c:pt>
                <c:pt idx="4">
                  <c:v>0.97037884109820149</c:v>
                </c:pt>
                <c:pt idx="5">
                  <c:v>0.97484688432279476</c:v>
                </c:pt>
                <c:pt idx="6">
                  <c:v>0.9778251546739023</c:v>
                </c:pt>
                <c:pt idx="7">
                  <c:v>0.97994349595471608</c:v>
                </c:pt>
                <c:pt idx="8">
                  <c:v>0.98152053704544928</c:v>
                </c:pt>
                <c:pt idx="9">
                  <c:v>0.98300267542314301</c:v>
                </c:pt>
                <c:pt idx="10">
                  <c:v>0.98440543494551513</c:v>
                </c:pt>
                <c:pt idx="11">
                  <c:v>0.9855431727761228</c:v>
                </c:pt>
                <c:pt idx="12">
                  <c:v>0.98648138439599253</c:v>
                </c:pt>
                <c:pt idx="13">
                  <c:v>0.98726562189010547</c:v>
                </c:pt>
                <c:pt idx="14">
                  <c:v>0.98792854763454496</c:v>
                </c:pt>
                <c:pt idx="15">
                  <c:v>0.98849419201732236</c:v>
                </c:pt>
                <c:pt idx="16">
                  <c:v>0.98898062805427378</c:v>
                </c:pt>
                <c:pt idx="17">
                  <c:v>0.98940170956107976</c:v>
                </c:pt>
                <c:pt idx="18">
                  <c:v>0.98976823430616112</c:v>
                </c:pt>
                <c:pt idx="19">
                  <c:v>0.99008874247862511</c:v>
                </c:pt>
                <c:pt idx="20">
                  <c:v>0.99037007724353954</c:v>
                </c:pt>
                <c:pt idx="21">
                  <c:v>0.99061778617529961</c:v>
                </c:pt>
                <c:pt idx="22">
                  <c:v>0.99083641388578647</c:v>
                </c:pt>
                <c:pt idx="23">
                  <c:v>0.99102971876607304</c:v>
                </c:pt>
                <c:pt idx="24">
                  <c:v>0.99120083584973229</c:v>
                </c:pt>
                <c:pt idx="25">
                  <c:v>0.99135240080156362</c:v>
                </c:pt>
                <c:pt idx="26">
                  <c:v>0.99148664544316711</c:v>
                </c:pt>
                <c:pt idx="27">
                  <c:v>0.99160547215748607</c:v>
                </c:pt>
                <c:pt idx="28">
                  <c:v>0.99171051242688946</c:v>
                </c:pt>
                <c:pt idx="29">
                  <c:v>0.99180317331663981</c:v>
                </c:pt>
                <c:pt idx="30">
                  <c:v>0.99188467470371378</c:v>
                </c:pt>
                <c:pt idx="31">
                  <c:v>0.9919560793315465</c:v>
                </c:pt>
                <c:pt idx="32">
                  <c:v>0.99201831725334499</c:v>
                </c:pt>
                <c:pt idx="33">
                  <c:v>0.99207220584935252</c:v>
                </c:pt>
                <c:pt idx="34">
                  <c:v>0.99211846632565581</c:v>
                </c:pt>
                <c:pt idx="35">
                  <c:v>0.99215773739548208</c:v>
                </c:pt>
                <c:pt idx="36">
                  <c:v>0.99219058668875648</c:v>
                </c:pt>
                <c:pt idx="37">
                  <c:v>0.99221752031812216</c:v>
                </c:pt>
                <c:pt idx="38">
                  <c:v>0.99223899093980139</c:v>
                </c:pt>
                <c:pt idx="39">
                  <c:v>0.99225540457850481</c:v>
                </c:pt>
                <c:pt idx="40">
                  <c:v>0.99226712643194037</c:v>
                </c:pt>
                <c:pt idx="41">
                  <c:v>0.99227448582855349</c:v>
                </c:pt>
                <c:pt idx="42">
                  <c:v>0.99227778047916726</c:v>
                </c:pt>
                <c:pt idx="43">
                  <c:v>0.99227728013709626</c:v>
                </c:pt>
                <c:pt idx="44">
                  <c:v>0.9922732297605511</c:v>
                </c:pt>
                <c:pt idx="45">
                  <c:v>0.99226585225451169</c:v>
                </c:pt>
                <c:pt idx="46">
                  <c:v>0.99225535085587302</c:v>
                </c:pt>
                <c:pt idx="47">
                  <c:v>0.99224191121483429</c:v>
                </c:pt>
                <c:pt idx="48">
                  <c:v>0.99222570321669912</c:v>
                </c:pt>
                <c:pt idx="49">
                  <c:v>0.99220688258106504</c:v>
                </c:pt>
                <c:pt idx="50">
                  <c:v>0.99218559226947767</c:v>
                </c:pt>
                <c:pt idx="51">
                  <c:v>0.99216196372776455</c:v>
                </c:pt>
                <c:pt idx="52">
                  <c:v>0.99213611798524326</c:v>
                </c:pt>
                <c:pt idx="53">
                  <c:v>0.99210816662965073</c:v>
                </c:pt>
                <c:pt idx="54">
                  <c:v>0.99207821267386198</c:v>
                </c:pt>
                <c:pt idx="55">
                  <c:v>0.99204635132813124</c:v>
                </c:pt>
                <c:pt idx="56">
                  <c:v>0.99201267068963206</c:v>
                </c:pt>
                <c:pt idx="57">
                  <c:v>0.99197725235942458</c:v>
                </c:pt>
                <c:pt idx="58">
                  <c:v>0.99194017199558138</c:v>
                </c:pt>
                <c:pt idx="59">
                  <c:v>0.99190149981002851</c:v>
                </c:pt>
                <c:pt idx="60">
                  <c:v>0.99186130101564463</c:v>
                </c:pt>
                <c:pt idx="61">
                  <c:v>0.99181963622931046</c:v>
                </c:pt>
                <c:pt idx="62">
                  <c:v>0.99177656183586693</c:v>
                </c:pt>
                <c:pt idx="63">
                  <c:v>0.99173213031730922</c:v>
                </c:pt>
                <c:pt idx="64">
                  <c:v>0.99168639055100771</c:v>
                </c:pt>
                <c:pt idx="65">
                  <c:v>0.99163938808027852</c:v>
                </c:pt>
                <c:pt idx="66">
                  <c:v>0.9915911653602234</c:v>
                </c:pt>
                <c:pt idx="67">
                  <c:v>0.99154176198141564</c:v>
                </c:pt>
                <c:pt idx="68">
                  <c:v>0.99149121487369829</c:v>
                </c:pt>
                <c:pt idx="69">
                  <c:v>0.99143955849210597</c:v>
                </c:pt>
                <c:pt idx="70">
                  <c:v>0.99138682498668707</c:v>
                </c:pt>
                <c:pt idx="71">
                  <c:v>0.99133304435780378</c:v>
                </c:pt>
                <c:pt idx="72">
                  <c:v>0.99127824459831559</c:v>
                </c:pt>
                <c:pt idx="73">
                  <c:v>0.99122245182389268</c:v>
                </c:pt>
                <c:pt idx="74">
                  <c:v>0.99116569039257607</c:v>
                </c:pt>
                <c:pt idx="75">
                  <c:v>0.99110798301457637</c:v>
                </c:pt>
                <c:pt idx="76">
                  <c:v>0.99104935085320711</c:v>
                </c:pt>
                <c:pt idx="77">
                  <c:v>0.9909898136177433</c:v>
                </c:pt>
                <c:pt idx="78">
                  <c:v>0.99092938964892885</c:v>
                </c:pt>
                <c:pt idx="79">
                  <c:v>0.99086809599776993</c:v>
                </c:pt>
                <c:pt idx="80">
                  <c:v>0.99080594849819581</c:v>
                </c:pt>
                <c:pt idx="81">
                  <c:v>0.9907429618341097</c:v>
                </c:pt>
                <c:pt idx="82">
                  <c:v>0.99067914960129655</c:v>
                </c:pt>
                <c:pt idx="83">
                  <c:v>0.99061452436461517</c:v>
                </c:pt>
                <c:pt idx="84">
                  <c:v>0.99054909771085786</c:v>
                </c:pt>
                <c:pt idx="85">
                  <c:v>0.99048288029762643</c:v>
                </c:pt>
                <c:pt idx="86">
                  <c:v>0.99041588189853536</c:v>
                </c:pt>
                <c:pt idx="87">
                  <c:v>0.99034811144503354</c:v>
                </c:pt>
                <c:pt idx="88">
                  <c:v>0.99027957706510017</c:v>
                </c:pt>
                <c:pt idx="89">
                  <c:v>0.9902102861190506</c:v>
                </c:pt>
                <c:pt idx="90">
                  <c:v>0.99014024523266886</c:v>
                </c:pt>
                <c:pt idx="91">
                  <c:v>0.99006946032785892</c:v>
                </c:pt>
                <c:pt idx="92">
                  <c:v>0.98999793665099567</c:v>
                </c:pt>
                <c:pt idx="93">
                  <c:v>0.98992567879913462</c:v>
                </c:pt>
                <c:pt idx="94">
                  <c:v>0.98985269074422966</c:v>
                </c:pt>
                <c:pt idx="95">
                  <c:v>0.98977897585549446</c:v>
                </c:pt>
                <c:pt idx="96">
                  <c:v>0.98970453692002858</c:v>
                </c:pt>
                <c:pt idx="97">
                  <c:v>0.98962937616182278</c:v>
                </c:pt>
                <c:pt idx="98">
                  <c:v>0.98955349525924552</c:v>
                </c:pt>
                <c:pt idx="99">
                  <c:v>0.98947689536110328</c:v>
                </c:pt>
                <c:pt idx="100">
                  <c:v>0.9893995771013635</c:v>
                </c:pt>
              </c:numCache>
            </c:numRef>
          </c:yVal>
          <c:smooth val="0"/>
          <c:extLst>
            <c:ext xmlns:c16="http://schemas.microsoft.com/office/drawing/2014/chart" uri="{C3380CC4-5D6E-409C-BE32-E72D297353CC}">
              <c16:uniqueId val="{00000000-D0AF-458B-AAD9-F9E223A07CD7}"/>
            </c:ext>
          </c:extLst>
        </c:ser>
        <c:dLbls>
          <c:showLegendKey val="0"/>
          <c:showVal val="0"/>
          <c:showCatName val="0"/>
          <c:showSerName val="0"/>
          <c:showPercent val="0"/>
          <c:showBubbleSize val="0"/>
        </c:dLbls>
        <c:axId val="196665344"/>
        <c:axId val="196667264"/>
      </c:scatterChart>
      <c:valAx>
        <c:axId val="196665344"/>
        <c:scaling>
          <c:orientation val="minMax"/>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576315442322012"/>
              <c:y val="0.9435492337651342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6667264"/>
        <c:crosses val="autoZero"/>
        <c:crossBetween val="midCat"/>
      </c:valAx>
      <c:valAx>
        <c:axId val="196667264"/>
        <c:scaling>
          <c:orientation val="minMax"/>
          <c:max val="1"/>
          <c:min val="0.70000000000000007"/>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6052E-3"/>
              <c:y val="0.4274197781728969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6665344"/>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81417468158588802"/>
          <c:y val="3.6290322580645726E-2"/>
          <c:w val="0.16008127236069711"/>
          <c:h val="4.2338709677419352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MOSFET &amp;</a:t>
            </a:r>
            <a:r>
              <a:rPr lang="en-US" sz="1200" baseline="0"/>
              <a:t> Inductor</a:t>
            </a:r>
            <a:r>
              <a:rPr lang="en-US" sz="1200"/>
              <a:t> Power Dissipation</a:t>
            </a:r>
          </a:p>
        </c:rich>
      </c:tx>
      <c:layout>
        <c:manualLayout>
          <c:xMode val="edge"/>
          <c:yMode val="edge"/>
          <c:x val="0.13740051025090394"/>
          <c:y val="4.9059139784946235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strRef>
              <c:f>'Efficiency Calculations'!$BC$8</c:f>
              <c:strCache>
                <c:ptCount val="1"/>
                <c:pt idx="0">
                  <c:v>Control MOSFET Loss</c:v>
                </c:pt>
              </c:strCache>
            </c:strRef>
          </c:tx>
          <c:spPr>
            <a:ln w="25400">
              <a:solidFill>
                <a:srgbClr val="000080"/>
              </a:solidFill>
              <a:prstDash val="dash"/>
            </a:ln>
          </c:spPr>
          <c:marker>
            <c:symbol val="none"/>
          </c:marker>
          <c:xVal>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xVal>
          <c:yVal>
            <c:numRef>
              <c:f>'Efficiency Calculations'!$BC$9:$BC$109</c:f>
              <c:numCache>
                <c:formatCode>0.000</c:formatCode>
                <c:ptCount val="101"/>
                <c:pt idx="0">
                  <c:v>0.10121679287844361</c:v>
                </c:pt>
                <c:pt idx="1">
                  <c:v>0.14498152850329948</c:v>
                </c:pt>
                <c:pt idx="2">
                  <c:v>0.18887497446300111</c:v>
                </c:pt>
                <c:pt idx="3">
                  <c:v>0.23289966105686286</c:v>
                </c:pt>
                <c:pt idx="4">
                  <c:v>0.27705813443906313</c:v>
                </c:pt>
                <c:pt idx="5">
                  <c:v>0.32135295710972678</c:v>
                </c:pt>
                <c:pt idx="6">
                  <c:v>0.36578670841098265</c:v>
                </c:pt>
                <c:pt idx="7">
                  <c:v>0.41036198502819976</c:v>
                </c:pt>
                <c:pt idx="8">
                  <c:v>0.45508140149660514</c:v>
                </c:pt>
                <c:pt idx="9">
                  <c:v>0.48197733734946691</c:v>
                </c:pt>
                <c:pt idx="10">
                  <c:v>0.49206500534746267</c:v>
                </c:pt>
                <c:pt idx="11">
                  <c:v>0.50229047962751883</c:v>
                </c:pt>
                <c:pt idx="12">
                  <c:v>0.51265444755749534</c:v>
                </c:pt>
                <c:pt idx="13">
                  <c:v>0.52315761302132602</c:v>
                </c:pt>
                <c:pt idx="14">
                  <c:v>0.53380069657526508</c:v>
                </c:pt>
                <c:pt idx="15">
                  <c:v>0.54458443560915559</c:v>
                </c:pt>
                <c:pt idx="16">
                  <c:v>0.55550958451279142</c:v>
                </c:pt>
                <c:pt idx="17">
                  <c:v>0.56657691484745376</c:v>
                </c:pt>
                <c:pt idx="18">
                  <c:v>0.5777872155226994</c:v>
                </c:pt>
                <c:pt idx="19">
                  <c:v>0.58914129297848583</c:v>
                </c:pt>
                <c:pt idx="20">
                  <c:v>0.60063997137272074</c:v>
                </c:pt>
                <c:pt idx="21">
                  <c:v>0.61228409277432272</c:v>
                </c:pt>
                <c:pt idx="22">
                  <c:v>0.62407451736189012</c:v>
                </c:pt>
                <c:pt idx="23">
                  <c:v>0.63601212362807003</c:v>
                </c:pt>
                <c:pt idx="24">
                  <c:v>0.64809780858973121</c:v>
                </c:pt>
                <c:pt idx="25">
                  <c:v>0.6603324880040411</c:v>
                </c:pt>
                <c:pt idx="26">
                  <c:v>0.67271709659055534</c:v>
                </c:pt>
                <c:pt idx="27">
                  <c:v>0.6852525882594287</c:v>
                </c:pt>
                <c:pt idx="28">
                  <c:v>0.69793993634586338</c:v>
                </c:pt>
                <c:pt idx="29">
                  <c:v>0.71078013385090999</c:v>
                </c:pt>
                <c:pt idx="30">
                  <c:v>0.72377419368874651</c:v>
                </c:pt>
                <c:pt idx="31">
                  <c:v>0.73692314894055699</c:v>
                </c:pt>
                <c:pt idx="32">
                  <c:v>0.75022805311514418</c:v>
                </c:pt>
                <c:pt idx="33">
                  <c:v>0.7636899804164069</c:v>
                </c:pt>
                <c:pt idx="34">
                  <c:v>0.77731002601782251</c:v>
                </c:pt>
                <c:pt idx="35">
                  <c:v>0.79108930634407748</c:v>
                </c:pt>
                <c:pt idx="36">
                  <c:v>0.80502895935999319</c:v>
                </c:pt>
                <c:pt idx="37">
                  <c:v>0.81913014486690061</c:v>
                </c:pt>
                <c:pt idx="38">
                  <c:v>0.83339404480661927</c:v>
                </c:pt>
                <c:pt idx="39">
                  <c:v>0.84782186357320555</c:v>
                </c:pt>
                <c:pt idx="40">
                  <c:v>0.86241482833263416</c:v>
                </c:pt>
                <c:pt idx="41">
                  <c:v>0.87717418935059077</c:v>
                </c:pt>
                <c:pt idx="42">
                  <c:v>0.89210122032854855</c:v>
                </c:pt>
                <c:pt idx="43">
                  <c:v>0.90719721874831694</c:v>
                </c:pt>
                <c:pt idx="44">
                  <c:v>0.92246350622525064</c:v>
                </c:pt>
                <c:pt idx="45">
                  <c:v>0.93790142887031469</c:v>
                </c:pt>
                <c:pt idx="46">
                  <c:v>0.9535123576612069</c:v>
                </c:pt>
                <c:pt idx="47">
                  <c:v>0.96929768882274847</c:v>
                </c:pt>
                <c:pt idx="48">
                  <c:v>0.98525884421675436</c:v>
                </c:pt>
                <c:pt idx="49">
                  <c:v>1.0013972717416086</c:v>
                </c:pt>
                <c:pt idx="50">
                  <c:v>1.0177144457417697</c:v>
                </c:pt>
                <c:pt idx="51">
                  <c:v>1.0342118674274439</c:v>
                </c:pt>
                <c:pt idx="52">
                  <c:v>1.0508910653046699</c:v>
                </c:pt>
                <c:pt idx="53">
                  <c:v>1.0677535956160649</c:v>
                </c:pt>
                <c:pt idx="54">
                  <c:v>1.084801042792491</c:v>
                </c:pt>
                <c:pt idx="55">
                  <c:v>1.1020350199159099</c:v>
                </c:pt>
                <c:pt idx="56">
                  <c:v>1.1194571691936996</c:v>
                </c:pt>
                <c:pt idx="57">
                  <c:v>1.1370691624447198</c:v>
                </c:pt>
                <c:pt idx="58">
                  <c:v>1.1548727015974138</c:v>
                </c:pt>
                <c:pt idx="59">
                  <c:v>1.1728695192002605</c:v>
                </c:pt>
                <c:pt idx="60">
                  <c:v>1.1910613789448719</c:v>
                </c:pt>
                <c:pt idx="61">
                  <c:v>1.2094500762020759</c:v>
                </c:pt>
                <c:pt idx="62">
                  <c:v>1.228037438571302</c:v>
                </c:pt>
                <c:pt idx="63">
                  <c:v>1.2468253264436222</c:v>
                </c:pt>
                <c:pt idx="64">
                  <c:v>1.2658156335787984</c:v>
                </c:pt>
                <c:pt idx="65">
                  <c:v>1.2850102876966976</c:v>
                </c:pt>
                <c:pt idx="66">
                  <c:v>1.304411251083456</c:v>
                </c:pt>
                <c:pt idx="67">
                  <c:v>1.3240205212127838</c:v>
                </c:pt>
                <c:pt idx="68">
                  <c:v>1.3438401313828041</c:v>
                </c:pt>
                <c:pt idx="69">
                  <c:v>1.3638721513688481</c:v>
                </c:pt>
                <c:pt idx="70">
                  <c:v>1.3841186880926304</c:v>
                </c:pt>
                <c:pt idx="71">
                  <c:v>1.4045818863082493</c:v>
                </c:pt>
                <c:pt idx="72">
                  <c:v>1.4252639293054665</c:v>
                </c:pt>
                <c:pt idx="73">
                  <c:v>1.4461670396307398</c:v>
                </c:pt>
                <c:pt idx="74">
                  <c:v>1.4672934798264952</c:v>
                </c:pt>
                <c:pt idx="75">
                  <c:v>1.4886455531891365</c:v>
                </c:pt>
                <c:pt idx="76">
                  <c:v>1.5102256045463254</c:v>
                </c:pt>
                <c:pt idx="77">
                  <c:v>1.5320360210540502</c:v>
                </c:pt>
                <c:pt idx="78">
                  <c:v>1.5540792330140567</c:v>
                </c:pt>
                <c:pt idx="79">
                  <c:v>1.5763577147122008</c:v>
                </c:pt>
                <c:pt idx="80">
                  <c:v>1.5988739852783238</c:v>
                </c:pt>
                <c:pt idx="81">
                  <c:v>1.6216306095682573</c:v>
                </c:pt>
                <c:pt idx="82">
                  <c:v>1.6446301990685952</c:v>
                </c:pt>
                <c:pt idx="83">
                  <c:v>1.6678754128248849</c:v>
                </c:pt>
                <c:pt idx="84">
                  <c:v>1.6913689583939162</c:v>
                </c:pt>
                <c:pt idx="85">
                  <c:v>1.7151135928208046</c:v>
                </c:pt>
                <c:pt idx="86">
                  <c:v>1.7391121236415983</c:v>
                </c:pt>
                <c:pt idx="87">
                  <c:v>1.763367409912153</c:v>
                </c:pt>
                <c:pt idx="88">
                  <c:v>1.7878823632640506</c:v>
                </c:pt>
                <c:pt idx="89">
                  <c:v>1.8126599489883637</c:v>
                </c:pt>
                <c:pt idx="90">
                  <c:v>1.8377031871480949</c:v>
                </c:pt>
                <c:pt idx="91">
                  <c:v>1.8630151537201496</c:v>
                </c:pt>
                <c:pt idx="92">
                  <c:v>1.88859898176773</c:v>
                </c:pt>
                <c:pt idx="93">
                  <c:v>1.9144578626440667</c:v>
                </c:pt>
                <c:pt idx="94">
                  <c:v>1.9405950472284497</c:v>
                </c:pt>
                <c:pt idx="95">
                  <c:v>1.967013847195531</c:v>
                </c:pt>
                <c:pt idx="96">
                  <c:v>1.9937176363189297</c:v>
                </c:pt>
                <c:pt idx="97">
                  <c:v>2.020709851810194</c:v>
                </c:pt>
                <c:pt idx="98">
                  <c:v>2.0479939956942141</c:v>
                </c:pt>
                <c:pt idx="99">
                  <c:v>2.0755736362222237</c:v>
                </c:pt>
                <c:pt idx="100">
                  <c:v>2.103452409323558</c:v>
                </c:pt>
              </c:numCache>
            </c:numRef>
          </c:yVal>
          <c:smooth val="0"/>
          <c:extLst>
            <c:ext xmlns:c16="http://schemas.microsoft.com/office/drawing/2014/chart" uri="{C3380CC4-5D6E-409C-BE32-E72D297353CC}">
              <c16:uniqueId val="{00000000-CD56-4A2A-9FDC-2F5EB8C6A064}"/>
            </c:ext>
          </c:extLst>
        </c:ser>
        <c:ser>
          <c:idx val="3"/>
          <c:order val="1"/>
          <c:tx>
            <c:strRef>
              <c:f>'Efficiency Calculations'!$BD$8</c:f>
              <c:strCache>
                <c:ptCount val="1"/>
                <c:pt idx="0">
                  <c:v>SYNC MOSFET Loss</c:v>
                </c:pt>
              </c:strCache>
            </c:strRef>
          </c:tx>
          <c:spPr>
            <a:ln w="25400">
              <a:solidFill>
                <a:srgbClr val="FF0000"/>
              </a:solidFill>
              <a:prstDash val="solid"/>
            </a:ln>
          </c:spPr>
          <c:marker>
            <c:symbol val="none"/>
          </c:marker>
          <c:xVal>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xVal>
          <c:yVal>
            <c:numRef>
              <c:f>'Efficiency Calculations'!$BD$9:$BD$109</c:f>
              <c:numCache>
                <c:formatCode>0.000</c:formatCode>
                <c:ptCount val="101"/>
                <c:pt idx="0">
                  <c:v>1.6012027304600975E-2</c:v>
                </c:pt>
                <c:pt idx="1">
                  <c:v>1.606658668958166E-2</c:v>
                </c:pt>
                <c:pt idx="2">
                  <c:v>1.6230376307619435E-2</c:v>
                </c:pt>
                <c:pt idx="3">
                  <c:v>1.6503392869654743E-2</c:v>
                </c:pt>
                <c:pt idx="4">
                  <c:v>1.6885643962399097E-2</c:v>
                </c:pt>
                <c:pt idx="5">
                  <c:v>1.7377148048596743E-2</c:v>
                </c:pt>
                <c:pt idx="6">
                  <c:v>1.7977934469993642E-2</c:v>
                </c:pt>
                <c:pt idx="7">
                  <c:v>1.8688043453014808E-2</c:v>
                </c:pt>
                <c:pt idx="8">
                  <c:v>1.9507526117152285E-2</c:v>
                </c:pt>
                <c:pt idx="9">
                  <c:v>2.0436444486067212E-2</c:v>
                </c:pt>
                <c:pt idx="10">
                  <c:v>2.1474871501410846E-2</c:v>
                </c:pt>
                <c:pt idx="11">
                  <c:v>2.2622891039370527E-2</c:v>
                </c:pt>
                <c:pt idx="12">
                  <c:v>2.3880597929947917E-2</c:v>
                </c:pt>
                <c:pt idx="13">
                  <c:v>2.5248097978978153E-2</c:v>
                </c:pt>
                <c:pt idx="14">
                  <c:v>2.6725507992899702E-2</c:v>
                </c:pt>
                <c:pt idx="15">
                  <c:v>2.8312955806286233E-2</c:v>
                </c:pt>
                <c:pt idx="16">
                  <c:v>3.0010580312152754E-2</c:v>
                </c:pt>
                <c:pt idx="17">
                  <c:v>3.1818531495050012E-2</c:v>
                </c:pt>
                <c:pt idx="18">
                  <c:v>3.3736970466962085E-2</c:v>
                </c:pt>
                <c:pt idx="19">
                  <c:v>3.5766069506023637E-2</c:v>
                </c:pt>
                <c:pt idx="20">
                  <c:v>3.7906012098074593E-2</c:v>
                </c:pt>
                <c:pt idx="21">
                  <c:v>4.0156992981071421E-2</c:v>
                </c:pt>
                <c:pt idx="22">
                  <c:v>4.251921819237521E-2</c:v>
                </c:pt>
                <c:pt idx="23">
                  <c:v>4.4992905118938879E-2</c:v>
                </c:pt>
                <c:pt idx="24">
                  <c:v>4.7578282550416198E-2</c:v>
                </c:pt>
                <c:pt idx="25">
                  <c:v>5.0275590735218013E-2</c:v>
                </c:pt>
                <c:pt idx="26">
                  <c:v>5.3085081439540889E-2</c:v>
                </c:pt>
                <c:pt idx="27">
                  <c:v>5.6007018009396607E-2</c:v>
                </c:pt>
                <c:pt idx="28">
                  <c:v>5.904167543567105E-2</c:v>
                </c:pt>
                <c:pt idx="29">
                  <c:v>6.2189340422243104E-2</c:v>
                </c:pt>
                <c:pt idx="30">
                  <c:v>6.5450311457195723E-2</c:v>
                </c:pt>
                <c:pt idx="31">
                  <c:v>6.8824898887152652E-2</c:v>
                </c:pt>
                <c:pt idx="32">
                  <c:v>7.2313424994776235E-2</c:v>
                </c:pt>
                <c:pt idx="33">
                  <c:v>7.5916224079462677E-2</c:v>
                </c:pt>
                <c:pt idx="34">
                  <c:v>7.9633642541273489E-2</c:v>
                </c:pt>
                <c:pt idx="35">
                  <c:v>8.3466038968143308E-2</c:v>
                </c:pt>
                <c:pt idx="36">
                  <c:v>8.7413784226405028E-2</c:v>
                </c:pt>
                <c:pt idx="37">
                  <c:v>9.1477261554676989E-2</c:v>
                </c:pt>
                <c:pt idx="38">
                  <c:v>9.5656866661156484E-2</c:v>
                </c:pt>
                <c:pt idx="39">
                  <c:v>9.995300782436646E-2</c:v>
                </c:pt>
                <c:pt idx="40">
                  <c:v>0.1043661059974057</c:v>
                </c:pt>
                <c:pt idx="41">
                  <c:v>0.10889659491575082</c:v>
                </c:pt>
                <c:pt idx="42">
                  <c:v>0.11354492120866536</c:v>
                </c:pt>
                <c:pt idx="43">
                  <c:v>0.11831154451426831</c:v>
                </c:pt>
                <c:pt idx="44">
                  <c:v>0.1231969375983198</c:v>
                </c:pt>
                <c:pt idx="45">
                  <c:v>0.12820158647678251</c:v>
                </c:pt>
                <c:pt idx="46">
                  <c:v>0.13332599054221894</c:v>
                </c:pt>
                <c:pt idx="47">
                  <c:v>0.13857066269408741</c:v>
                </c:pt>
                <c:pt idx="48">
                  <c:v>0.14393612947300291</c:v>
                </c:pt>
                <c:pt idx="49">
                  <c:v>0.14942293119902814</c:v>
                </c:pt>
                <c:pt idx="50">
                  <c:v>0.1550316221140656</c:v>
                </c:pt>
                <c:pt idx="51">
                  <c:v>0.16076277052842269</c:v>
                </c:pt>
                <c:pt idx="52">
                  <c:v>0.16661695897162282</c:v>
                </c:pt>
                <c:pt idx="53">
                  <c:v>0.17259478434754083</c:v>
                </c:pt>
                <c:pt idx="54">
                  <c:v>0.17869685809394115</c:v>
                </c:pt>
                <c:pt idx="55">
                  <c:v>0.18492380634650024</c:v>
                </c:pt>
                <c:pt idx="56">
                  <c:v>0.19127627010739914</c:v>
                </c:pt>
                <c:pt idx="57">
                  <c:v>0.19775490541857171</c:v>
                </c:pt>
                <c:pt idx="58">
                  <c:v>0.20436038353970085</c:v>
                </c:pt>
                <c:pt idx="59">
                  <c:v>0.21109339113105324</c:v>
                </c:pt>
                <c:pt idx="60">
                  <c:v>0.21795463044125044</c:v>
                </c:pt>
                <c:pt idx="61">
                  <c:v>0.22494481950007497</c:v>
                </c:pt>
                <c:pt idx="62">
                  <c:v>0.23206469231641244</c:v>
                </c:pt>
                <c:pt idx="63">
                  <c:v>0.23931499908143763</c:v>
                </c:pt>
                <c:pt idx="64">
                  <c:v>0.24669650637715021</c:v>
                </c:pt>
                <c:pt idx="65">
                  <c:v>0.25420999739037425</c:v>
                </c:pt>
                <c:pt idx="66">
                  <c:v>0.26185627213233681</c:v>
                </c:pt>
                <c:pt idx="67">
                  <c:v>0.26963614766394539</c:v>
                </c:pt>
                <c:pt idx="68">
                  <c:v>0.27755045832688557</c:v>
                </c:pt>
                <c:pt idx="69">
                  <c:v>0.28560005598066773</c:v>
                </c:pt>
                <c:pt idx="70">
                  <c:v>0.29378581024575245</c:v>
                </c:pt>
                <c:pt idx="71">
                  <c:v>0.30210860875289047</c:v>
                </c:pt>
                <c:pt idx="72">
                  <c:v>0.31056935739881503</c:v>
                </c:pt>
                <c:pt idx="73">
                  <c:v>0.31916898060843146</c:v>
                </c:pt>
                <c:pt idx="74">
                  <c:v>0.3279084216036513</c:v>
                </c:pt>
                <c:pt idx="75">
                  <c:v>0.33678864267902292</c:v>
                </c:pt>
                <c:pt idx="76">
                  <c:v>0.34581062548431735</c:v>
                </c:pt>
                <c:pt idx="77">
                  <c:v>0.35497537131422963</c:v>
                </c:pt>
                <c:pt idx="78">
                  <c:v>0.36428390140536598</c:v>
                </c:pt>
                <c:pt idx="79">
                  <c:v>0.37373725724068413</c:v>
                </c:pt>
                <c:pt idx="80">
                  <c:v>0.38333650086157073</c:v>
                </c:pt>
                <c:pt idx="81">
                  <c:v>0.39308271518773535</c:v>
                </c:pt>
                <c:pt idx="82">
                  <c:v>0.40297700434510991</c:v>
                </c:pt>
                <c:pt idx="83">
                  <c:v>0.41302049400195096</c:v>
                </c:pt>
                <c:pt idx="84">
                  <c:v>0.42321433171334555</c:v>
                </c:pt>
                <c:pt idx="85">
                  <c:v>0.4335596872743257</c:v>
                </c:pt>
                <c:pt idx="86">
                  <c:v>0.44405775308180867</c:v>
                </c:pt>
                <c:pt idx="87">
                  <c:v>0.45470974450558166</c:v>
                </c:pt>
                <c:pt idx="88">
                  <c:v>0.46551690026855941</c:v>
                </c:pt>
                <c:pt idx="89">
                  <c:v>0.47648048283655176</c:v>
                </c:pt>
                <c:pt idx="90">
                  <c:v>0.48760177881777567</c:v>
                </c:pt>
                <c:pt idx="91">
                  <c:v>0.4988820993723766</c:v>
                </c:pt>
                <c:pt idx="92">
                  <c:v>0.51032278063219827</c:v>
                </c:pt>
                <c:pt idx="93">
                  <c:v>0.52192518413108513</c:v>
                </c:pt>
                <c:pt idx="94">
                  <c:v>0.53369069724598062</c:v>
                </c:pt>
                <c:pt idx="95">
                  <c:v>0.54562073364910901</c:v>
                </c:pt>
                <c:pt idx="96">
                  <c:v>0.5577167337715323</c:v>
                </c:pt>
                <c:pt idx="97">
                  <c:v>0.56998016527838824</c:v>
                </c:pt>
                <c:pt idx="98">
                  <c:v>0.5824125235561145</c:v>
                </c:pt>
                <c:pt idx="99">
                  <c:v>0.59501533221198899</c:v>
                </c:pt>
                <c:pt idx="100">
                  <c:v>0.60779014358631112</c:v>
                </c:pt>
              </c:numCache>
            </c:numRef>
          </c:yVal>
          <c:smooth val="0"/>
          <c:extLst>
            <c:ext xmlns:c16="http://schemas.microsoft.com/office/drawing/2014/chart" uri="{C3380CC4-5D6E-409C-BE32-E72D297353CC}">
              <c16:uniqueId val="{00000001-CD56-4A2A-9FDC-2F5EB8C6A064}"/>
            </c:ext>
          </c:extLst>
        </c:ser>
        <c:ser>
          <c:idx val="0"/>
          <c:order val="2"/>
          <c:tx>
            <c:v>Inductor Loss</c:v>
          </c:tx>
          <c:spPr>
            <a:ln w="31750">
              <a:solidFill>
                <a:srgbClr val="FF6600"/>
              </a:solidFill>
              <a:prstDash val="lgDash"/>
            </a:ln>
          </c:spPr>
          <c:marker>
            <c:symbol val="none"/>
          </c:marker>
          <c:xVal>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xVal>
          <c:yVal>
            <c:numRef>
              <c:f>'Efficiency Calculations'!$U$9:$U$109</c:f>
              <c:numCache>
                <c:formatCode>0.000</c:formatCode>
                <c:ptCount val="101"/>
                <c:pt idx="0">
                  <c:v>0.3041149250795257</c:v>
                </c:pt>
                <c:pt idx="1">
                  <c:v>0.30428651438086102</c:v>
                </c:pt>
                <c:pt idx="2">
                  <c:v>0.30480119147599066</c:v>
                </c:pt>
                <c:pt idx="3">
                  <c:v>0.30565903911324765</c:v>
                </c:pt>
                <c:pt idx="4">
                  <c:v>0.30686019523713487</c:v>
                </c:pt>
                <c:pt idx="5">
                  <c:v>0.30840485304378878</c:v>
                </c:pt>
                <c:pt idx="6">
                  <c:v>0.31029326105868671</c:v>
                </c:pt>
                <c:pt idx="7">
                  <c:v>0.3125257232366544</c:v>
                </c:pt>
                <c:pt idx="8">
                  <c:v>0.31510259908425003</c:v>
                </c:pt>
                <c:pt idx="9">
                  <c:v>0.31802430380461588</c:v>
                </c:pt>
                <c:pt idx="10">
                  <c:v>0.3212913084649075</c:v>
                </c:pt>
                <c:pt idx="11">
                  <c:v>0.32490414018642561</c:v>
                </c:pt>
                <c:pt idx="12">
                  <c:v>0.32886338235759538</c:v>
                </c:pt>
                <c:pt idx="13">
                  <c:v>0.33316967486995275</c:v>
                </c:pt>
                <c:pt idx="14">
                  <c:v>0.33782371437731723</c:v>
                </c:pt>
                <c:pt idx="15">
                  <c:v>0.3428262545783472</c:v>
                </c:pt>
                <c:pt idx="16">
                  <c:v>0.34817810652269243</c:v>
                </c:pt>
                <c:pt idx="17">
                  <c:v>0.35388013894097642</c:v>
                </c:pt>
                <c:pt idx="18">
                  <c:v>0.35993327859886048</c:v>
                </c:pt>
                <c:pt idx="19">
                  <c:v>0.36633851067546003</c:v>
                </c:pt>
                <c:pt idx="20">
                  <c:v>0.3730968791664025</c:v>
                </c:pt>
                <c:pt idx="21">
                  <c:v>0.38020948731183679</c:v>
                </c:pt>
                <c:pt idx="22">
                  <c:v>0.38767749804972435</c:v>
                </c:pt>
                <c:pt idx="23">
                  <c:v>0.3955021344947599</c:v>
                </c:pt>
                <c:pt idx="24">
                  <c:v>0.40368468044329486</c:v>
                </c:pt>
                <c:pt idx="25">
                  <c:v>0.41222648090465486</c:v>
                </c:pt>
                <c:pt idx="26">
                  <c:v>0.42112894265926476</c:v>
                </c:pt>
                <c:pt idx="27">
                  <c:v>0.43039353484401865</c:v>
                </c:pt>
                <c:pt idx="28">
                  <c:v>0.4400217895653537</c:v>
                </c:pt>
                <c:pt idx="29">
                  <c:v>0.45001530254051064</c:v>
                </c:pt>
                <c:pt idx="30">
                  <c:v>0.46037573376748842</c:v>
                </c:pt>
                <c:pt idx="31">
                  <c:v>0.47110480822422335</c:v>
                </c:pt>
                <c:pt idx="32">
                  <c:v>0.48220431659755297</c:v>
                </c:pt>
                <c:pt idx="33">
                  <c:v>0.4936761160425443</c:v>
                </c:pt>
                <c:pt idx="34">
                  <c:v>0.50552213097279985</c:v>
                </c:pt>
                <c:pt idx="35">
                  <c:v>0.51774435388237794</c:v>
                </c:pt>
                <c:pt idx="36">
                  <c:v>0.53034484619999467</c:v>
                </c:pt>
                <c:pt idx="37">
                  <c:v>0.54332573917620386</c:v>
                </c:pt>
                <c:pt idx="38">
                  <c:v>0.5566892348042809</c:v>
                </c:pt>
                <c:pt idx="39">
                  <c:v>0.57043760677556876</c:v>
                </c:pt>
                <c:pt idx="40">
                  <c:v>0.58457320147007796</c:v>
                </c:pt>
                <c:pt idx="41">
                  <c:v>0.59909843898316062</c:v>
                </c:pt>
                <c:pt idx="42">
                  <c:v>0.61401581418912243</c:v>
                </c:pt>
                <c:pt idx="43">
                  <c:v>0.62932789784266119</c:v>
                </c:pt>
                <c:pt idx="44">
                  <c:v>0.64503733771906702</c:v>
                </c:pt>
                <c:pt idx="45">
                  <c:v>0.66114685979415322</c:v>
                </c:pt>
                <c:pt idx="46">
                  <c:v>0.67765926946492339</c:v>
                </c:pt>
                <c:pt idx="47">
                  <c:v>0.69457745281203109</c:v>
                </c:pt>
                <c:pt idx="48">
                  <c:v>0.71190437790511973</c:v>
                </c:pt>
                <c:pt idx="49">
                  <c:v>0.7296430961521817</c:v>
                </c:pt>
                <c:pt idx="50">
                  <c:v>0.74779674369412008</c:v>
                </c:pt>
                <c:pt idx="51">
                  <c:v>0.76636854284574096</c:v>
                </c:pt>
                <c:pt idx="52">
                  <c:v>0.78536180358445873</c:v>
                </c:pt>
                <c:pt idx="53">
                  <c:v>0.80477992508804219</c:v>
                </c:pt>
                <c:pt idx="54">
                  <c:v>0.82462639732278709</c:v>
                </c:pt>
                <c:pt idx="55">
                  <c:v>0.8449048026835535</c:v>
                </c:pt>
                <c:pt idx="56">
                  <c:v>0.86561881768716298</c:v>
                </c:pt>
                <c:pt idx="57">
                  <c:v>0.88677221472071499</c:v>
                </c:pt>
                <c:pt idx="58">
                  <c:v>0.908368863846436</c:v>
                </c:pt>
                <c:pt idx="59">
                  <c:v>0.93041273466474639</c:v>
                </c:pt>
                <c:pt idx="60">
                  <c:v>0.95290789823729627</c:v>
                </c:pt>
                <c:pt idx="61">
                  <c:v>0.97585852907178272</c:v>
                </c:pt>
                <c:pt idx="62">
                  <c:v>0.99926890717045069</c:v>
                </c:pt>
                <c:pt idx="63">
                  <c:v>1.0231434201442366</c:v>
                </c:pt>
                <c:pt idx="64">
                  <c:v>1.0474865653946066</c:v>
                </c:pt>
                <c:pt idx="65">
                  <c:v>1.0723029523652126</c:v>
                </c:pt>
                <c:pt idx="66">
                  <c:v>1.0975973048655898</c:v>
                </c:pt>
                <c:pt idx="67">
                  <c:v>1.1233744634691916</c:v>
                </c:pt>
                <c:pt idx="68">
                  <c:v>1.1496393879881592</c:v>
                </c:pt>
                <c:pt idx="69">
                  <c:v>1.1763971600273275</c:v>
                </c:pt>
                <c:pt idx="70">
                  <c:v>1.2036529856200544</c:v>
                </c:pt>
                <c:pt idx="71">
                  <c:v>1.2314121979485768</c:v>
                </c:pt>
                <c:pt idx="72">
                  <c:v>1.2596802601517103</c:v>
                </c:pt>
                <c:pt idx="73">
                  <c:v>1.2884627682228149</c:v>
                </c:pt>
                <c:pt idx="74">
                  <c:v>1.3177654540010719</c:v>
                </c:pt>
                <c:pt idx="75">
                  <c:v>1.3475941882592537</c:v>
                </c:pt>
                <c:pt idx="76">
                  <c:v>1.3779549838912839</c:v>
                </c:pt>
                <c:pt idx="77">
                  <c:v>1.4088539992030338</c:v>
                </c:pt>
                <c:pt idx="78">
                  <c:v>1.4402975413099421</c:v>
                </c:pt>
                <c:pt idx="79">
                  <c:v>1.4722920696451893</c:v>
                </c:pt>
                <c:pt idx="80">
                  <c:v>1.504844199582331</c:v>
                </c:pt>
                <c:pt idx="81">
                  <c:v>1.5379607061764362</c:v>
                </c:pt>
                <c:pt idx="82">
                  <c:v>1.5716485280279706</c:v>
                </c:pt>
                <c:pt idx="83">
                  <c:v>1.605914771273834</c:v>
                </c:pt>
                <c:pt idx="84">
                  <c:v>1.6407667137101491</c:v>
                </c:pt>
                <c:pt idx="85">
                  <c:v>1.6762118090515996</c:v>
                </c:pt>
                <c:pt idx="86">
                  <c:v>1.7122576913323293</c:v>
                </c:pt>
                <c:pt idx="87">
                  <c:v>1.7489121794536182</c:v>
                </c:pt>
                <c:pt idx="88">
                  <c:v>1.7861832818837846</c:v>
                </c:pt>
                <c:pt idx="89">
                  <c:v>1.8240792015160117</c:v>
                </c:pt>
                <c:pt idx="90">
                  <c:v>1.8626083406900245</c:v>
                </c:pt>
                <c:pt idx="91">
                  <c:v>1.9017793063838349</c:v>
                </c:pt>
                <c:pt idx="92">
                  <c:v>1.9416009155820193</c:v>
                </c:pt>
                <c:pt idx="93">
                  <c:v>1.9820822008273069</c:v>
                </c:pt>
                <c:pt idx="94">
                  <c:v>2.0232324159625446</c:v>
                </c:pt>
                <c:pt idx="95">
                  <c:v>2.0650610420704325</c:v>
                </c:pt>
                <c:pt idx="96">
                  <c:v>2.1075777936187552</c:v>
                </c:pt>
                <c:pt idx="97">
                  <c:v>2.1507926248191915</c:v>
                </c:pt>
                <c:pt idx="98">
                  <c:v>2.1947157362081491</c:v>
                </c:pt>
                <c:pt idx="99">
                  <c:v>2.2393575814584681</c:v>
                </c:pt>
                <c:pt idx="100">
                  <c:v>2.284728874431238</c:v>
                </c:pt>
              </c:numCache>
            </c:numRef>
          </c:yVal>
          <c:smooth val="0"/>
          <c:extLst>
            <c:ext xmlns:c16="http://schemas.microsoft.com/office/drawing/2014/chart" uri="{C3380CC4-5D6E-409C-BE32-E72D297353CC}">
              <c16:uniqueId val="{00000002-CD56-4A2A-9FDC-2F5EB8C6A064}"/>
            </c:ext>
          </c:extLst>
        </c:ser>
        <c:dLbls>
          <c:showLegendKey val="0"/>
          <c:showVal val="0"/>
          <c:showCatName val="0"/>
          <c:showSerName val="0"/>
          <c:showPercent val="0"/>
          <c:showBubbleSize val="0"/>
        </c:dLbls>
        <c:axId val="196609536"/>
        <c:axId val="196611456"/>
      </c:scatterChart>
      <c:valAx>
        <c:axId val="196609536"/>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6611456"/>
        <c:crosses val="autoZero"/>
        <c:crossBetween val="midCat"/>
      </c:valAx>
      <c:valAx>
        <c:axId val="196611456"/>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660953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62383745388469802"/>
          <c:y val="1.0080645161290322E-2"/>
          <c:w val="0.35068494759833341"/>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 MOSFET Temp Rise</a:t>
            </a:r>
          </a:p>
        </c:rich>
      </c:tx>
      <c:layout>
        <c:manualLayout>
          <c:xMode val="edge"/>
          <c:yMode val="edge"/>
          <c:x val="0.10222965146116514"/>
          <c:y val="5.3971744656178336E-2"/>
        </c:manualLayout>
      </c:layout>
      <c:overlay val="0"/>
      <c:spPr>
        <a:noFill/>
        <a:ln w="25400">
          <a:noFill/>
        </a:ln>
      </c:spPr>
    </c:title>
    <c:autoTitleDeleted val="0"/>
    <c:plotArea>
      <c:layout>
        <c:manualLayout>
          <c:layoutTarget val="inner"/>
          <c:xMode val="edge"/>
          <c:yMode val="edge"/>
          <c:x val="0.10064104795743185"/>
          <c:y val="0.15757606845026328"/>
          <c:w val="0.85614122031885154"/>
          <c:h val="0.71717313204926625"/>
        </c:manualLayout>
      </c:layout>
      <c:scatterChart>
        <c:scatterStyle val="lineMarker"/>
        <c:varyColors val="0"/>
        <c:ser>
          <c:idx val="0"/>
          <c:order val="0"/>
          <c:tx>
            <c:strRef>
              <c:f>'Ch2 Efficiency Calculations'!$AW$8</c:f>
              <c:strCache>
                <c:ptCount val="1"/>
                <c:pt idx="0">
                  <c:v>Buck ''CONTROL'' MOSFET Temp Rise</c:v>
                </c:pt>
              </c:strCache>
            </c:strRef>
          </c:tx>
          <c:spPr>
            <a:ln w="31750">
              <a:solidFill>
                <a:srgbClr val="000080"/>
              </a:solidFill>
              <a:prstDash val="dash"/>
            </a:ln>
          </c:spPr>
          <c:marker>
            <c:symbol val="none"/>
          </c:marker>
          <c:xVal>
            <c:numRef>
              <c:f>'Ch2 Efficiency Calculations'!$J$9:$J$109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xVal>
          <c:yVal>
            <c:numRef>
              <c:f>'Ch2 Efficiency Calculations'!$AW$9:$AW$109</c:f>
              <c:numCache>
                <c:formatCode>0.0</c:formatCode>
                <c:ptCount val="101"/>
                <c:pt idx="0">
                  <c:v>0.55457098364671975</c:v>
                </c:pt>
                <c:pt idx="1">
                  <c:v>0.77679391608755732</c:v>
                </c:pt>
                <c:pt idx="2">
                  <c:v>0.99974961691467124</c:v>
                </c:pt>
                <c:pt idx="3">
                  <c:v>1.4069420053898112</c:v>
                </c:pt>
                <c:pt idx="4">
                  <c:v>1.9235442462423096</c:v>
                </c:pt>
                <c:pt idx="5">
                  <c:v>2.4214869482820869</c:v>
                </c:pt>
                <c:pt idx="6">
                  <c:v>2.9007727310387859</c:v>
                </c:pt>
                <c:pt idx="7">
                  <c:v>3.3614038882987796</c:v>
                </c:pt>
                <c:pt idx="8">
                  <c:v>3.8033823878979036</c:v>
                </c:pt>
                <c:pt idx="9">
                  <c:v>4.2267098714998896</c:v>
                </c:pt>
                <c:pt idx="10">
                  <c:v>4.6313876543605117</c:v>
                </c:pt>
                <c:pt idx="11">
                  <c:v>5.0174167250773758</c:v>
                </c:pt>
                <c:pt idx="12">
                  <c:v>5.3847977453253648</c:v>
                </c:pt>
                <c:pt idx="13">
                  <c:v>5.733531049577639</c:v>
                </c:pt>
                <c:pt idx="14">
                  <c:v>6.0636166448122362</c:v>
                </c:pt>
                <c:pt idx="15">
                  <c:v>6.3750542102041452</c:v>
                </c:pt>
                <c:pt idx="16">
                  <c:v>6.6678430968029021</c:v>
                </c:pt>
                <c:pt idx="17">
                  <c:v>6.941982327195622</c:v>
                </c:pt>
                <c:pt idx="18">
                  <c:v>7.1974705951554094</c:v>
                </c:pt>
                <c:pt idx="19">
                  <c:v>7.4343062652751657</c:v>
                </c:pt>
                <c:pt idx="20">
                  <c:v>7.6524873725866911</c:v>
                </c:pt>
                <c:pt idx="21">
                  <c:v>7.8520116221650573</c:v>
                </c:pt>
                <c:pt idx="22">
                  <c:v>8.0328763887182415</c:v>
                </c:pt>
                <c:pt idx="23">
                  <c:v>8.1950787161619125</c:v>
                </c:pt>
                <c:pt idx="24">
                  <c:v>8.3386153171793485</c:v>
                </c:pt>
                <c:pt idx="25">
                  <c:v>8.4634825727664698</c:v>
                </c:pt>
                <c:pt idx="26">
                  <c:v>8.5696765317618677</c:v>
                </c:pt>
                <c:pt idx="27">
                  <c:v>8.6571929103618643</c:v>
                </c:pt>
                <c:pt idx="28">
                  <c:v>8.7260270916204377</c:v>
                </c:pt>
                <c:pt idx="29">
                  <c:v>8.7761741249340961</c:v>
                </c:pt>
                <c:pt idx="30">
                  <c:v>8.8076287255114938</c:v>
                </c:pt>
                <c:pt idx="31">
                  <c:v>8.8203852738278847</c:v>
                </c:pt>
                <c:pt idx="32">
                  <c:v>8.8144378150642222</c:v>
                </c:pt>
                <c:pt idx="33">
                  <c:v>8.7897800585309351</c:v>
                </c:pt>
                <c:pt idx="34">
                  <c:v>8.746405377076254</c:v>
                </c:pt>
                <c:pt idx="35">
                  <c:v>8.6843068064791069</c:v>
                </c:pt>
                <c:pt idx="36">
                  <c:v>8.6034770448264322</c:v>
                </c:pt>
                <c:pt idx="37">
                  <c:v>8.5039084518748886</c:v>
                </c:pt>
                <c:pt idx="38">
                  <c:v>8.3855930483968919</c:v>
                </c:pt>
                <c:pt idx="39">
                  <c:v>8.4754022321162115</c:v>
                </c:pt>
                <c:pt idx="40">
                  <c:v>8.7367281942287587</c:v>
                </c:pt>
                <c:pt idx="41">
                  <c:v>8.9988343098278669</c:v>
                </c:pt>
                <c:pt idx="42">
                  <c:v>9.2617222080834516</c:v>
                </c:pt>
                <c:pt idx="43">
                  <c:v>9.525393533545973</c:v>
                </c:pt>
                <c:pt idx="44">
                  <c:v>9.7898499462153996</c:v>
                </c:pt>
                <c:pt idx="45">
                  <c:v>10.055093121610891</c:v>
                </c:pt>
                <c:pt idx="46">
                  <c:v>10.321124750841332</c:v>
                </c:pt>
                <c:pt idx="47">
                  <c:v>10.587946540676615</c:v>
                </c:pt>
                <c:pt idx="48">
                  <c:v>10.855560213619778</c:v>
                </c:pt>
                <c:pt idx="49">
                  <c:v>11.123967507979899</c:v>
                </c:pt>
                <c:pt idx="50">
                  <c:v>11.393170177945846</c:v>
                </c:pt>
                <c:pt idx="51">
                  <c:v>11.663169993660841</c:v>
                </c:pt>
                <c:pt idx="52">
                  <c:v>11.933968741297845</c:v>
                </c:pt>
                <c:pt idx="53">
                  <c:v>12.205568223135781</c:v>
                </c:pt>
                <c:pt idx="54">
                  <c:v>12.477970257636599</c:v>
                </c:pt>
                <c:pt idx="55">
                  <c:v>12.751176679523196</c:v>
                </c:pt>
                <c:pt idx="56">
                  <c:v>13.025189339858191</c:v>
                </c:pt>
                <c:pt idx="57">
                  <c:v>13.300010106123541</c:v>
                </c:pt>
                <c:pt idx="58">
                  <c:v>13.575640862301057</c:v>
                </c:pt>
                <c:pt idx="59">
                  <c:v>13.852083508953767</c:v>
                </c:pt>
                <c:pt idx="60">
                  <c:v>14.129339963308176</c:v>
                </c:pt>
                <c:pt idx="61">
                  <c:v>14.407412159337428</c:v>
                </c:pt>
                <c:pt idx="62">
                  <c:v>14.686302047845315</c:v>
                </c:pt>
                <c:pt idx="63">
                  <c:v>14.966011596551262</c:v>
                </c:pt>
                <c:pt idx="64">
                  <c:v>15.246542790176159</c:v>
                </c:pt>
                <c:pt idx="65">
                  <c:v>15.527897630529147</c:v>
                </c:pt>
                <c:pt idx="66">
                  <c:v>15.810078136595308</c:v>
                </c:pt>
                <c:pt idx="67">
                  <c:v>16.093086344624322</c:v>
                </c:pt>
                <c:pt idx="68">
                  <c:v>16.376924308220012</c:v>
                </c:pt>
                <c:pt idx="69">
                  <c:v>16.6615940984309</c:v>
                </c:pt>
                <c:pt idx="70">
                  <c:v>16.947097803841672</c:v>
                </c:pt>
                <c:pt idx="71">
                  <c:v>17.233437530665622</c:v>
                </c:pt>
                <c:pt idx="72">
                  <c:v>17.520615402838079</c:v>
                </c:pt>
                <c:pt idx="73">
                  <c:v>17.808633562110796</c:v>
                </c:pt>
                <c:pt idx="74">
                  <c:v>18.097494168147367</c:v>
                </c:pt>
                <c:pt idx="75">
                  <c:v>18.387199398619568</c:v>
                </c:pt>
                <c:pt idx="76">
                  <c:v>18.6777514493048</c:v>
                </c:pt>
                <c:pt idx="77">
                  <c:v>18.96915253418447</c:v>
                </c:pt>
                <c:pt idx="78">
                  <c:v>19.261404885543413</c:v>
                </c:pt>
                <c:pt idx="79">
                  <c:v>19.5545107540704</c:v>
                </c:pt>
                <c:pt idx="80">
                  <c:v>19.848472408959584</c:v>
                </c:pt>
                <c:pt idx="81">
                  <c:v>20.143292138013113</c:v>
                </c:pt>
                <c:pt idx="82">
                  <c:v>20.438972247744708</c:v>
                </c:pt>
                <c:pt idx="83">
                  <c:v>20.735515063484375</c:v>
                </c:pt>
                <c:pt idx="84">
                  <c:v>21.032922929484137</c:v>
                </c:pt>
                <c:pt idx="85">
                  <c:v>21.331198209024922</c:v>
                </c:pt>
                <c:pt idx="86">
                  <c:v>21.630343284524493</c:v>
                </c:pt>
                <c:pt idx="87">
                  <c:v>21.930360557646502</c:v>
                </c:pt>
                <c:pt idx="88">
                  <c:v>22.231252449410665</c:v>
                </c:pt>
                <c:pt idx="89">
                  <c:v>22.533021400304065</c:v>
                </c:pt>
                <c:pt idx="90">
                  <c:v>22.835669870393602</c:v>
                </c:pt>
                <c:pt idx="91">
                  <c:v>23.139200339439558</c:v>
                </c:pt>
                <c:pt idx="92">
                  <c:v>23.443615307010369</c:v>
                </c:pt>
                <c:pt idx="93">
                  <c:v>23.748917292598506</c:v>
                </c:pt>
                <c:pt idx="94">
                  <c:v>24.055108835737585</c:v>
                </c:pt>
                <c:pt idx="95">
                  <c:v>24.362192496120656</c:v>
                </c:pt>
                <c:pt idx="96">
                  <c:v>24.670170853719672</c:v>
                </c:pt>
                <c:pt idx="97">
                  <c:v>24.979046508906201</c:v>
                </c:pt>
                <c:pt idx="98">
                  <c:v>25.288822082573304</c:v>
                </c:pt>
                <c:pt idx="99">
                  <c:v>25.599500216258765</c:v>
                </c:pt>
                <c:pt idx="100">
                  <c:v>25.911083572269412</c:v>
                </c:pt>
              </c:numCache>
            </c:numRef>
          </c:yVal>
          <c:smooth val="0"/>
          <c:extLst>
            <c:ext xmlns:c16="http://schemas.microsoft.com/office/drawing/2014/chart" uri="{C3380CC4-5D6E-409C-BE32-E72D297353CC}">
              <c16:uniqueId val="{00000000-F506-44FF-8C40-0061493B9501}"/>
            </c:ext>
          </c:extLst>
        </c:ser>
        <c:ser>
          <c:idx val="1"/>
          <c:order val="1"/>
          <c:tx>
            <c:strRef>
              <c:f>'Ch2 Efficiency Calculations'!$AX$8</c:f>
              <c:strCache>
                <c:ptCount val="1"/>
                <c:pt idx="0">
                  <c:v>Buck ''SYNC'' MOSFET Temp Rise</c:v>
                </c:pt>
              </c:strCache>
            </c:strRef>
          </c:tx>
          <c:spPr>
            <a:ln w="25400">
              <a:solidFill>
                <a:srgbClr val="FF0000"/>
              </a:solidFill>
              <a:prstDash val="solid"/>
            </a:ln>
          </c:spPr>
          <c:marker>
            <c:symbol val="none"/>
          </c:marker>
          <c:xVal>
            <c:numRef>
              <c:f>'Ch2 Efficiency Calculations'!$J$9:$J$109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xVal>
          <c:yVal>
            <c:numRef>
              <c:f>'Ch2 Efficiency Calculations'!$AX$9:$AX$109</c:f>
              <c:numCache>
                <c:formatCode>0.0</c:formatCode>
                <c:ptCount val="101"/>
                <c:pt idx="0">
                  <c:v>0.97258064765746044</c:v>
                </c:pt>
                <c:pt idx="1">
                  <c:v>1.0583318034474192</c:v>
                </c:pt>
                <c:pt idx="2">
                  <c:v>1.1465354355907726</c:v>
                </c:pt>
                <c:pt idx="3">
                  <c:v>1.2371920797552649</c:v>
                </c:pt>
                <c:pt idx="4">
                  <c:v>1.3303024606045486</c:v>
                </c:pt>
                <c:pt idx="5">
                  <c:v>1.4258674919043144</c:v>
                </c:pt>
                <c:pt idx="6">
                  <c:v>1.5238882766648481</c:v>
                </c:pt>
                <c:pt idx="7">
                  <c:v>1.624366107320081</c:v>
                </c:pt>
                <c:pt idx="8">
                  <c:v>1.7273024659431715</c:v>
                </c:pt>
                <c:pt idx="9">
                  <c:v>1.8326990244987043</c:v>
                </c:pt>
                <c:pt idx="10">
                  <c:v>1.9405576451315862</c:v>
                </c:pt>
                <c:pt idx="11">
                  <c:v>2.0508803804927389</c:v>
                </c:pt>
                <c:pt idx="12">
                  <c:v>2.1636694741016895</c:v>
                </c:pt>
                <c:pt idx="13">
                  <c:v>2.2789273607462088</c:v>
                </c:pt>
                <c:pt idx="14">
                  <c:v>2.3966566669190996</c:v>
                </c:pt>
                <c:pt idx="15">
                  <c:v>2.5168602112923213</c:v>
                </c:pt>
                <c:pt idx="16">
                  <c:v>2.6395410052285908</c:v>
                </c:pt>
                <c:pt idx="17">
                  <c:v>2.7647022533306567</c:v>
                </c:pt>
                <c:pt idx="18">
                  <c:v>2.8923473540284217</c:v>
                </c:pt>
                <c:pt idx="19">
                  <c:v>3.0224799002041367</c:v>
                </c:pt>
                <c:pt idx="20">
                  <c:v>3.15510367985588</c:v>
                </c:pt>
                <c:pt idx="21">
                  <c:v>3.2902226767995484</c:v>
                </c:pt>
                <c:pt idx="22">
                  <c:v>3.4278410714096275</c:v>
                </c:pt>
                <c:pt idx="23">
                  <c:v>3.567963241398989</c:v>
                </c:pt>
                <c:pt idx="24">
                  <c:v>3.7105937626379952</c:v>
                </c:pt>
                <c:pt idx="25">
                  <c:v>3.8557374100132162</c:v>
                </c:pt>
                <c:pt idx="26">
                  <c:v>4.0033991583260482</c:v>
                </c:pt>
                <c:pt idx="27">
                  <c:v>4.1535841832315725</c:v>
                </c:pt>
                <c:pt idx="28">
                  <c:v>4.3062978622179795</c:v>
                </c:pt>
                <c:pt idx="29">
                  <c:v>4.4615457756269352</c:v>
                </c:pt>
                <c:pt idx="30">
                  <c:v>4.6193337077152137</c:v>
                </c:pt>
                <c:pt idx="31">
                  <c:v>4.7796676477580364</c:v>
                </c:pt>
                <c:pt idx="32">
                  <c:v>4.9425537911944852</c:v>
                </c:pt>
                <c:pt idx="33">
                  <c:v>5.1079985408154043</c:v>
                </c:pt>
                <c:pt idx="34">
                  <c:v>5.2760085079942476</c:v>
                </c:pt>
                <c:pt idx="35">
                  <c:v>5.4465905139613051</c:v>
                </c:pt>
                <c:pt idx="36">
                  <c:v>5.6197515911217888</c:v>
                </c:pt>
                <c:pt idx="37">
                  <c:v>5.7954989844182476</c:v>
                </c:pt>
                <c:pt idx="38">
                  <c:v>5.9738401527378304</c:v>
                </c:pt>
                <c:pt idx="39">
                  <c:v>6.1603801336036614</c:v>
                </c:pt>
                <c:pt idx="40">
                  <c:v>6.3538546436930101</c:v>
                </c:pt>
                <c:pt idx="41">
                  <c:v>6.5499571152988905</c:v>
                </c:pt>
                <c:pt idx="42">
                  <c:v>6.7486962807734123</c:v>
                </c:pt>
                <c:pt idx="43">
                  <c:v>6.9500810958190762</c:v>
                </c:pt>
                <c:pt idx="44">
                  <c:v>7.154120741233589</c:v>
                </c:pt>
                <c:pt idx="45">
                  <c:v>7.3608246247040832</c:v>
                </c:pt>
                <c:pt idx="46">
                  <c:v>7.5702023826514404</c:v>
                </c:pt>
                <c:pt idx="47">
                  <c:v>7.7822638821253776</c:v>
                </c:pt>
                <c:pt idx="48">
                  <c:v>7.9970192227510299</c:v>
                </c:pt>
                <c:pt idx="49">
                  <c:v>8.2144787387277649</c:v>
                </c:pt>
                <c:pt idx="50">
                  <c:v>8.4346530008810277</c:v>
                </c:pt>
                <c:pt idx="51">
                  <c:v>8.6575528187679076</c:v>
                </c:pt>
                <c:pt idx="52">
                  <c:v>8.8831892428373695</c:v>
                </c:pt>
                <c:pt idx="53">
                  <c:v>9.1115735666458431</c:v>
                </c:pt>
                <c:pt idx="54">
                  <c:v>9.3427173291291492</c:v>
                </c:pt>
                <c:pt idx="55">
                  <c:v>9.5766323169315406</c:v>
                </c:pt>
                <c:pt idx="56">
                  <c:v>9.8133305667928514</c:v>
                </c:pt>
                <c:pt idx="57">
                  <c:v>10.052824367994635</c:v>
                </c:pt>
                <c:pt idx="58">
                  <c:v>10.295126264866271</c:v>
                </c:pt>
                <c:pt idx="59">
                  <c:v>10.54024905935202</c:v>
                </c:pt>
                <c:pt idx="60">
                  <c:v>10.788205813640067</c:v>
                </c:pt>
                <c:pt idx="61">
                  <c:v>11.039009852854551</c:v>
                </c:pt>
                <c:pt idx="62">
                  <c:v>11.292674767811725</c:v>
                </c:pt>
                <c:pt idx="63">
                  <c:v>11.549214417841256</c:v>
                </c:pt>
                <c:pt idx="64">
                  <c:v>11.80864293367393</c:v>
                </c:pt>
                <c:pt idx="65">
                  <c:v>12.070974720396759</c:v>
                </c:pt>
                <c:pt idx="66">
                  <c:v>12.33622446047687</c:v>
                </c:pt>
                <c:pt idx="67">
                  <c:v>12.604407116855281</c:v>
                </c:pt>
                <c:pt idx="68">
                  <c:v>12.875537936111881</c:v>
                </c:pt>
                <c:pt idx="69">
                  <c:v>13.149632451702889</c:v>
                </c:pt>
                <c:pt idx="70">
                  <c:v>13.426706487272206</c:v>
                </c:pt>
                <c:pt idx="71">
                  <c:v>13.706776160037871</c:v>
                </c:pt>
                <c:pt idx="72">
                  <c:v>13.989857884255269</c:v>
                </c:pt>
                <c:pt idx="73">
                  <c:v>14.275968374758278</c:v>
                </c:pt>
                <c:pt idx="74">
                  <c:v>14.565124650580112</c:v>
                </c:pt>
                <c:pt idx="75">
                  <c:v>14.857344038655082</c:v>
                </c:pt>
                <c:pt idx="76">
                  <c:v>15.15264417760323</c:v>
                </c:pt>
                <c:pt idx="77">
                  <c:v>15.451043021599055</c:v>
                </c:pt>
                <c:pt idx="78">
                  <c:v>15.75255884432627</c:v>
                </c:pt>
                <c:pt idx="79">
                  <c:v>16.057210243020204</c:v>
                </c:pt>
                <c:pt idx="80">
                  <c:v>16.365016142599558</c:v>
                </c:pt>
                <c:pt idx="81">
                  <c:v>16.675995799889371</c:v>
                </c:pt>
                <c:pt idx="82">
                  <c:v>16.990168807937025</c:v>
                </c:pt>
                <c:pt idx="83">
                  <c:v>17.307555100423194</c:v>
                </c:pt>
                <c:pt idx="84">
                  <c:v>17.628174956169644</c:v>
                </c:pt>
                <c:pt idx="85">
                  <c:v>17.952049003745962</c:v>
                </c:pt>
                <c:pt idx="86">
                  <c:v>18.279198226177236</c:v>
                </c:pt>
                <c:pt idx="87">
                  <c:v>18.60964396575471</c:v>
                </c:pt>
                <c:pt idx="88">
                  <c:v>18.943407928951782</c:v>
                </c:pt>
                <c:pt idx="89">
                  <c:v>19.280512191447372</c:v>
                </c:pt>
                <c:pt idx="90">
                  <c:v>19.620979203259111</c:v>
                </c:pt>
                <c:pt idx="91">
                  <c:v>19.964831793988573</c:v>
                </c:pt>
                <c:pt idx="92">
                  <c:v>20.312093178181094</c:v>
                </c:pt>
                <c:pt idx="93">
                  <c:v>20.662786960802503</c:v>
                </c:pt>
                <c:pt idx="94">
                  <c:v>21.016937142835577</c:v>
                </c:pt>
                <c:pt idx="95">
                  <c:v>21.374568126998518</c:v>
                </c:pt>
                <c:pt idx="96">
                  <c:v>21.735704723588388</c:v>
                </c:pt>
                <c:pt idx="97">
                  <c:v>22.100372156452284</c:v>
                </c:pt>
                <c:pt idx="98">
                  <c:v>22.468596069088793</c:v>
                </c:pt>
                <c:pt idx="99">
                  <c:v>22.840402530883178</c:v>
                </c:pt>
                <c:pt idx="100">
                  <c:v>23.215818043478745</c:v>
                </c:pt>
              </c:numCache>
            </c:numRef>
          </c:yVal>
          <c:smooth val="0"/>
          <c:extLst>
            <c:ext xmlns:c16="http://schemas.microsoft.com/office/drawing/2014/chart" uri="{C3380CC4-5D6E-409C-BE32-E72D297353CC}">
              <c16:uniqueId val="{00000001-F506-44FF-8C40-0061493B9501}"/>
            </c:ext>
          </c:extLst>
        </c:ser>
        <c:dLbls>
          <c:showLegendKey val="0"/>
          <c:showVal val="0"/>
          <c:showCatName val="0"/>
          <c:showSerName val="0"/>
          <c:showPercent val="0"/>
          <c:showBubbleSize val="0"/>
        </c:dLbls>
        <c:axId val="152240896"/>
        <c:axId val="152242816"/>
      </c:scatterChart>
      <c:valAx>
        <c:axId val="152240896"/>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052333022741466"/>
              <c:y val="0.937985266634570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52242816"/>
        <c:crosses val="autoZero"/>
        <c:crossBetween val="midCat"/>
      </c:valAx>
      <c:valAx>
        <c:axId val="152242816"/>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Temperature (</a:t>
                </a:r>
                <a:r>
                  <a:rPr lang="en-US" sz="1100">
                    <a:sym typeface="Symbol"/>
                  </a:rPr>
                  <a:t></a:t>
                </a:r>
                <a:r>
                  <a:rPr lang="en-US" sz="1100"/>
                  <a:t>C)</a:t>
                </a:r>
              </a:p>
            </c:rich>
          </c:tx>
          <c:layout>
            <c:manualLayout>
              <c:xMode val="edge"/>
              <c:yMode val="edge"/>
              <c:x val="1.3813487878384515E-2"/>
              <c:y val="0.4038499329595635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5224089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t"/>
      <c:layout>
        <c:manualLayout>
          <c:xMode val="edge"/>
          <c:yMode val="edge"/>
          <c:x val="0.60965366061085946"/>
          <c:y val="2.0620499360656842E-2"/>
          <c:w val="0.351320840481532"/>
          <c:h val="9.8607526130239626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MOSFET &amp;</a:t>
            </a:r>
            <a:r>
              <a:rPr lang="en-US" sz="1200" baseline="0"/>
              <a:t> Inductor</a:t>
            </a:r>
            <a:r>
              <a:rPr lang="en-US" sz="1200"/>
              <a:t> Power Dissipation</a:t>
            </a:r>
          </a:p>
        </c:rich>
      </c:tx>
      <c:layout>
        <c:manualLayout>
          <c:xMode val="edge"/>
          <c:yMode val="edge"/>
          <c:x val="0.13740051025090394"/>
          <c:y val="4.9059139784946235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strRef>
              <c:f>'Ch2 Efficiency Calculations'!$BC$8</c:f>
              <c:strCache>
                <c:ptCount val="1"/>
                <c:pt idx="0">
                  <c:v>Control MOSFET Loss</c:v>
                </c:pt>
              </c:strCache>
            </c:strRef>
          </c:tx>
          <c:spPr>
            <a:ln w="25400">
              <a:solidFill>
                <a:srgbClr val="000080"/>
              </a:solidFill>
              <a:prstDash val="dash"/>
            </a:ln>
          </c:spPr>
          <c:marker>
            <c:symbol val="none"/>
          </c:marker>
          <c:xVal>
            <c:numRef>
              <c:f>'Ch2 Efficiency Calculations'!$J$9:$J$109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xVal>
          <c:yVal>
            <c:numRef>
              <c:f>'Ch2 Efficiency Calculations'!$BC$9:$BC$109</c:f>
              <c:numCache>
                <c:formatCode>0.000</c:formatCode>
                <c:ptCount val="101"/>
                <c:pt idx="0">
                  <c:v>1.4593973253861045E-2</c:v>
                </c:pt>
                <c:pt idx="1">
                  <c:v>2.0441945160198878E-2</c:v>
                </c:pt>
                <c:pt idx="2">
                  <c:v>2.6309200445122926E-2</c:v>
                </c:pt>
                <c:pt idx="3">
                  <c:v>3.7024789615521345E-2</c:v>
                </c:pt>
                <c:pt idx="4">
                  <c:v>5.0619585427429198E-2</c:v>
                </c:pt>
                <c:pt idx="5">
                  <c:v>6.3723340744265444E-2</c:v>
                </c:pt>
                <c:pt idx="6">
                  <c:v>7.6336124501020675E-2</c:v>
                </c:pt>
                <c:pt idx="7">
                  <c:v>8.8457997060494203E-2</c:v>
                </c:pt>
                <c:pt idx="8">
                  <c:v>0.10008901020783957</c:v>
                </c:pt>
                <c:pt idx="9">
                  <c:v>0.11122920714473394</c:v>
                </c:pt>
                <c:pt idx="10">
                  <c:v>0.12187862248317136</c:v>
                </c:pt>
                <c:pt idx="11">
                  <c:v>0.13203728223887831</c:v>
                </c:pt>
                <c:pt idx="12">
                  <c:v>0.1417052038243517</c:v>
                </c:pt>
                <c:pt idx="13">
                  <c:v>0.15088239604151682</c:v>
                </c:pt>
                <c:pt idx="14">
                  <c:v>0.15956885907400623</c:v>
                </c:pt>
                <c:pt idx="15">
                  <c:v>0.16776458447905646</c:v>
                </c:pt>
                <c:pt idx="16">
                  <c:v>0.17546955517902374</c:v>
                </c:pt>
                <c:pt idx="17">
                  <c:v>0.18268374545251637</c:v>
                </c:pt>
                <c:pt idx="18">
                  <c:v>0.18940712092514236</c:v>
                </c:pt>
                <c:pt idx="19">
                  <c:v>0.19563963855987279</c:v>
                </c:pt>
                <c:pt idx="20">
                  <c:v>0.20138124664701818</c:v>
                </c:pt>
                <c:pt idx="21">
                  <c:v>0.20663188479381731</c:v>
                </c:pt>
                <c:pt idx="22">
                  <c:v>0.21139148391363793</c:v>
                </c:pt>
                <c:pt idx="23">
                  <c:v>0.21565996621478717</c:v>
                </c:pt>
                <c:pt idx="24">
                  <c:v>0.21943724518893024</c:v>
                </c:pt>
                <c:pt idx="25">
                  <c:v>0.22272322559911761</c:v>
                </c:pt>
                <c:pt idx="26">
                  <c:v>0.22551780346741757</c:v>
                </c:pt>
                <c:pt idx="27">
                  <c:v>0.22782086606215432</c:v>
                </c:pt>
                <c:pt idx="28">
                  <c:v>0.22963229188474837</c:v>
                </c:pt>
                <c:pt idx="29">
                  <c:v>0.23095195065616042</c:v>
                </c:pt>
                <c:pt idx="30">
                  <c:v>0.23177970330293404</c:v>
                </c:pt>
                <c:pt idx="31">
                  <c:v>0.23211540194283906</c:v>
                </c:pt>
                <c:pt idx="32">
                  <c:v>0.2319588898701111</c:v>
                </c:pt>
                <c:pt idx="33">
                  <c:v>0.23131000154028775</c:v>
                </c:pt>
                <c:pt idx="34">
                  <c:v>0.23016856255463827</c:v>
                </c:pt>
                <c:pt idx="35">
                  <c:v>0.22853438964418704</c:v>
                </c:pt>
                <c:pt idx="36">
                  <c:v>0.22640729065332718</c:v>
                </c:pt>
                <c:pt idx="37">
                  <c:v>0.22378706452302338</c:v>
                </c:pt>
                <c:pt idx="38">
                  <c:v>0.22067350127360241</c:v>
                </c:pt>
                <c:pt idx="39">
                  <c:v>0.22303690084516348</c:v>
                </c:pt>
                <c:pt idx="40">
                  <c:v>0.22991389984812521</c:v>
                </c:pt>
                <c:pt idx="41">
                  <c:v>0.23681142920599652</c:v>
                </c:pt>
                <c:pt idx="42">
                  <c:v>0.24372953179166976</c:v>
                </c:pt>
                <c:pt idx="43">
                  <c:v>0.25066825088278877</c:v>
                </c:pt>
                <c:pt idx="44">
                  <c:v>0.25762763016356316</c:v>
                </c:pt>
                <c:pt idx="45">
                  <c:v>0.26460771372660241</c:v>
                </c:pt>
                <c:pt idx="46">
                  <c:v>0.27160854607477186</c:v>
                </c:pt>
                <c:pt idx="47">
                  <c:v>0.27863017212306884</c:v>
                </c:pt>
                <c:pt idx="48">
                  <c:v>0.2856726372005205</c:v>
                </c:pt>
                <c:pt idx="49">
                  <c:v>0.29273598705210258</c:v>
                </c:pt>
                <c:pt idx="50">
                  <c:v>0.29982026784068017</c:v>
                </c:pt>
                <c:pt idx="51">
                  <c:v>0.30692552614896951</c:v>
                </c:pt>
                <c:pt idx="52">
                  <c:v>0.31405180898152224</c:v>
                </c:pt>
                <c:pt idx="53">
                  <c:v>0.32119916376673108</c:v>
                </c:pt>
                <c:pt idx="54">
                  <c:v>0.32836763835885785</c:v>
                </c:pt>
                <c:pt idx="55">
                  <c:v>0.33555728104008409</c:v>
                </c:pt>
                <c:pt idx="56">
                  <c:v>0.34276814052258398</c:v>
                </c:pt>
                <c:pt idx="57">
                  <c:v>0.3500002659506195</c:v>
                </c:pt>
                <c:pt idx="58">
                  <c:v>0.3572537069026594</c:v>
                </c:pt>
                <c:pt idx="59">
                  <c:v>0.36452851339352016</c:v>
                </c:pt>
                <c:pt idx="60">
                  <c:v>0.37182473587653098</c:v>
                </c:pt>
                <c:pt idx="61">
                  <c:v>0.37914242524572178</c:v>
                </c:pt>
                <c:pt idx="62">
                  <c:v>0.38648163283803461</c:v>
                </c:pt>
                <c:pt idx="63">
                  <c:v>0.39384241043555951</c:v>
                </c:pt>
                <c:pt idx="64">
                  <c:v>0.40122481026779366</c:v>
                </c:pt>
                <c:pt idx="65">
                  <c:v>0.40862888501392491</c:v>
                </c:pt>
                <c:pt idx="66">
                  <c:v>0.41605468780513971</c:v>
                </c:pt>
                <c:pt idx="67">
                  <c:v>0.4235022722269558</c:v>
                </c:pt>
                <c:pt idx="68">
                  <c:v>0.43097169232157928</c:v>
                </c:pt>
                <c:pt idx="69">
                  <c:v>0.43846300259028681</c:v>
                </c:pt>
                <c:pt idx="70">
                  <c:v>0.44597625799583351</c:v>
                </c:pt>
                <c:pt idx="71">
                  <c:v>0.45351151396488476</c:v>
                </c:pt>
                <c:pt idx="72">
                  <c:v>0.46106882639047575</c:v>
                </c:pt>
                <c:pt idx="73">
                  <c:v>0.46864825163449464</c:v>
                </c:pt>
                <c:pt idx="74">
                  <c:v>0.47624984653019387</c:v>
                </c:pt>
                <c:pt idx="75">
                  <c:v>0.48387366838472545</c:v>
                </c:pt>
                <c:pt idx="76">
                  <c:v>0.49151977498170529</c:v>
                </c:pt>
                <c:pt idx="77">
                  <c:v>0.49918822458380185</c:v>
                </c:pt>
                <c:pt idx="78">
                  <c:v>0.50687907593535297</c:v>
                </c:pt>
                <c:pt idx="79">
                  <c:v>0.51459238826501053</c:v>
                </c:pt>
                <c:pt idx="80">
                  <c:v>0.52232822128841006</c:v>
                </c:pt>
                <c:pt idx="81">
                  <c:v>0.5300866352108714</c:v>
                </c:pt>
                <c:pt idx="82">
                  <c:v>0.53786769073012386</c:v>
                </c:pt>
                <c:pt idx="83">
                  <c:v>0.54567144903906251</c:v>
                </c:pt>
                <c:pt idx="84">
                  <c:v>0.55349797182852989</c:v>
                </c:pt>
                <c:pt idx="85">
                  <c:v>0.56134732129012954</c:v>
                </c:pt>
                <c:pt idx="86">
                  <c:v>0.5692195601190656</c:v>
                </c:pt>
                <c:pt idx="87">
                  <c:v>0.57711475151701319</c:v>
                </c:pt>
                <c:pt idx="88">
                  <c:v>0.58503295919501752</c:v>
                </c:pt>
                <c:pt idx="89">
                  <c:v>0.59297424737642279</c:v>
                </c:pt>
                <c:pt idx="90">
                  <c:v>0.60093868079983159</c:v>
                </c:pt>
                <c:pt idx="91">
                  <c:v>0.60892632472209363</c:v>
                </c:pt>
                <c:pt idx="92">
                  <c:v>0.61693724492132551</c:v>
                </c:pt>
                <c:pt idx="93">
                  <c:v>0.62497150769996068</c:v>
                </c:pt>
                <c:pt idx="94">
                  <c:v>0.63302917988783114</c:v>
                </c:pt>
                <c:pt idx="95">
                  <c:v>0.64111032884528041</c:v>
                </c:pt>
                <c:pt idx="96">
                  <c:v>0.64921502246630713</c:v>
                </c:pt>
                <c:pt idx="97">
                  <c:v>0.6573433291817421</c:v>
                </c:pt>
                <c:pt idx="98">
                  <c:v>0.66549531796245542</c:v>
                </c:pt>
                <c:pt idx="99">
                  <c:v>0.6736710583225991</c:v>
                </c:pt>
                <c:pt idx="100">
                  <c:v>0.68187062032287926</c:v>
                </c:pt>
              </c:numCache>
            </c:numRef>
          </c:yVal>
          <c:smooth val="0"/>
          <c:extLst>
            <c:ext xmlns:c16="http://schemas.microsoft.com/office/drawing/2014/chart" uri="{C3380CC4-5D6E-409C-BE32-E72D297353CC}">
              <c16:uniqueId val="{00000000-43BE-4445-8235-AC1A889A3262}"/>
            </c:ext>
          </c:extLst>
        </c:ser>
        <c:ser>
          <c:idx val="3"/>
          <c:order val="1"/>
          <c:tx>
            <c:strRef>
              <c:f>'Ch2 Efficiency Calculations'!$BD$8</c:f>
              <c:strCache>
                <c:ptCount val="1"/>
                <c:pt idx="0">
                  <c:v>SYNC MOSFET Loss</c:v>
                </c:pt>
              </c:strCache>
            </c:strRef>
          </c:tx>
          <c:spPr>
            <a:ln w="25400">
              <a:solidFill>
                <a:srgbClr val="FF0000"/>
              </a:solidFill>
              <a:prstDash val="solid"/>
            </a:ln>
          </c:spPr>
          <c:marker>
            <c:symbol val="none"/>
          </c:marker>
          <c:xVal>
            <c:numRef>
              <c:f>'Ch2 Efficiency Calculations'!$J$9:$J$109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xVal>
          <c:yVal>
            <c:numRef>
              <c:f>'Ch2 Efficiency Calculations'!$BD$9:$BD$109</c:f>
              <c:numCache>
                <c:formatCode>0.000</c:formatCode>
                <c:ptCount val="101"/>
                <c:pt idx="0">
                  <c:v>2.5594227569933171E-2</c:v>
                </c:pt>
                <c:pt idx="1">
                  <c:v>2.7850836932826823E-2</c:v>
                </c:pt>
                <c:pt idx="2">
                  <c:v>3.0171985147125595E-2</c:v>
                </c:pt>
                <c:pt idx="3">
                  <c:v>3.2557686309349076E-2</c:v>
                </c:pt>
                <c:pt idx="4">
                  <c:v>3.5007959489593385E-2</c:v>
                </c:pt>
                <c:pt idx="5">
                  <c:v>3.7522828734324061E-2</c:v>
                </c:pt>
                <c:pt idx="6">
                  <c:v>4.010232307012758E-2</c:v>
                </c:pt>
                <c:pt idx="7">
                  <c:v>4.2746476508423184E-2</c:v>
                </c:pt>
                <c:pt idx="8">
                  <c:v>4.5455328051136092E-2</c:v>
                </c:pt>
                <c:pt idx="9">
                  <c:v>4.8228921697334323E-2</c:v>
                </c:pt>
                <c:pt idx="10">
                  <c:v>5.1067306450831219E-2</c:v>
                </c:pt>
                <c:pt idx="11">
                  <c:v>5.3970536328756286E-2</c:v>
                </c:pt>
                <c:pt idx="12">
                  <c:v>5.6938670371097087E-2</c:v>
                </c:pt>
                <c:pt idx="13">
                  <c:v>5.9971772651216018E-2</c:v>
                </c:pt>
                <c:pt idx="14">
                  <c:v>6.3069912287344723E-2</c:v>
                </c:pt>
                <c:pt idx="15">
                  <c:v>6.6233163455061084E-2</c:v>
                </c:pt>
                <c:pt idx="16">
                  <c:v>6.9461605400752385E-2</c:v>
                </c:pt>
                <c:pt idx="17">
                  <c:v>7.2755322456069915E-2</c:v>
                </c:pt>
                <c:pt idx="18">
                  <c:v>7.611440405337952E-2</c:v>
                </c:pt>
                <c:pt idx="19">
                  <c:v>7.9538944742214124E-2</c:v>
                </c:pt>
                <c:pt idx="20">
                  <c:v>8.3029044206733682E-2</c:v>
                </c:pt>
                <c:pt idx="21">
                  <c:v>8.6584807284198637E-2</c:v>
                </c:pt>
                <c:pt idx="22">
                  <c:v>9.020634398446388E-2</c:v>
                </c:pt>
                <c:pt idx="23">
                  <c:v>9.3893769510499714E-2</c:v>
                </c:pt>
                <c:pt idx="24">
                  <c:v>9.7647204279947247E-2</c:v>
                </c:pt>
                <c:pt idx="25">
                  <c:v>0.10146677394771622</c:v>
                </c:pt>
                <c:pt idx="26">
                  <c:v>0.10535260942963284</c:v>
                </c:pt>
                <c:pt idx="27">
                  <c:v>0.10930484692714663</c:v>
                </c:pt>
                <c:pt idx="28">
                  <c:v>0.11332362795310472</c:v>
                </c:pt>
                <c:pt idx="29">
                  <c:v>0.11740909935860355</c:v>
                </c:pt>
                <c:pt idx="30">
                  <c:v>0.12156141336092668</c:v>
                </c:pt>
                <c:pt idx="31">
                  <c:v>0.12578072757257991</c:v>
                </c:pt>
                <c:pt idx="32">
                  <c:v>0.13006720503143382</c:v>
                </c:pt>
                <c:pt idx="33">
                  <c:v>0.13442101423198433</c:v>
                </c:pt>
                <c:pt idx="34">
                  <c:v>0.13884232915774336</c:v>
                </c:pt>
                <c:pt idx="35">
                  <c:v>0.14333132931477119</c:v>
                </c:pt>
                <c:pt idx="36">
                  <c:v>0.14788819976636286</c:v>
                </c:pt>
                <c:pt idx="37">
                  <c:v>0.15251313116890125</c:v>
                </c:pt>
                <c:pt idx="38">
                  <c:v>0.15720631980889027</c:v>
                </c:pt>
                <c:pt idx="39">
                  <c:v>0.16211526667378057</c:v>
                </c:pt>
                <c:pt idx="40">
                  <c:v>0.16720670114981606</c:v>
                </c:pt>
                <c:pt idx="41">
                  <c:v>0.17236729250786553</c:v>
                </c:pt>
                <c:pt idx="42">
                  <c:v>0.17759727054666874</c:v>
                </c:pt>
                <c:pt idx="43">
                  <c:v>0.18289687094260726</c:v>
                </c:pt>
                <c:pt idx="44">
                  <c:v>0.18826633529562076</c:v>
                </c:pt>
                <c:pt idx="45">
                  <c:v>0.19370591117642325</c:v>
                </c:pt>
                <c:pt idx="46">
                  <c:v>0.1992158521750379</c:v>
                </c:pt>
                <c:pt idx="47">
                  <c:v>0.20479641795066783</c:v>
                </c:pt>
                <c:pt idx="48">
                  <c:v>0.21044787428292183</c:v>
                </c:pt>
                <c:pt idx="49">
                  <c:v>0.21617049312441489</c:v>
                </c:pt>
                <c:pt idx="50">
                  <c:v>0.22196455265476386</c:v>
                </c:pt>
                <c:pt idx="51">
                  <c:v>0.22783033733599756</c:v>
                </c:pt>
                <c:pt idx="52">
                  <c:v>0.23376813796940446</c:v>
                </c:pt>
                <c:pt idx="53">
                  <c:v>0.23977825175383796</c:v>
                </c:pt>
                <c:pt idx="54">
                  <c:v>0.24586098234550394</c:v>
                </c:pt>
                <c:pt idx="55">
                  <c:v>0.25201663991925105</c:v>
                </c:pt>
                <c:pt idx="56">
                  <c:v>0.25824554123139082</c:v>
                </c:pt>
                <c:pt idx="57">
                  <c:v>0.26454800968406933</c:v>
                </c:pt>
                <c:pt idx="58">
                  <c:v>0.27092437539121766</c:v>
                </c:pt>
                <c:pt idx="59">
                  <c:v>0.27737497524610577</c:v>
                </c:pt>
                <c:pt idx="60">
                  <c:v>0.28390015299052807</c:v>
                </c:pt>
                <c:pt idx="61">
                  <c:v>0.2905002592856461</c:v>
                </c:pt>
                <c:pt idx="62">
                  <c:v>0.2971756517845191</c:v>
                </c:pt>
                <c:pt idx="63">
                  <c:v>0.30392669520634885</c:v>
                </c:pt>
                <c:pt idx="64">
                  <c:v>0.31075376141247185</c:v>
                </c:pt>
                <c:pt idx="65">
                  <c:v>0.31765722948412523</c:v>
                </c:pt>
                <c:pt idx="66">
                  <c:v>0.3246374858020229</c:v>
                </c:pt>
                <c:pt idx="67">
                  <c:v>0.33169492412777057</c:v>
                </c:pt>
                <c:pt idx="68">
                  <c:v>0.33882994568715474</c:v>
                </c:pt>
                <c:pt idx="69">
                  <c:v>0.34604295925533918</c:v>
                </c:pt>
                <c:pt idx="70">
                  <c:v>0.3533343812440054</c:v>
                </c:pt>
                <c:pt idx="71">
                  <c:v>0.3607046357904703</c:v>
                </c:pt>
                <c:pt idx="72">
                  <c:v>0.36815415484882286</c:v>
                </c:pt>
                <c:pt idx="73">
                  <c:v>0.3756833782831126</c:v>
                </c:pt>
                <c:pt idx="74">
                  <c:v>0.38329275396263451</c:v>
                </c:pt>
                <c:pt idx="75">
                  <c:v>0.39098273785934429</c:v>
                </c:pt>
                <c:pt idx="76">
                  <c:v>0.39875379414745343</c:v>
                </c:pt>
                <c:pt idx="77">
                  <c:v>0.40660639530523829</c:v>
                </c:pt>
                <c:pt idx="78">
                  <c:v>0.41454102221911238</c:v>
                </c:pt>
                <c:pt idx="79">
                  <c:v>0.42255816429000542</c:v>
                </c:pt>
                <c:pt idx="80">
                  <c:v>0.4306583195420936</c:v>
                </c:pt>
                <c:pt idx="81">
                  <c:v>0.43884199473393082</c:v>
                </c:pt>
                <c:pt idx="82">
                  <c:v>0.447109705472027</c:v>
                </c:pt>
                <c:pt idx="83">
                  <c:v>0.45546197632692614</c:v>
                </c:pt>
                <c:pt idx="84">
                  <c:v>0.46389934095183277</c:v>
                </c:pt>
                <c:pt idx="85">
                  <c:v>0.47242234220384116</c:v>
                </c:pt>
                <c:pt idx="86">
                  <c:v>0.48103153226782203</c:v>
                </c:pt>
                <c:pt idx="87">
                  <c:v>0.4897274727830187</c:v>
                </c:pt>
                <c:pt idx="88">
                  <c:v>0.49851073497241527</c:v>
                </c:pt>
                <c:pt idx="89">
                  <c:v>0.50738189977493087</c:v>
                </c:pt>
                <c:pt idx="90">
                  <c:v>0.51634155798050296</c:v>
                </c:pt>
                <c:pt idx="91">
                  <c:v>0.52539031036812034</c:v>
                </c:pt>
                <c:pt idx="92">
                  <c:v>0.53452876784687087</c:v>
                </c:pt>
                <c:pt idx="93">
                  <c:v>0.54375755160006589</c:v>
                </c:pt>
                <c:pt idx="94">
                  <c:v>0.5530772932325152</c:v>
                </c:pt>
                <c:pt idx="95">
                  <c:v>0.56248863492101364</c:v>
                </c:pt>
                <c:pt idx="96">
                  <c:v>0.57199222956811546</c:v>
                </c:pt>
                <c:pt idx="97">
                  <c:v>0.5815887409592706</c:v>
                </c:pt>
                <c:pt idx="98">
                  <c:v>0.59127884392338925</c:v>
                </c:pt>
                <c:pt idx="99">
                  <c:v>0.60106322449692573</c:v>
                </c:pt>
                <c:pt idx="100">
                  <c:v>0.61094258009154589</c:v>
                </c:pt>
              </c:numCache>
            </c:numRef>
          </c:yVal>
          <c:smooth val="0"/>
          <c:extLst>
            <c:ext xmlns:c16="http://schemas.microsoft.com/office/drawing/2014/chart" uri="{C3380CC4-5D6E-409C-BE32-E72D297353CC}">
              <c16:uniqueId val="{00000001-43BE-4445-8235-AC1A889A3262}"/>
            </c:ext>
          </c:extLst>
        </c:ser>
        <c:ser>
          <c:idx val="0"/>
          <c:order val="2"/>
          <c:tx>
            <c:v>Inductor Loss</c:v>
          </c:tx>
          <c:spPr>
            <a:ln w="31750">
              <a:solidFill>
                <a:srgbClr val="FF6600"/>
              </a:solidFill>
              <a:prstDash val="lgDash"/>
            </a:ln>
          </c:spPr>
          <c:marker>
            <c:symbol val="none"/>
          </c:marker>
          <c:xVal>
            <c:numRef>
              <c:f>'Ch2 Efficiency Calculations'!$J$9:$J$109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xVal>
          <c:yVal>
            <c:numRef>
              <c:f>'Ch2 Efficiency Calculations'!$U$9:$U$109</c:f>
              <c:numCache>
                <c:formatCode>0.000</c:formatCode>
                <c:ptCount val="101"/>
                <c:pt idx="0">
                  <c:v>0.33607907292567174</c:v>
                </c:pt>
                <c:pt idx="1">
                  <c:v>0.33616179790641643</c:v>
                </c:pt>
                <c:pt idx="2">
                  <c:v>0.33639281808727317</c:v>
                </c:pt>
                <c:pt idx="3">
                  <c:v>0.33677214948206929</c:v>
                </c:pt>
                <c:pt idx="4">
                  <c:v>0.33729981838730999</c:v>
                </c:pt>
                <c:pt idx="5">
                  <c:v>0.33797586138673658</c:v>
                </c:pt>
                <c:pt idx="6">
                  <c:v>0.33880032535766808</c:v>
                </c:pt>
                <c:pt idx="7">
                  <c:v>0.33977326747912912</c:v>
                </c:pt>
                <c:pt idx="8">
                  <c:v>0.34089475524176616</c:v>
                </c:pt>
                <c:pt idx="9">
                  <c:v>0.34216486645955635</c:v>
                </c:pt>
                <c:pt idx="10">
                  <c:v>0.34358368928331112</c:v>
                </c:pt>
                <c:pt idx="11">
                  <c:v>0.3451513222159806</c:v>
                </c:pt>
                <c:pt idx="12">
                  <c:v>0.34686787412976272</c:v>
                </c:pt>
                <c:pt idx="13">
                  <c:v>0.34873346428502272</c:v>
                </c:pt>
                <c:pt idx="14">
                  <c:v>0.35074822235102965</c:v>
                </c:pt>
                <c:pt idx="15">
                  <c:v>0.35291228842851652</c:v>
                </c:pt>
                <c:pt idx="16">
                  <c:v>0.35522581307407064</c:v>
                </c:pt>
                <c:pt idx="17">
                  <c:v>0.35768895732636286</c:v>
                </c:pt>
                <c:pt idx="18">
                  <c:v>0.36030189273422464</c:v>
                </c:pt>
                <c:pt idx="19">
                  <c:v>0.36306480138658093</c:v>
                </c:pt>
                <c:pt idx="20">
                  <c:v>0.36597787594424913</c:v>
                </c:pt>
                <c:pt idx="21">
                  <c:v>0.36904131967361559</c:v>
                </c:pt>
                <c:pt idx="22">
                  <c:v>0.3722553464821981</c:v>
                </c:pt>
                <c:pt idx="23">
                  <c:v>0.37562018095610977</c:v>
                </c:pt>
                <c:pt idx="24">
                  <c:v>0.37913605839943215</c:v>
                </c:pt>
                <c:pt idx="25">
                  <c:v>0.38280322487551455</c:v>
                </c:pt>
                <c:pt idx="26">
                  <c:v>0.38662193725021071</c:v>
                </c:pt>
                <c:pt idx="27">
                  <c:v>0.3905924632370677</c:v>
                </c:pt>
                <c:pt idx="28">
                  <c:v>0.39471508144448197</c:v>
                </c:pt>
                <c:pt idx="29">
                  <c:v>0.3989900814248391</c:v>
                </c:pt>
                <c:pt idx="30">
                  <c:v>0.40341776372565091</c:v>
                </c:pt>
                <c:pt idx="31">
                  <c:v>0.40799843994271023</c:v>
                </c:pt>
                <c:pt idx="32">
                  <c:v>0.41273243277527838</c:v>
                </c:pt>
                <c:pt idx="33">
                  <c:v>0.41762007608332491</c:v>
                </c:pt>
                <c:pt idx="34">
                  <c:v>0.42266171494683835</c:v>
                </c:pt>
                <c:pt idx="35">
                  <c:v>0.42785770572722831</c:v>
                </c:pt>
                <c:pt idx="36">
                  <c:v>0.4332084161308386</c:v>
                </c:pt>
                <c:pt idx="37">
                  <c:v>0.43871422527459308</c:v>
                </c:pt>
                <c:pt idx="38">
                  <c:v>0.44437552375379669</c:v>
                </c:pt>
                <c:pt idx="39">
                  <c:v>0.45019271371211428</c:v>
                </c:pt>
                <c:pt idx="40">
                  <c:v>0.45616620891375043</c:v>
                </c:pt>
                <c:pt idx="41">
                  <c:v>0.46229643481785487</c:v>
                </c:pt>
                <c:pt idx="42">
                  <c:v>0.46858382865517967</c:v>
                </c:pt>
                <c:pt idx="43">
                  <c:v>0.47502883950701286</c:v>
                </c:pt>
                <c:pt idx="44">
                  <c:v>0.48163192838641644</c:v>
                </c:pt>
                <c:pt idx="45">
                  <c:v>0.4883935683217957</c:v>
                </c:pt>
                <c:pt idx="46">
                  <c:v>0.49531424444282973</c:v>
                </c:pt>
                <c:pt idx="47">
                  <c:v>0.50239445406879157</c:v>
                </c:pt>
                <c:pt idx="48">
                  <c:v>0.50963470679928813</c:v>
                </c:pt>
                <c:pt idx="49">
                  <c:v>0.51703552460745306</c:v>
                </c:pt>
                <c:pt idx="50">
                  <c:v>0.52459744193562308</c:v>
                </c:pt>
                <c:pt idx="51">
                  <c:v>0.53232100579353181</c:v>
                </c:pt>
                <c:pt idx="52">
                  <c:v>0.54020677585905486</c:v>
                </c:pt>
                <c:pt idx="53">
                  <c:v>0.54825532458154236</c:v>
                </c:pt>
                <c:pt idx="54">
                  <c:v>0.55646723728777459</c:v>
                </c:pt>
                <c:pt idx="55">
                  <c:v>0.56484311229057693</c:v>
                </c:pt>
                <c:pt idx="56">
                  <c:v>0.57338356100013588</c:v>
                </c:pt>
                <c:pt idx="57">
                  <c:v>0.58208920803804987</c:v>
                </c:pt>
                <c:pt idx="58">
                  <c:v>0.59096069135416207</c:v>
                </c:pt>
                <c:pt idx="59">
                  <c:v>0.59999866234621213</c:v>
                </c:pt>
                <c:pt idx="60">
                  <c:v>0.60920378598235103</c:v>
                </c:pt>
                <c:pt idx="61">
                  <c:v>0.61857674092656312</c:v>
                </c:pt>
                <c:pt idx="62">
                  <c:v>0.62811821966704151</c:v>
                </c:pt>
                <c:pt idx="63">
                  <c:v>0.63782892864756069</c:v>
                </c:pt>
                <c:pt idx="64">
                  <c:v>0.64770958840189807</c:v>
                </c:pt>
                <c:pt idx="65">
                  <c:v>0.65776093369134814</c:v>
                </c:pt>
                <c:pt idx="66">
                  <c:v>0.667983713645385</c:v>
                </c:pt>
                <c:pt idx="67">
                  <c:v>0.6783786919055198</c:v>
                </c:pt>
                <c:pt idx="68">
                  <c:v>0.68894664677241224</c:v>
                </c:pt>
                <c:pt idx="69">
                  <c:v>0.69968837135628226</c:v>
                </c:pt>
                <c:pt idx="70">
                  <c:v>0.71060467373068747</c:v>
                </c:pt>
                <c:pt idx="71">
                  <c:v>0.72169637708971246</c:v>
                </c:pt>
                <c:pt idx="72">
                  <c:v>0.73296431990864386</c:v>
                </c:pt>
                <c:pt idx="73">
                  <c:v>0.74440935610817227</c:v>
                </c:pt>
                <c:pt idx="74">
                  <c:v>0.75603235522220258</c:v>
                </c:pt>
                <c:pt idx="75">
                  <c:v>0.76783420256932078</c:v>
                </c:pt>
                <c:pt idx="76">
                  <c:v>0.77981579942799317</c:v>
                </c:pt>
                <c:pt idx="77">
                  <c:v>0.79197806321555908</c:v>
                </c:pt>
                <c:pt idx="78">
                  <c:v>0.80432192767108546</c:v>
                </c:pt>
                <c:pt idx="79">
                  <c:v>0.81684834304216081</c:v>
                </c:pt>
                <c:pt idx="80">
                  <c:v>0.82955827627569045</c:v>
                </c:pt>
                <c:pt idx="81">
                  <c:v>0.84245271121277732</c:v>
                </c:pt>
                <c:pt idx="82">
                  <c:v>0.85553264878775537</c:v>
                </c:pt>
                <c:pt idx="83">
                  <c:v>0.86879910723146392</c:v>
                </c:pt>
                <c:pt idx="84">
                  <c:v>0.88225312227883124</c:v>
                </c:pt>
                <c:pt idx="85">
                  <c:v>0.8958957473808602</c:v>
                </c:pt>
                <c:pt idx="86">
                  <c:v>0.90972805392109668</c:v>
                </c:pt>
                <c:pt idx="87">
                  <c:v>0.92375113143666132</c:v>
                </c:pt>
                <c:pt idx="88">
                  <c:v>0.93796608784394464</c:v>
                </c:pt>
                <c:pt idx="89">
                  <c:v>0.95237404966904782</c:v>
                </c:pt>
                <c:pt idx="90">
                  <c:v>0.96697616228306782</c:v>
                </c:pt>
                <c:pt idx="91">
                  <c:v>0.98177359014231591</c:v>
                </c:pt>
                <c:pt idx="92">
                  <c:v>0.99676751703358146</c:v>
                </c:pt>
                <c:pt idx="93">
                  <c:v>1.0119591463245239</c:v>
                </c:pt>
                <c:pt idx="94">
                  <c:v>1.0273497012193125</c:v>
                </c:pt>
                <c:pt idx="95">
                  <c:v>1.0429404250196124</c:v>
                </c:pt>
                <c:pt idx="96">
                  <c:v>1.0587325813910247</c:v>
                </c:pt>
                <c:pt idx="97">
                  <c:v>1.0747274546351016</c:v>
                </c:pt>
                <c:pt idx="98">
                  <c:v>1.0909263499670365</c:v>
                </c:pt>
                <c:pt idx="99">
                  <c:v>1.1073305937991675</c:v>
                </c:pt>
                <c:pt idx="100">
                  <c:v>1.1239415340303915</c:v>
                </c:pt>
              </c:numCache>
            </c:numRef>
          </c:yVal>
          <c:smooth val="0"/>
          <c:extLst>
            <c:ext xmlns:c16="http://schemas.microsoft.com/office/drawing/2014/chart" uri="{C3380CC4-5D6E-409C-BE32-E72D297353CC}">
              <c16:uniqueId val="{00000002-43BE-4445-8235-AC1A889A3262}"/>
            </c:ext>
          </c:extLst>
        </c:ser>
        <c:dLbls>
          <c:showLegendKey val="0"/>
          <c:showVal val="0"/>
          <c:showCatName val="0"/>
          <c:showSerName val="0"/>
          <c:showPercent val="0"/>
          <c:showBubbleSize val="0"/>
        </c:dLbls>
        <c:axId val="152298240"/>
        <c:axId val="152300160"/>
      </c:scatterChart>
      <c:valAx>
        <c:axId val="152298240"/>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52300160"/>
        <c:crosses val="autoZero"/>
        <c:crossBetween val="midCat"/>
      </c:valAx>
      <c:valAx>
        <c:axId val="152300160"/>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52298240"/>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62383745388469802"/>
          <c:y val="1.0080645161290322E-2"/>
          <c:w val="0.35068494759833341"/>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sz="1600"/>
              <a:t> Overall Efficiency</a:t>
            </a:r>
          </a:p>
        </c:rich>
      </c:tx>
      <c:layout>
        <c:manualLayout>
          <c:xMode val="edge"/>
          <c:yMode val="edge"/>
          <c:x val="0.41192468827576156"/>
          <c:y val="3.0241935483871822E-2"/>
        </c:manualLayout>
      </c:layout>
      <c:overlay val="0"/>
      <c:spPr>
        <a:noFill/>
        <a:ln w="25400">
          <a:noFill/>
        </a:ln>
      </c:spPr>
    </c:title>
    <c:autoTitleDeleted val="0"/>
    <c:plotArea>
      <c:layout>
        <c:manualLayout>
          <c:layoutTarget val="inner"/>
          <c:xMode val="edge"/>
          <c:yMode val="edge"/>
          <c:x val="0.10474102129638858"/>
          <c:y val="0.15927435034411094"/>
          <c:w val="0.85384629851107507"/>
          <c:h val="0.72983942815910108"/>
        </c:manualLayout>
      </c:layout>
      <c:scatterChart>
        <c:scatterStyle val="lineMarker"/>
        <c:varyColors val="0"/>
        <c:ser>
          <c:idx val="0"/>
          <c:order val="0"/>
          <c:tx>
            <c:v>Efficiency</c:v>
          </c:tx>
          <c:spPr>
            <a:ln w="25400">
              <a:solidFill>
                <a:srgbClr val="000080"/>
              </a:solidFill>
              <a:prstDash val="solid"/>
            </a:ln>
          </c:spPr>
          <c:marker>
            <c:symbol val="none"/>
          </c:marker>
          <c:xVal>
            <c:numRef>
              <c:f>'Ch2 Efficiency Calculations'!$J$9:$J$109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xVal>
          <c:yVal>
            <c:numRef>
              <c:f>'Ch2 Efficiency Calculations'!$AV$9:$AV$109</c:f>
              <c:numCache>
                <c:formatCode>0.0%</c:formatCode>
                <c:ptCount val="101"/>
                <c:pt idx="0">
                  <c:v>0</c:v>
                </c:pt>
                <c:pt idx="1">
                  <c:v>0.44228906112411609</c:v>
                </c:pt>
                <c:pt idx="2">
                  <c:v>0.61044945049362387</c:v>
                </c:pt>
                <c:pt idx="3">
                  <c:v>0.6976389285149408</c:v>
                </c:pt>
                <c:pt idx="4">
                  <c:v>0.75053725450888742</c:v>
                </c:pt>
                <c:pt idx="5">
                  <c:v>0.78634303236193448</c:v>
                </c:pt>
                <c:pt idx="6">
                  <c:v>0.81220291132261724</c:v>
                </c:pt>
                <c:pt idx="7">
                  <c:v>0.83176672613559355</c:v>
                </c:pt>
                <c:pt idx="8">
                  <c:v>0.84709310916172342</c:v>
                </c:pt>
                <c:pt idx="9">
                  <c:v>0.85943140473009372</c:v>
                </c:pt>
                <c:pt idx="10">
                  <c:v>0.86958376530592796</c:v>
                </c:pt>
                <c:pt idx="11">
                  <c:v>0.87808880253330723</c:v>
                </c:pt>
                <c:pt idx="12">
                  <c:v>0.88532160239990665</c:v>
                </c:pt>
                <c:pt idx="13">
                  <c:v>0.89155140606759853</c:v>
                </c:pt>
                <c:pt idx="14">
                  <c:v>0.89697648450769407</c:v>
                </c:pt>
                <c:pt idx="15">
                  <c:v>0.90174607667476558</c:v>
                </c:pt>
                <c:pt idx="16">
                  <c:v>0.90597466370842195</c:v>
                </c:pt>
                <c:pt idx="17">
                  <c:v>0.90975153089224892</c:v>
                </c:pt>
                <c:pt idx="18">
                  <c:v>0.91314733761118727</c:v>
                </c:pt>
                <c:pt idx="19">
                  <c:v>0.91621873342217619</c:v>
                </c:pt>
                <c:pt idx="20">
                  <c:v>0.9190116661497294</c:v>
                </c:pt>
                <c:pt idx="21">
                  <c:v>0.92156379489518425</c:v>
                </c:pt>
                <c:pt idx="22">
                  <c:v>0.92390627831961369</c:v>
                </c:pt>
                <c:pt idx="23">
                  <c:v>0.92606511909291611</c:v>
                </c:pt>
                <c:pt idx="24">
                  <c:v>0.92806218791847672</c:v>
                </c:pt>
                <c:pt idx="25">
                  <c:v>0.92991601282460778</c:v>
                </c:pt>
                <c:pt idx="26">
                  <c:v>0.93164239418752692</c:v>
                </c:pt>
                <c:pt idx="27">
                  <c:v>0.93325488878232277</c:v>
                </c:pt>
                <c:pt idx="28">
                  <c:v>0.93476519428616178</c:v>
                </c:pt>
                <c:pt idx="29">
                  <c:v>0.93618345732680608</c:v>
                </c:pt>
                <c:pt idx="30">
                  <c:v>0.93751852224346544</c:v>
                </c:pt>
                <c:pt idx="31">
                  <c:v>0.93877813345860472</c:v>
                </c:pt>
                <c:pt idx="32">
                  <c:v>0.939969101248886</c:v>
                </c:pt>
                <c:pt idx="33">
                  <c:v>0.94109743841211713</c:v>
                </c:pt>
                <c:pt idx="34">
                  <c:v>0.94216847362204204</c:v>
                </c:pt>
                <c:pt idx="35">
                  <c:v>0.94318694598195374</c:v>
                </c:pt>
                <c:pt idx="36">
                  <c:v>0.94415708431736078</c:v>
                </c:pt>
                <c:pt idx="37">
                  <c:v>0.94508267400604362</c:v>
                </c:pt>
                <c:pt idx="38">
                  <c:v>0.94596711357238061</c:v>
                </c:pt>
                <c:pt idx="39">
                  <c:v>0.94657914677537558</c:v>
                </c:pt>
                <c:pt idx="40">
                  <c:v>0.94697549934572767</c:v>
                </c:pt>
                <c:pt idx="41">
                  <c:v>0.94733947500246318</c:v>
                </c:pt>
                <c:pt idx="42">
                  <c:v>0.94767331124266474</c:v>
                </c:pt>
                <c:pt idx="43">
                  <c:v>0.94797904219359608</c:v>
                </c:pt>
                <c:pt idx="44">
                  <c:v>0.94825852113708264</c:v>
                </c:pt>
                <c:pt idx="45">
                  <c:v>0.94851344010467742</c:v>
                </c:pt>
                <c:pt idx="46">
                  <c:v>0.9487453469785877</c:v>
                </c:pt>
                <c:pt idx="47">
                  <c:v>0.94895566046105673</c:v>
                </c:pt>
                <c:pt idx="48">
                  <c:v>0.94914568321584181</c:v>
                </c:pt>
                <c:pt idx="49">
                  <c:v>0.9493166134369867</c:v>
                </c:pt>
                <c:pt idx="50">
                  <c:v>0.94946955506016129</c:v>
                </c:pt>
                <c:pt idx="51">
                  <c:v>0.94960552679880939</c:v>
                </c:pt>
                <c:pt idx="52">
                  <c:v>0.94972547015991626</c:v>
                </c:pt>
                <c:pt idx="53">
                  <c:v>0.94983025657132114</c:v>
                </c:pt>
                <c:pt idx="54">
                  <c:v>0.94992069373336807</c:v>
                </c:pt>
                <c:pt idx="55">
                  <c:v>0.94999753129161246</c:v>
                </c:pt>
                <c:pt idx="56">
                  <c:v>0.95006146591375307</c:v>
                </c:pt>
                <c:pt idx="57">
                  <c:v>0.95011314584252693</c:v>
                </c:pt>
                <c:pt idx="58">
                  <c:v>0.9501531749865898</c:v>
                </c:pt>
                <c:pt idx="59">
                  <c:v>0.9501821166031581</c:v>
                </c:pt>
                <c:pt idx="60">
                  <c:v>0.9502004966191534</c:v>
                </c:pt>
                <c:pt idx="61">
                  <c:v>0.9502088066315697</c:v>
                </c:pt>
                <c:pt idx="62">
                  <c:v>0.95020750662262643</c:v>
                </c:pt>
                <c:pt idx="63">
                  <c:v>0.95019702742083412</c:v>
                </c:pt>
                <c:pt idx="64">
                  <c:v>0.9501777729352745</c:v>
                </c:pt>
                <c:pt idx="65">
                  <c:v>0.95015012218709838</c:v>
                </c:pt>
                <c:pt idx="66">
                  <c:v>0.95011443115938088</c:v>
                </c:pt>
                <c:pt idx="67">
                  <c:v>0.95007103448399444</c:v>
                </c:pt>
                <c:pt idx="68">
                  <c:v>0.95002024698199738</c:v>
                </c:pt>
                <c:pt idx="69">
                  <c:v>0.94996236507215814</c:v>
                </c:pt>
                <c:pt idx="70">
                  <c:v>0.94989766806058873</c:v>
                </c:pt>
                <c:pt idx="71">
                  <c:v>0.94982641932302136</c:v>
                </c:pt>
                <c:pt idx="72">
                  <c:v>0.94974886739000286</c:v>
                </c:pt>
                <c:pt idx="73">
                  <c:v>0.94966524694417187</c:v>
                </c:pt>
                <c:pt idx="74">
                  <c:v>0.94957577973780738</c:v>
                </c:pt>
                <c:pt idx="75">
                  <c:v>0.94948067543797643</c:v>
                </c:pt>
                <c:pt idx="76">
                  <c:v>0.94938013240585128</c:v>
                </c:pt>
                <c:pt idx="77">
                  <c:v>0.94927433841609032</c:v>
                </c:pt>
                <c:pt idx="78">
                  <c:v>0.94916347132158385</c:v>
                </c:pt>
                <c:pt idx="79">
                  <c:v>0.94904769966833458</c:v>
                </c:pt>
                <c:pt idx="80">
                  <c:v>0.94892718326477343</c:v>
                </c:pt>
                <c:pt idx="81">
                  <c:v>0.94880207370939251</c:v>
                </c:pt>
                <c:pt idx="82">
                  <c:v>0.94867251488020388</c:v>
                </c:pt>
                <c:pt idx="83">
                  <c:v>0.94853864338919569</c:v>
                </c:pt>
                <c:pt idx="84">
                  <c:v>0.9484005890046654</c:v>
                </c:pt>
                <c:pt idx="85">
                  <c:v>0.9482584750440366</c:v>
                </c:pt>
                <c:pt idx="86">
                  <c:v>0.94811241873952912</c:v>
                </c:pt>
                <c:pt idx="87">
                  <c:v>0.94796253157883725</c:v>
                </c:pt>
                <c:pt idx="88">
                  <c:v>0.94780891962277702</c:v>
                </c:pt>
                <c:pt idx="89">
                  <c:v>0.94765168380168852</c:v>
                </c:pt>
                <c:pt idx="90">
                  <c:v>0.9474909201922227</c:v>
                </c:pt>
                <c:pt idx="91">
                  <c:v>0.94732672027600406</c:v>
                </c:pt>
                <c:pt idx="92">
                  <c:v>0.94715917118152504</c:v>
                </c:pt>
                <c:pt idx="93">
                  <c:v>0.94698835591052088</c:v>
                </c:pt>
                <c:pt idx="94">
                  <c:v>0.94681435354996324</c:v>
                </c:pt>
                <c:pt idx="95">
                  <c:v>0.94663723947071654</c:v>
                </c:pt>
                <c:pt idx="96">
                  <c:v>0.94645708551381991</c:v>
                </c:pt>
                <c:pt idx="97">
                  <c:v>0.94627396016527066</c:v>
                </c:pt>
                <c:pt idx="98">
                  <c:v>0.9460879287201226</c:v>
                </c:pt>
                <c:pt idx="99">
                  <c:v>0.94589905343664293</c:v>
                </c:pt>
                <c:pt idx="100">
                  <c:v>0.94570739368121215</c:v>
                </c:pt>
              </c:numCache>
            </c:numRef>
          </c:yVal>
          <c:smooth val="0"/>
          <c:extLst>
            <c:ext xmlns:c16="http://schemas.microsoft.com/office/drawing/2014/chart" uri="{C3380CC4-5D6E-409C-BE32-E72D297353CC}">
              <c16:uniqueId val="{00000000-D9E8-45F2-A795-7D30E126B9E6}"/>
            </c:ext>
          </c:extLst>
        </c:ser>
        <c:dLbls>
          <c:showLegendKey val="0"/>
          <c:showVal val="0"/>
          <c:showCatName val="0"/>
          <c:showSerName val="0"/>
          <c:showPercent val="0"/>
          <c:showBubbleSize val="0"/>
        </c:dLbls>
        <c:axId val="196013056"/>
        <c:axId val="196195456"/>
      </c:scatterChart>
      <c:valAx>
        <c:axId val="196013056"/>
        <c:scaling>
          <c:orientation val="minMax"/>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576315442322012"/>
              <c:y val="0.9435492337651342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6195456"/>
        <c:crosses val="autoZero"/>
        <c:crossBetween val="midCat"/>
      </c:valAx>
      <c:valAx>
        <c:axId val="196195456"/>
        <c:scaling>
          <c:orientation val="minMax"/>
          <c:max val="1"/>
          <c:min val="0.70000000000000007"/>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6052E-3"/>
              <c:y val="0.4274197781728969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601305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81417468158588802"/>
          <c:y val="3.6290322580645726E-2"/>
          <c:w val="0.16008127236069711"/>
          <c:h val="4.2338709677419352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u="none" strike="noStrike" baseline="0"/>
              <a:t>,  V</a:t>
            </a:r>
            <a:r>
              <a:rPr lang="en-US" sz="2000" b="1" i="0" u="none" strike="noStrike" baseline="-25000"/>
              <a:t>IN</a:t>
            </a:r>
            <a:r>
              <a:rPr lang="en-US" sz="2000" b="1" i="0" u="none" strike="noStrike" baseline="0"/>
              <a:t> = V</a:t>
            </a:r>
            <a:r>
              <a:rPr lang="en-US" sz="2000" b="1" i="0" u="none" strike="noStrike" baseline="-25000"/>
              <a:t>IN(nom)</a:t>
            </a:r>
            <a:endParaRPr lang="en-US" sz="2000">
              <a:latin typeface="Arial" pitchFamily="34" charset="0"/>
              <a:cs typeface="Arial" pitchFamily="34" charset="0"/>
            </a:endParaRPr>
          </a:p>
        </c:rich>
      </c:tx>
      <c:layout>
        <c:manualLayout>
          <c:xMode val="edge"/>
          <c:yMode val="edge"/>
          <c:x val="7.7082846781954192E-2"/>
          <c:y val="1.4109969466157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cat>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cat>
          <c:val>
            <c:numRef>
              <c:f>'Efficiency Calculations'!$AZ$9:$AZ$109</c:f>
              <c:numCache>
                <c:formatCode>0.00</c:formatCode>
                <c:ptCount val="101"/>
                <c:pt idx="0">
                  <c:v>0</c:v>
                </c:pt>
                <c:pt idx="1">
                  <c:v>90.723579318297936</c:v>
                </c:pt>
                <c:pt idx="2">
                  <c:v>94.844214341051355</c:v>
                </c:pt>
                <c:pt idx="3">
                  <c:v>96.297724892260703</c:v>
                </c:pt>
                <c:pt idx="4">
                  <c:v>97.037884109820155</c:v>
                </c:pt>
                <c:pt idx="5">
                  <c:v>97.484688432279469</c:v>
                </c:pt>
                <c:pt idx="6">
                  <c:v>97.782515467390226</c:v>
                </c:pt>
                <c:pt idx="7">
                  <c:v>97.994349595471604</c:v>
                </c:pt>
                <c:pt idx="8">
                  <c:v>98.152053704544926</c:v>
                </c:pt>
                <c:pt idx="9">
                  <c:v>98.300267542314302</c:v>
                </c:pt>
                <c:pt idx="10">
                  <c:v>98.44054349455152</c:v>
                </c:pt>
                <c:pt idx="11">
                  <c:v>98.554317277612284</c:v>
                </c:pt>
                <c:pt idx="12">
                  <c:v>98.648138439599251</c:v>
                </c:pt>
                <c:pt idx="13">
                  <c:v>98.726562189010551</c:v>
                </c:pt>
                <c:pt idx="14">
                  <c:v>98.7928547634545</c:v>
                </c:pt>
                <c:pt idx="15">
                  <c:v>98.849419201732232</c:v>
                </c:pt>
                <c:pt idx="16">
                  <c:v>98.898062805427372</c:v>
                </c:pt>
                <c:pt idx="17">
                  <c:v>98.940170956107977</c:v>
                </c:pt>
                <c:pt idx="18">
                  <c:v>98.976823430616108</c:v>
                </c:pt>
                <c:pt idx="19">
                  <c:v>99.008874247862508</c:v>
                </c:pt>
                <c:pt idx="20">
                  <c:v>99.037007724353955</c:v>
                </c:pt>
                <c:pt idx="21">
                  <c:v>99.061778617529967</c:v>
                </c:pt>
                <c:pt idx="22">
                  <c:v>99.083641388578641</c:v>
                </c:pt>
                <c:pt idx="23">
                  <c:v>99.102971876607299</c:v>
                </c:pt>
                <c:pt idx="24">
                  <c:v>99.12008358497323</c:v>
                </c:pt>
                <c:pt idx="25">
                  <c:v>99.135240080156365</c:v>
                </c:pt>
                <c:pt idx="26">
                  <c:v>99.148664544316716</c:v>
                </c:pt>
                <c:pt idx="27">
                  <c:v>99.160547215748608</c:v>
                </c:pt>
                <c:pt idx="28">
                  <c:v>99.171051242688947</c:v>
                </c:pt>
                <c:pt idx="29">
                  <c:v>99.180317331663986</c:v>
                </c:pt>
                <c:pt idx="30">
                  <c:v>99.188467470371378</c:v>
                </c:pt>
                <c:pt idx="31">
                  <c:v>99.195607933154648</c:v>
                </c:pt>
                <c:pt idx="32">
                  <c:v>99.2018317253345</c:v>
                </c:pt>
                <c:pt idx="33">
                  <c:v>99.207220584935257</c:v>
                </c:pt>
                <c:pt idx="34">
                  <c:v>99.211846632565582</c:v>
                </c:pt>
                <c:pt idx="35">
                  <c:v>99.215773739548212</c:v>
                </c:pt>
                <c:pt idx="36">
                  <c:v>99.219058668875647</c:v>
                </c:pt>
                <c:pt idx="37">
                  <c:v>99.221752031812215</c:v>
                </c:pt>
                <c:pt idx="38">
                  <c:v>99.223899093980137</c:v>
                </c:pt>
                <c:pt idx="39">
                  <c:v>99.225540457850485</c:v>
                </c:pt>
                <c:pt idx="40">
                  <c:v>99.226712643194034</c:v>
                </c:pt>
                <c:pt idx="41">
                  <c:v>99.227448582855345</c:v>
                </c:pt>
                <c:pt idx="42">
                  <c:v>99.227778047916729</c:v>
                </c:pt>
                <c:pt idx="43">
                  <c:v>99.227728013709623</c:v>
                </c:pt>
                <c:pt idx="44">
                  <c:v>99.227322976055106</c:v>
                </c:pt>
                <c:pt idx="45">
                  <c:v>99.226585225451174</c:v>
                </c:pt>
                <c:pt idx="46">
                  <c:v>99.225535085587296</c:v>
                </c:pt>
                <c:pt idx="47">
                  <c:v>99.224191121483429</c:v>
                </c:pt>
                <c:pt idx="48">
                  <c:v>99.222570321669906</c:v>
                </c:pt>
                <c:pt idx="49">
                  <c:v>99.220688258106506</c:v>
                </c:pt>
                <c:pt idx="50">
                  <c:v>99.218559226947761</c:v>
                </c:pt>
                <c:pt idx="51">
                  <c:v>99.216196372776452</c:v>
                </c:pt>
                <c:pt idx="52">
                  <c:v>99.213611798524326</c:v>
                </c:pt>
                <c:pt idx="53">
                  <c:v>99.210816662965073</c:v>
                </c:pt>
                <c:pt idx="54">
                  <c:v>99.207821267386194</c:v>
                </c:pt>
                <c:pt idx="55">
                  <c:v>99.204635132813124</c:v>
                </c:pt>
                <c:pt idx="56">
                  <c:v>99.201267068963205</c:v>
                </c:pt>
                <c:pt idx="57">
                  <c:v>99.197725235942457</c:v>
                </c:pt>
                <c:pt idx="58">
                  <c:v>99.194017199558132</c:v>
                </c:pt>
                <c:pt idx="59">
                  <c:v>99.190149981002847</c:v>
                </c:pt>
                <c:pt idx="60">
                  <c:v>99.186130101564459</c:v>
                </c:pt>
                <c:pt idx="61">
                  <c:v>99.18196362293105</c:v>
                </c:pt>
                <c:pt idx="62">
                  <c:v>99.177656183586691</c:v>
                </c:pt>
                <c:pt idx="63">
                  <c:v>99.173213031730924</c:v>
                </c:pt>
                <c:pt idx="64">
                  <c:v>99.168639055100769</c:v>
                </c:pt>
                <c:pt idx="65">
                  <c:v>99.163938808027851</c:v>
                </c:pt>
                <c:pt idx="66">
                  <c:v>99.159116536022339</c:v>
                </c:pt>
                <c:pt idx="67">
                  <c:v>99.15417619814157</c:v>
                </c:pt>
                <c:pt idx="68">
                  <c:v>99.149121487369825</c:v>
                </c:pt>
                <c:pt idx="69">
                  <c:v>99.143955849210599</c:v>
                </c:pt>
                <c:pt idx="70">
                  <c:v>99.1386824986687</c:v>
                </c:pt>
                <c:pt idx="71">
                  <c:v>99.133304435780374</c:v>
                </c:pt>
                <c:pt idx="72">
                  <c:v>99.127824459831558</c:v>
                </c:pt>
                <c:pt idx="73">
                  <c:v>99.122245182389264</c:v>
                </c:pt>
                <c:pt idx="74">
                  <c:v>99.116569039257612</c:v>
                </c:pt>
                <c:pt idx="75">
                  <c:v>99.110798301457635</c:v>
                </c:pt>
                <c:pt idx="76">
                  <c:v>99.104935085320705</c:v>
                </c:pt>
                <c:pt idx="77">
                  <c:v>99.098981361774335</c:v>
                </c:pt>
                <c:pt idx="78">
                  <c:v>99.09293896489288</c:v>
                </c:pt>
                <c:pt idx="79">
                  <c:v>99.086809599776998</c:v>
                </c:pt>
                <c:pt idx="80">
                  <c:v>99.080594849819576</c:v>
                </c:pt>
                <c:pt idx="81">
                  <c:v>99.074296183410965</c:v>
                </c:pt>
                <c:pt idx="82">
                  <c:v>99.067914960129656</c:v>
                </c:pt>
                <c:pt idx="83">
                  <c:v>99.061452436461522</c:v>
                </c:pt>
                <c:pt idx="84">
                  <c:v>99.054909771085789</c:v>
                </c:pt>
                <c:pt idx="85">
                  <c:v>99.048288029762645</c:v>
                </c:pt>
                <c:pt idx="86">
                  <c:v>99.041588189853542</c:v>
                </c:pt>
                <c:pt idx="87">
                  <c:v>99.034811144503351</c:v>
                </c:pt>
                <c:pt idx="88">
                  <c:v>99.027957706510023</c:v>
                </c:pt>
                <c:pt idx="89">
                  <c:v>99.021028611905066</c:v>
                </c:pt>
                <c:pt idx="90">
                  <c:v>99.014024523266883</c:v>
                </c:pt>
                <c:pt idx="91">
                  <c:v>99.006946032785891</c:v>
                </c:pt>
                <c:pt idx="92">
                  <c:v>98.99979366509956</c:v>
                </c:pt>
                <c:pt idx="93">
                  <c:v>98.992567879913466</c:v>
                </c:pt>
                <c:pt idx="94">
                  <c:v>98.985269074422959</c:v>
                </c:pt>
                <c:pt idx="95">
                  <c:v>98.977897585549442</c:v>
                </c:pt>
                <c:pt idx="96">
                  <c:v>98.970453692002863</c:v>
                </c:pt>
                <c:pt idx="97">
                  <c:v>98.962937616182273</c:v>
                </c:pt>
                <c:pt idx="98">
                  <c:v>98.955349525924547</c:v>
                </c:pt>
                <c:pt idx="99">
                  <c:v>98.947689536110332</c:v>
                </c:pt>
                <c:pt idx="100">
                  <c:v>98.939957710136355</c:v>
                </c:pt>
              </c:numCache>
            </c:numRef>
          </c:val>
          <c:smooth val="0"/>
          <c:extLst>
            <c:ext xmlns:c16="http://schemas.microsoft.com/office/drawing/2014/chart" uri="{C3380CC4-5D6E-409C-BE32-E72D297353CC}">
              <c16:uniqueId val="{00000000-C1B6-475C-810B-3C43E5BC6454}"/>
            </c:ext>
          </c:extLst>
        </c:ser>
        <c:dLbls>
          <c:showLegendKey val="0"/>
          <c:showVal val="0"/>
          <c:showCatName val="0"/>
          <c:showSerName val="0"/>
          <c:showPercent val="0"/>
          <c:showBubbleSize val="0"/>
        </c:dLbls>
        <c:marker val="1"/>
        <c:smooth val="0"/>
        <c:axId val="201996160"/>
        <c:axId val="202006528"/>
      </c:lineChart>
      <c:lineChart>
        <c:grouping val="standard"/>
        <c:varyColors val="0"/>
        <c:ser>
          <c:idx val="2"/>
          <c:order val="1"/>
          <c:tx>
            <c:strRef>
              <c:f>'Efficiency Calculations'!$BC$8</c:f>
              <c:strCache>
                <c:ptCount val="1"/>
                <c:pt idx="0">
                  <c:v>Control MOSFET Loss</c:v>
                </c:pt>
              </c:strCache>
            </c:strRef>
          </c:tx>
          <c:spPr>
            <a:ln w="38100">
              <a:solidFill>
                <a:srgbClr val="808000"/>
              </a:solidFill>
              <a:prstDash val="sysDash"/>
            </a:ln>
          </c:spPr>
          <c:marker>
            <c:symbol val="none"/>
          </c:marker>
          <c:cat>
            <c:numRef>
              <c:f>'Efficiency Calculations'!$K$9:$K$109</c:f>
              <c:numCache>
                <c:formatCode>0.000</c:formatCode>
                <c:ptCount val="101"/>
                <c:pt idx="0">
                  <c:v>0</c:v>
                </c:pt>
                <c:pt idx="1">
                  <c:v>0.3</c:v>
                </c:pt>
                <c:pt idx="2">
                  <c:v>0.6</c:v>
                </c:pt>
                <c:pt idx="3">
                  <c:v>0.9</c:v>
                </c:pt>
                <c:pt idx="4">
                  <c:v>1.2</c:v>
                </c:pt>
                <c:pt idx="5">
                  <c:v>1.5</c:v>
                </c:pt>
                <c:pt idx="6">
                  <c:v>1.8</c:v>
                </c:pt>
                <c:pt idx="7">
                  <c:v>2.1</c:v>
                </c:pt>
                <c:pt idx="8">
                  <c:v>2.4</c:v>
                </c:pt>
                <c:pt idx="9">
                  <c:v>2.7</c:v>
                </c:pt>
                <c:pt idx="10">
                  <c:v>3</c:v>
                </c:pt>
                <c:pt idx="11">
                  <c:v>3.3</c:v>
                </c:pt>
                <c:pt idx="12">
                  <c:v>3.6</c:v>
                </c:pt>
                <c:pt idx="13">
                  <c:v>3.9</c:v>
                </c:pt>
                <c:pt idx="14">
                  <c:v>4.2</c:v>
                </c:pt>
                <c:pt idx="15">
                  <c:v>4.5</c:v>
                </c:pt>
                <c:pt idx="16">
                  <c:v>4.8</c:v>
                </c:pt>
                <c:pt idx="17">
                  <c:v>5.0999999999999996</c:v>
                </c:pt>
                <c:pt idx="18">
                  <c:v>5.4</c:v>
                </c:pt>
                <c:pt idx="19">
                  <c:v>5.7</c:v>
                </c:pt>
                <c:pt idx="20">
                  <c:v>6</c:v>
                </c:pt>
                <c:pt idx="21">
                  <c:v>6.3</c:v>
                </c:pt>
                <c:pt idx="22">
                  <c:v>6.6</c:v>
                </c:pt>
                <c:pt idx="23">
                  <c:v>6.9</c:v>
                </c:pt>
                <c:pt idx="24">
                  <c:v>7.2</c:v>
                </c:pt>
                <c:pt idx="25">
                  <c:v>7.5</c:v>
                </c:pt>
                <c:pt idx="26">
                  <c:v>7.8</c:v>
                </c:pt>
                <c:pt idx="27">
                  <c:v>8.1</c:v>
                </c:pt>
                <c:pt idx="28">
                  <c:v>8.4</c:v>
                </c:pt>
                <c:pt idx="29">
                  <c:v>8.6999999999999993</c:v>
                </c:pt>
                <c:pt idx="30">
                  <c:v>9</c:v>
                </c:pt>
                <c:pt idx="31">
                  <c:v>9.3000000000000007</c:v>
                </c:pt>
                <c:pt idx="32">
                  <c:v>9.6</c:v>
                </c:pt>
                <c:pt idx="33">
                  <c:v>9.9</c:v>
                </c:pt>
                <c:pt idx="34">
                  <c:v>10.199999999999999</c:v>
                </c:pt>
                <c:pt idx="35">
                  <c:v>10.5</c:v>
                </c:pt>
                <c:pt idx="36">
                  <c:v>10.8</c:v>
                </c:pt>
                <c:pt idx="37">
                  <c:v>11.1</c:v>
                </c:pt>
                <c:pt idx="38">
                  <c:v>11.4</c:v>
                </c:pt>
                <c:pt idx="39">
                  <c:v>11.7</c:v>
                </c:pt>
                <c:pt idx="40">
                  <c:v>12</c:v>
                </c:pt>
                <c:pt idx="41">
                  <c:v>12.3</c:v>
                </c:pt>
                <c:pt idx="42">
                  <c:v>12.6</c:v>
                </c:pt>
                <c:pt idx="43">
                  <c:v>12.9</c:v>
                </c:pt>
                <c:pt idx="44">
                  <c:v>13.2</c:v>
                </c:pt>
                <c:pt idx="45">
                  <c:v>13.5</c:v>
                </c:pt>
                <c:pt idx="46">
                  <c:v>13.8</c:v>
                </c:pt>
                <c:pt idx="47">
                  <c:v>14.1</c:v>
                </c:pt>
                <c:pt idx="48">
                  <c:v>14.4</c:v>
                </c:pt>
                <c:pt idx="49">
                  <c:v>14.7</c:v>
                </c:pt>
                <c:pt idx="50">
                  <c:v>15</c:v>
                </c:pt>
                <c:pt idx="51">
                  <c:v>15.3</c:v>
                </c:pt>
                <c:pt idx="52">
                  <c:v>15.6</c:v>
                </c:pt>
                <c:pt idx="53">
                  <c:v>15.9</c:v>
                </c:pt>
                <c:pt idx="54">
                  <c:v>16.2</c:v>
                </c:pt>
                <c:pt idx="55">
                  <c:v>16.5</c:v>
                </c:pt>
                <c:pt idx="56">
                  <c:v>16.8</c:v>
                </c:pt>
                <c:pt idx="57">
                  <c:v>17.100000000000001</c:v>
                </c:pt>
                <c:pt idx="58">
                  <c:v>17.399999999999999</c:v>
                </c:pt>
                <c:pt idx="59">
                  <c:v>17.7</c:v>
                </c:pt>
                <c:pt idx="60">
                  <c:v>18</c:v>
                </c:pt>
                <c:pt idx="61">
                  <c:v>18.3</c:v>
                </c:pt>
                <c:pt idx="62">
                  <c:v>18.600000000000001</c:v>
                </c:pt>
                <c:pt idx="63">
                  <c:v>18.899999999999999</c:v>
                </c:pt>
                <c:pt idx="64">
                  <c:v>19.2</c:v>
                </c:pt>
                <c:pt idx="65">
                  <c:v>19.5</c:v>
                </c:pt>
                <c:pt idx="66">
                  <c:v>19.8</c:v>
                </c:pt>
                <c:pt idx="67">
                  <c:v>20.100000000000001</c:v>
                </c:pt>
                <c:pt idx="68">
                  <c:v>20.399999999999999</c:v>
                </c:pt>
                <c:pt idx="69">
                  <c:v>20.7</c:v>
                </c:pt>
                <c:pt idx="70">
                  <c:v>21</c:v>
                </c:pt>
                <c:pt idx="71">
                  <c:v>21.3</c:v>
                </c:pt>
                <c:pt idx="72">
                  <c:v>21.6</c:v>
                </c:pt>
                <c:pt idx="73">
                  <c:v>21.9</c:v>
                </c:pt>
                <c:pt idx="74">
                  <c:v>22.2</c:v>
                </c:pt>
                <c:pt idx="75">
                  <c:v>22.5</c:v>
                </c:pt>
                <c:pt idx="76">
                  <c:v>22.8</c:v>
                </c:pt>
                <c:pt idx="77">
                  <c:v>23.1</c:v>
                </c:pt>
                <c:pt idx="78">
                  <c:v>23.4</c:v>
                </c:pt>
                <c:pt idx="79">
                  <c:v>23.7</c:v>
                </c:pt>
                <c:pt idx="80">
                  <c:v>24</c:v>
                </c:pt>
                <c:pt idx="81">
                  <c:v>24.3</c:v>
                </c:pt>
                <c:pt idx="82">
                  <c:v>24.6</c:v>
                </c:pt>
                <c:pt idx="83">
                  <c:v>24.9</c:v>
                </c:pt>
                <c:pt idx="84">
                  <c:v>25.2</c:v>
                </c:pt>
                <c:pt idx="85">
                  <c:v>25.5</c:v>
                </c:pt>
                <c:pt idx="86">
                  <c:v>25.8</c:v>
                </c:pt>
                <c:pt idx="87">
                  <c:v>26.1</c:v>
                </c:pt>
                <c:pt idx="88">
                  <c:v>26.4</c:v>
                </c:pt>
                <c:pt idx="89">
                  <c:v>26.7</c:v>
                </c:pt>
                <c:pt idx="90">
                  <c:v>27</c:v>
                </c:pt>
                <c:pt idx="91">
                  <c:v>27.3</c:v>
                </c:pt>
                <c:pt idx="92">
                  <c:v>27.6</c:v>
                </c:pt>
                <c:pt idx="93">
                  <c:v>27.9</c:v>
                </c:pt>
                <c:pt idx="94">
                  <c:v>28.2</c:v>
                </c:pt>
                <c:pt idx="95">
                  <c:v>28.5</c:v>
                </c:pt>
                <c:pt idx="96">
                  <c:v>28.8</c:v>
                </c:pt>
                <c:pt idx="97">
                  <c:v>29.1</c:v>
                </c:pt>
                <c:pt idx="98">
                  <c:v>29.4</c:v>
                </c:pt>
                <c:pt idx="99">
                  <c:v>29.7</c:v>
                </c:pt>
                <c:pt idx="100">
                  <c:v>30</c:v>
                </c:pt>
              </c:numCache>
            </c:numRef>
          </c:cat>
          <c:val>
            <c:numRef>
              <c:f>'Efficiency Calculations'!$BC$9:$BC$109</c:f>
              <c:numCache>
                <c:formatCode>0.000</c:formatCode>
                <c:ptCount val="101"/>
                <c:pt idx="0">
                  <c:v>0.10121679287844361</c:v>
                </c:pt>
                <c:pt idx="1">
                  <c:v>0.14498152850329948</c:v>
                </c:pt>
                <c:pt idx="2">
                  <c:v>0.18887497446300111</c:v>
                </c:pt>
                <c:pt idx="3">
                  <c:v>0.23289966105686286</c:v>
                </c:pt>
                <c:pt idx="4">
                  <c:v>0.27705813443906313</c:v>
                </c:pt>
                <c:pt idx="5">
                  <c:v>0.32135295710972678</c:v>
                </c:pt>
                <c:pt idx="6">
                  <c:v>0.36578670841098265</c:v>
                </c:pt>
                <c:pt idx="7">
                  <c:v>0.41036198502819976</c:v>
                </c:pt>
                <c:pt idx="8">
                  <c:v>0.45508140149660514</c:v>
                </c:pt>
                <c:pt idx="9">
                  <c:v>0.48197733734946691</c:v>
                </c:pt>
                <c:pt idx="10">
                  <c:v>0.49206500534746267</c:v>
                </c:pt>
                <c:pt idx="11">
                  <c:v>0.50229047962751883</c:v>
                </c:pt>
                <c:pt idx="12">
                  <c:v>0.51265444755749534</c:v>
                </c:pt>
                <c:pt idx="13">
                  <c:v>0.52315761302132602</c:v>
                </c:pt>
                <c:pt idx="14">
                  <c:v>0.53380069657526508</c:v>
                </c:pt>
                <c:pt idx="15">
                  <c:v>0.54458443560915559</c:v>
                </c:pt>
                <c:pt idx="16">
                  <c:v>0.55550958451279142</c:v>
                </c:pt>
                <c:pt idx="17">
                  <c:v>0.56657691484745376</c:v>
                </c:pt>
                <c:pt idx="18">
                  <c:v>0.5777872155226994</c:v>
                </c:pt>
                <c:pt idx="19">
                  <c:v>0.58914129297848583</c:v>
                </c:pt>
                <c:pt idx="20">
                  <c:v>0.60063997137272074</c:v>
                </c:pt>
                <c:pt idx="21">
                  <c:v>0.61228409277432272</c:v>
                </c:pt>
                <c:pt idx="22">
                  <c:v>0.62407451736189012</c:v>
                </c:pt>
                <c:pt idx="23">
                  <c:v>0.63601212362807003</c:v>
                </c:pt>
                <c:pt idx="24">
                  <c:v>0.64809780858973121</c:v>
                </c:pt>
                <c:pt idx="25">
                  <c:v>0.6603324880040411</c:v>
                </c:pt>
                <c:pt idx="26">
                  <c:v>0.67271709659055534</c:v>
                </c:pt>
                <c:pt idx="27">
                  <c:v>0.6852525882594287</c:v>
                </c:pt>
                <c:pt idx="28">
                  <c:v>0.69793993634586338</c:v>
                </c:pt>
                <c:pt idx="29">
                  <c:v>0.71078013385090999</c:v>
                </c:pt>
                <c:pt idx="30">
                  <c:v>0.72377419368874651</c:v>
                </c:pt>
                <c:pt idx="31">
                  <c:v>0.73692314894055699</c:v>
                </c:pt>
                <c:pt idx="32">
                  <c:v>0.75022805311514418</c:v>
                </c:pt>
                <c:pt idx="33">
                  <c:v>0.7636899804164069</c:v>
                </c:pt>
                <c:pt idx="34">
                  <c:v>0.77731002601782251</c:v>
                </c:pt>
                <c:pt idx="35">
                  <c:v>0.79108930634407748</c:v>
                </c:pt>
                <c:pt idx="36">
                  <c:v>0.80502895935999319</c:v>
                </c:pt>
                <c:pt idx="37">
                  <c:v>0.81913014486690061</c:v>
                </c:pt>
                <c:pt idx="38">
                  <c:v>0.83339404480661927</c:v>
                </c:pt>
                <c:pt idx="39">
                  <c:v>0.84782186357320555</c:v>
                </c:pt>
                <c:pt idx="40">
                  <c:v>0.86241482833263416</c:v>
                </c:pt>
                <c:pt idx="41">
                  <c:v>0.87717418935059077</c:v>
                </c:pt>
                <c:pt idx="42">
                  <c:v>0.89210122032854855</c:v>
                </c:pt>
                <c:pt idx="43">
                  <c:v>0.90719721874831694</c:v>
                </c:pt>
                <c:pt idx="44">
                  <c:v>0.92246350622525064</c:v>
                </c:pt>
                <c:pt idx="45">
                  <c:v>0.93790142887031469</c:v>
                </c:pt>
                <c:pt idx="46">
                  <c:v>0.9535123576612069</c:v>
                </c:pt>
                <c:pt idx="47">
                  <c:v>0.96929768882274847</c:v>
                </c:pt>
                <c:pt idx="48">
                  <c:v>0.98525884421675436</c:v>
                </c:pt>
                <c:pt idx="49">
                  <c:v>1.0013972717416086</c:v>
                </c:pt>
                <c:pt idx="50">
                  <c:v>1.0177144457417697</c:v>
                </c:pt>
                <c:pt idx="51">
                  <c:v>1.0342118674274439</c:v>
                </c:pt>
                <c:pt idx="52">
                  <c:v>1.0508910653046699</c:v>
                </c:pt>
                <c:pt idx="53">
                  <c:v>1.0677535956160649</c:v>
                </c:pt>
                <c:pt idx="54">
                  <c:v>1.084801042792491</c:v>
                </c:pt>
                <c:pt idx="55">
                  <c:v>1.1020350199159099</c:v>
                </c:pt>
                <c:pt idx="56">
                  <c:v>1.1194571691936996</c:v>
                </c:pt>
                <c:pt idx="57">
                  <c:v>1.1370691624447198</c:v>
                </c:pt>
                <c:pt idx="58">
                  <c:v>1.1548727015974138</c:v>
                </c:pt>
                <c:pt idx="59">
                  <c:v>1.1728695192002605</c:v>
                </c:pt>
                <c:pt idx="60">
                  <c:v>1.1910613789448719</c:v>
                </c:pt>
                <c:pt idx="61">
                  <c:v>1.2094500762020759</c:v>
                </c:pt>
                <c:pt idx="62">
                  <c:v>1.228037438571302</c:v>
                </c:pt>
                <c:pt idx="63">
                  <c:v>1.2468253264436222</c:v>
                </c:pt>
                <c:pt idx="64">
                  <c:v>1.2658156335787984</c:v>
                </c:pt>
                <c:pt idx="65">
                  <c:v>1.2850102876966976</c:v>
                </c:pt>
                <c:pt idx="66">
                  <c:v>1.304411251083456</c:v>
                </c:pt>
                <c:pt idx="67">
                  <c:v>1.3240205212127838</c:v>
                </c:pt>
                <c:pt idx="68">
                  <c:v>1.3438401313828041</c:v>
                </c:pt>
                <c:pt idx="69">
                  <c:v>1.3638721513688481</c:v>
                </c:pt>
                <c:pt idx="70">
                  <c:v>1.3841186880926304</c:v>
                </c:pt>
                <c:pt idx="71">
                  <c:v>1.4045818863082493</c:v>
                </c:pt>
                <c:pt idx="72">
                  <c:v>1.4252639293054665</c:v>
                </c:pt>
                <c:pt idx="73">
                  <c:v>1.4461670396307398</c:v>
                </c:pt>
                <c:pt idx="74">
                  <c:v>1.4672934798264952</c:v>
                </c:pt>
                <c:pt idx="75">
                  <c:v>1.4886455531891365</c:v>
                </c:pt>
                <c:pt idx="76">
                  <c:v>1.5102256045463254</c:v>
                </c:pt>
                <c:pt idx="77">
                  <c:v>1.5320360210540502</c:v>
                </c:pt>
                <c:pt idx="78">
                  <c:v>1.5540792330140567</c:v>
                </c:pt>
                <c:pt idx="79">
                  <c:v>1.5763577147122008</c:v>
                </c:pt>
                <c:pt idx="80">
                  <c:v>1.5988739852783238</c:v>
                </c:pt>
                <c:pt idx="81">
                  <c:v>1.6216306095682573</c:v>
                </c:pt>
                <c:pt idx="82">
                  <c:v>1.6446301990685952</c:v>
                </c:pt>
                <c:pt idx="83">
                  <c:v>1.6678754128248849</c:v>
                </c:pt>
                <c:pt idx="84">
                  <c:v>1.6913689583939162</c:v>
                </c:pt>
                <c:pt idx="85">
                  <c:v>1.7151135928208046</c:v>
                </c:pt>
                <c:pt idx="86">
                  <c:v>1.7391121236415983</c:v>
                </c:pt>
                <c:pt idx="87">
                  <c:v>1.763367409912153</c:v>
                </c:pt>
                <c:pt idx="88">
                  <c:v>1.7878823632640506</c:v>
                </c:pt>
                <c:pt idx="89">
                  <c:v>1.8126599489883637</c:v>
                </c:pt>
                <c:pt idx="90">
                  <c:v>1.8377031871480949</c:v>
                </c:pt>
                <c:pt idx="91">
                  <c:v>1.8630151537201496</c:v>
                </c:pt>
                <c:pt idx="92">
                  <c:v>1.88859898176773</c:v>
                </c:pt>
                <c:pt idx="93">
                  <c:v>1.9144578626440667</c:v>
                </c:pt>
                <c:pt idx="94">
                  <c:v>1.9405950472284497</c:v>
                </c:pt>
                <c:pt idx="95">
                  <c:v>1.967013847195531</c:v>
                </c:pt>
                <c:pt idx="96">
                  <c:v>1.9937176363189297</c:v>
                </c:pt>
                <c:pt idx="97">
                  <c:v>2.020709851810194</c:v>
                </c:pt>
                <c:pt idx="98">
                  <c:v>2.0479939956942141</c:v>
                </c:pt>
                <c:pt idx="99">
                  <c:v>2.0755736362222237</c:v>
                </c:pt>
                <c:pt idx="100">
                  <c:v>2.103452409323558</c:v>
                </c:pt>
              </c:numCache>
            </c:numRef>
          </c:val>
          <c:smooth val="0"/>
          <c:extLst>
            <c:ext xmlns:c16="http://schemas.microsoft.com/office/drawing/2014/chart" uri="{C3380CC4-5D6E-409C-BE32-E72D297353CC}">
              <c16:uniqueId val="{00000001-C1B6-475C-810B-3C43E5BC6454}"/>
            </c:ext>
          </c:extLst>
        </c:ser>
        <c:ser>
          <c:idx val="3"/>
          <c:order val="2"/>
          <c:tx>
            <c:v>Inductor Loss</c:v>
          </c:tx>
          <c:spPr>
            <a:ln w="38100">
              <a:solidFill>
                <a:srgbClr val="800080"/>
              </a:solidFill>
              <a:prstDash val="dash"/>
            </a:ln>
          </c:spPr>
          <c:marker>
            <c:symbol val="none"/>
          </c:marker>
          <c:cat>
            <c:numRef>
              <c:f>'Efficiency Calculations'!$K$9:$K$109</c:f>
              <c:numCache>
                <c:formatCode>0.000</c:formatCode>
                <c:ptCount val="101"/>
                <c:pt idx="0">
                  <c:v>0</c:v>
                </c:pt>
                <c:pt idx="1">
                  <c:v>0.3</c:v>
                </c:pt>
                <c:pt idx="2">
                  <c:v>0.6</c:v>
                </c:pt>
                <c:pt idx="3">
                  <c:v>0.9</c:v>
                </c:pt>
                <c:pt idx="4">
                  <c:v>1.2</c:v>
                </c:pt>
                <c:pt idx="5">
                  <c:v>1.5</c:v>
                </c:pt>
                <c:pt idx="6">
                  <c:v>1.8</c:v>
                </c:pt>
                <c:pt idx="7">
                  <c:v>2.1</c:v>
                </c:pt>
                <c:pt idx="8">
                  <c:v>2.4</c:v>
                </c:pt>
                <c:pt idx="9">
                  <c:v>2.7</c:v>
                </c:pt>
                <c:pt idx="10">
                  <c:v>3</c:v>
                </c:pt>
                <c:pt idx="11">
                  <c:v>3.3</c:v>
                </c:pt>
                <c:pt idx="12">
                  <c:v>3.6</c:v>
                </c:pt>
                <c:pt idx="13">
                  <c:v>3.9</c:v>
                </c:pt>
                <c:pt idx="14">
                  <c:v>4.2</c:v>
                </c:pt>
                <c:pt idx="15">
                  <c:v>4.5</c:v>
                </c:pt>
                <c:pt idx="16">
                  <c:v>4.8</c:v>
                </c:pt>
                <c:pt idx="17">
                  <c:v>5.0999999999999996</c:v>
                </c:pt>
                <c:pt idx="18">
                  <c:v>5.4</c:v>
                </c:pt>
                <c:pt idx="19">
                  <c:v>5.7</c:v>
                </c:pt>
                <c:pt idx="20">
                  <c:v>6</c:v>
                </c:pt>
                <c:pt idx="21">
                  <c:v>6.3</c:v>
                </c:pt>
                <c:pt idx="22">
                  <c:v>6.6</c:v>
                </c:pt>
                <c:pt idx="23">
                  <c:v>6.9</c:v>
                </c:pt>
                <c:pt idx="24">
                  <c:v>7.2</c:v>
                </c:pt>
                <c:pt idx="25">
                  <c:v>7.5</c:v>
                </c:pt>
                <c:pt idx="26">
                  <c:v>7.8</c:v>
                </c:pt>
                <c:pt idx="27">
                  <c:v>8.1</c:v>
                </c:pt>
                <c:pt idx="28">
                  <c:v>8.4</c:v>
                </c:pt>
                <c:pt idx="29">
                  <c:v>8.6999999999999993</c:v>
                </c:pt>
                <c:pt idx="30">
                  <c:v>9</c:v>
                </c:pt>
                <c:pt idx="31">
                  <c:v>9.3000000000000007</c:v>
                </c:pt>
                <c:pt idx="32">
                  <c:v>9.6</c:v>
                </c:pt>
                <c:pt idx="33">
                  <c:v>9.9</c:v>
                </c:pt>
                <c:pt idx="34">
                  <c:v>10.199999999999999</c:v>
                </c:pt>
                <c:pt idx="35">
                  <c:v>10.5</c:v>
                </c:pt>
                <c:pt idx="36">
                  <c:v>10.8</c:v>
                </c:pt>
                <c:pt idx="37">
                  <c:v>11.1</c:v>
                </c:pt>
                <c:pt idx="38">
                  <c:v>11.4</c:v>
                </c:pt>
                <c:pt idx="39">
                  <c:v>11.7</c:v>
                </c:pt>
                <c:pt idx="40">
                  <c:v>12</c:v>
                </c:pt>
                <c:pt idx="41">
                  <c:v>12.3</c:v>
                </c:pt>
                <c:pt idx="42">
                  <c:v>12.6</c:v>
                </c:pt>
                <c:pt idx="43">
                  <c:v>12.9</c:v>
                </c:pt>
                <c:pt idx="44">
                  <c:v>13.2</c:v>
                </c:pt>
                <c:pt idx="45">
                  <c:v>13.5</c:v>
                </c:pt>
                <c:pt idx="46">
                  <c:v>13.8</c:v>
                </c:pt>
                <c:pt idx="47">
                  <c:v>14.1</c:v>
                </c:pt>
                <c:pt idx="48">
                  <c:v>14.4</c:v>
                </c:pt>
                <c:pt idx="49">
                  <c:v>14.7</c:v>
                </c:pt>
                <c:pt idx="50">
                  <c:v>15</c:v>
                </c:pt>
                <c:pt idx="51">
                  <c:v>15.3</c:v>
                </c:pt>
                <c:pt idx="52">
                  <c:v>15.6</c:v>
                </c:pt>
                <c:pt idx="53">
                  <c:v>15.9</c:v>
                </c:pt>
                <c:pt idx="54">
                  <c:v>16.2</c:v>
                </c:pt>
                <c:pt idx="55">
                  <c:v>16.5</c:v>
                </c:pt>
                <c:pt idx="56">
                  <c:v>16.8</c:v>
                </c:pt>
                <c:pt idx="57">
                  <c:v>17.100000000000001</c:v>
                </c:pt>
                <c:pt idx="58">
                  <c:v>17.399999999999999</c:v>
                </c:pt>
                <c:pt idx="59">
                  <c:v>17.7</c:v>
                </c:pt>
                <c:pt idx="60">
                  <c:v>18</c:v>
                </c:pt>
                <c:pt idx="61">
                  <c:v>18.3</c:v>
                </c:pt>
                <c:pt idx="62">
                  <c:v>18.600000000000001</c:v>
                </c:pt>
                <c:pt idx="63">
                  <c:v>18.899999999999999</c:v>
                </c:pt>
                <c:pt idx="64">
                  <c:v>19.2</c:v>
                </c:pt>
                <c:pt idx="65">
                  <c:v>19.5</c:v>
                </c:pt>
                <c:pt idx="66">
                  <c:v>19.8</c:v>
                </c:pt>
                <c:pt idx="67">
                  <c:v>20.100000000000001</c:v>
                </c:pt>
                <c:pt idx="68">
                  <c:v>20.399999999999999</c:v>
                </c:pt>
                <c:pt idx="69">
                  <c:v>20.7</c:v>
                </c:pt>
                <c:pt idx="70">
                  <c:v>21</c:v>
                </c:pt>
                <c:pt idx="71">
                  <c:v>21.3</c:v>
                </c:pt>
                <c:pt idx="72">
                  <c:v>21.6</c:v>
                </c:pt>
                <c:pt idx="73">
                  <c:v>21.9</c:v>
                </c:pt>
                <c:pt idx="74">
                  <c:v>22.2</c:v>
                </c:pt>
                <c:pt idx="75">
                  <c:v>22.5</c:v>
                </c:pt>
                <c:pt idx="76">
                  <c:v>22.8</c:v>
                </c:pt>
                <c:pt idx="77">
                  <c:v>23.1</c:v>
                </c:pt>
                <c:pt idx="78">
                  <c:v>23.4</c:v>
                </c:pt>
                <c:pt idx="79">
                  <c:v>23.7</c:v>
                </c:pt>
                <c:pt idx="80">
                  <c:v>24</c:v>
                </c:pt>
                <c:pt idx="81">
                  <c:v>24.3</c:v>
                </c:pt>
                <c:pt idx="82">
                  <c:v>24.6</c:v>
                </c:pt>
                <c:pt idx="83">
                  <c:v>24.9</c:v>
                </c:pt>
                <c:pt idx="84">
                  <c:v>25.2</c:v>
                </c:pt>
                <c:pt idx="85">
                  <c:v>25.5</c:v>
                </c:pt>
                <c:pt idx="86">
                  <c:v>25.8</c:v>
                </c:pt>
                <c:pt idx="87">
                  <c:v>26.1</c:v>
                </c:pt>
                <c:pt idx="88">
                  <c:v>26.4</c:v>
                </c:pt>
                <c:pt idx="89">
                  <c:v>26.7</c:v>
                </c:pt>
                <c:pt idx="90">
                  <c:v>27</c:v>
                </c:pt>
                <c:pt idx="91">
                  <c:v>27.3</c:v>
                </c:pt>
                <c:pt idx="92">
                  <c:v>27.6</c:v>
                </c:pt>
                <c:pt idx="93">
                  <c:v>27.9</c:v>
                </c:pt>
                <c:pt idx="94">
                  <c:v>28.2</c:v>
                </c:pt>
                <c:pt idx="95">
                  <c:v>28.5</c:v>
                </c:pt>
                <c:pt idx="96">
                  <c:v>28.8</c:v>
                </c:pt>
                <c:pt idx="97">
                  <c:v>29.1</c:v>
                </c:pt>
                <c:pt idx="98">
                  <c:v>29.4</c:v>
                </c:pt>
                <c:pt idx="99">
                  <c:v>29.7</c:v>
                </c:pt>
                <c:pt idx="100">
                  <c:v>30</c:v>
                </c:pt>
              </c:numCache>
            </c:numRef>
          </c:cat>
          <c:val>
            <c:numRef>
              <c:f>'Efficiency Calculations'!$BA$9:$BA$109</c:f>
              <c:numCache>
                <c:formatCode>0.000</c:formatCode>
                <c:ptCount val="101"/>
                <c:pt idx="0">
                  <c:v>0.3041149250795257</c:v>
                </c:pt>
                <c:pt idx="1">
                  <c:v>0.30428651438086102</c:v>
                </c:pt>
                <c:pt idx="2">
                  <c:v>0.30480119147599066</c:v>
                </c:pt>
                <c:pt idx="3">
                  <c:v>0.30565903911324765</c:v>
                </c:pt>
                <c:pt idx="4">
                  <c:v>0.30686019523713487</c:v>
                </c:pt>
                <c:pt idx="5">
                  <c:v>0.30840485304378878</c:v>
                </c:pt>
                <c:pt idx="6">
                  <c:v>0.31029326105868671</c:v>
                </c:pt>
                <c:pt idx="7">
                  <c:v>0.3125257232366544</c:v>
                </c:pt>
                <c:pt idx="8">
                  <c:v>0.31510259908425003</c:v>
                </c:pt>
                <c:pt idx="9">
                  <c:v>0.31802430380461588</c:v>
                </c:pt>
                <c:pt idx="10">
                  <c:v>0.3212913084649075</c:v>
                </c:pt>
                <c:pt idx="11">
                  <c:v>0.32490414018642561</c:v>
                </c:pt>
                <c:pt idx="12">
                  <c:v>0.32886338235759538</c:v>
                </c:pt>
                <c:pt idx="13">
                  <c:v>0.33316967486995275</c:v>
                </c:pt>
                <c:pt idx="14">
                  <c:v>0.33782371437731723</c:v>
                </c:pt>
                <c:pt idx="15">
                  <c:v>0.3428262545783472</c:v>
                </c:pt>
                <c:pt idx="16">
                  <c:v>0.34817810652269243</c:v>
                </c:pt>
                <c:pt idx="17">
                  <c:v>0.35388013894097642</c:v>
                </c:pt>
                <c:pt idx="18">
                  <c:v>0.35993327859886048</c:v>
                </c:pt>
                <c:pt idx="19">
                  <c:v>0.36633851067546003</c:v>
                </c:pt>
                <c:pt idx="20">
                  <c:v>0.3730968791664025</c:v>
                </c:pt>
                <c:pt idx="21">
                  <c:v>0.38020948731183679</c:v>
                </c:pt>
                <c:pt idx="22">
                  <c:v>0.38767749804972435</c:v>
                </c:pt>
                <c:pt idx="23">
                  <c:v>0.3955021344947599</c:v>
                </c:pt>
                <c:pt idx="24">
                  <c:v>0.40368468044329486</c:v>
                </c:pt>
                <c:pt idx="25">
                  <c:v>0.41222648090465486</c:v>
                </c:pt>
                <c:pt idx="26">
                  <c:v>0.42112894265926476</c:v>
                </c:pt>
                <c:pt idx="27">
                  <c:v>0.43039353484401865</c:v>
                </c:pt>
                <c:pt idx="28">
                  <c:v>0.4400217895653537</c:v>
                </c:pt>
                <c:pt idx="29">
                  <c:v>0.45001530254051064</c:v>
                </c:pt>
                <c:pt idx="30">
                  <c:v>0.46037573376748842</c:v>
                </c:pt>
                <c:pt idx="31">
                  <c:v>0.47110480822422335</c:v>
                </c:pt>
                <c:pt idx="32">
                  <c:v>0.48220431659755297</c:v>
                </c:pt>
                <c:pt idx="33">
                  <c:v>0.4936761160425443</c:v>
                </c:pt>
                <c:pt idx="34">
                  <c:v>0.50552213097279985</c:v>
                </c:pt>
                <c:pt idx="35">
                  <c:v>0.51774435388237794</c:v>
                </c:pt>
                <c:pt idx="36">
                  <c:v>0.53034484619999467</c:v>
                </c:pt>
                <c:pt idx="37">
                  <c:v>0.54332573917620386</c:v>
                </c:pt>
                <c:pt idx="38">
                  <c:v>0.5566892348042809</c:v>
                </c:pt>
                <c:pt idx="39">
                  <c:v>0.57043760677556876</c:v>
                </c:pt>
                <c:pt idx="40">
                  <c:v>0.58457320147007796</c:v>
                </c:pt>
                <c:pt idx="41">
                  <c:v>0.59909843898316062</c:v>
                </c:pt>
                <c:pt idx="42">
                  <c:v>0.61401581418912243</c:v>
                </c:pt>
                <c:pt idx="43">
                  <c:v>0.62932789784266119</c:v>
                </c:pt>
                <c:pt idx="44">
                  <c:v>0.64503733771906702</c:v>
                </c:pt>
                <c:pt idx="45">
                  <c:v>0.66114685979415322</c:v>
                </c:pt>
                <c:pt idx="46">
                  <c:v>0.67765926946492339</c:v>
                </c:pt>
                <c:pt idx="47">
                  <c:v>0.69457745281203109</c:v>
                </c:pt>
                <c:pt idx="48">
                  <c:v>0.71190437790511973</c:v>
                </c:pt>
                <c:pt idx="49">
                  <c:v>0.7296430961521817</c:v>
                </c:pt>
                <c:pt idx="50">
                  <c:v>0.74779674369412008</c:v>
                </c:pt>
                <c:pt idx="51">
                  <c:v>0.76636854284574096</c:v>
                </c:pt>
                <c:pt idx="52">
                  <c:v>0.78536180358445873</c:v>
                </c:pt>
                <c:pt idx="53">
                  <c:v>0.80477992508804219</c:v>
                </c:pt>
                <c:pt idx="54">
                  <c:v>0.82462639732278709</c:v>
                </c:pt>
                <c:pt idx="55">
                  <c:v>0.8449048026835535</c:v>
                </c:pt>
                <c:pt idx="56">
                  <c:v>0.86561881768716298</c:v>
                </c:pt>
                <c:pt idx="57">
                  <c:v>0.88677221472071499</c:v>
                </c:pt>
                <c:pt idx="58">
                  <c:v>0.908368863846436</c:v>
                </c:pt>
                <c:pt idx="59">
                  <c:v>0.93041273466474639</c:v>
                </c:pt>
                <c:pt idx="60">
                  <c:v>0.95290789823729627</c:v>
                </c:pt>
                <c:pt idx="61">
                  <c:v>0.97585852907178272</c:v>
                </c:pt>
                <c:pt idx="62">
                  <c:v>0.99926890717045069</c:v>
                </c:pt>
                <c:pt idx="63">
                  <c:v>1.0231434201442366</c:v>
                </c:pt>
                <c:pt idx="64">
                  <c:v>1.0474865653946066</c:v>
                </c:pt>
                <c:pt idx="65">
                  <c:v>1.0723029523652126</c:v>
                </c:pt>
                <c:pt idx="66">
                  <c:v>1.0975973048655898</c:v>
                </c:pt>
                <c:pt idx="67">
                  <c:v>1.1233744634691916</c:v>
                </c:pt>
                <c:pt idx="68">
                  <c:v>1.1496393879881592</c:v>
                </c:pt>
                <c:pt idx="69">
                  <c:v>1.1763971600273275</c:v>
                </c:pt>
                <c:pt idx="70">
                  <c:v>1.2036529856200544</c:v>
                </c:pt>
                <c:pt idx="71">
                  <c:v>1.2314121979485768</c:v>
                </c:pt>
                <c:pt idx="72">
                  <c:v>1.2596802601517103</c:v>
                </c:pt>
                <c:pt idx="73">
                  <c:v>1.2884627682228149</c:v>
                </c:pt>
                <c:pt idx="74">
                  <c:v>1.3177654540010719</c:v>
                </c:pt>
                <c:pt idx="75">
                  <c:v>1.3475941882592537</c:v>
                </c:pt>
                <c:pt idx="76">
                  <c:v>1.3779549838912839</c:v>
                </c:pt>
                <c:pt idx="77">
                  <c:v>1.4088539992030338</c:v>
                </c:pt>
                <c:pt idx="78">
                  <c:v>1.4402975413099421</c:v>
                </c:pt>
                <c:pt idx="79">
                  <c:v>1.4722920696451893</c:v>
                </c:pt>
                <c:pt idx="80">
                  <c:v>1.504844199582331</c:v>
                </c:pt>
                <c:pt idx="81">
                  <c:v>1.5379607061764362</c:v>
                </c:pt>
                <c:pt idx="82">
                  <c:v>1.5716485280279706</c:v>
                </c:pt>
                <c:pt idx="83">
                  <c:v>1.605914771273834</c:v>
                </c:pt>
                <c:pt idx="84">
                  <c:v>1.6407667137101491</c:v>
                </c:pt>
                <c:pt idx="85">
                  <c:v>1.6762118090515996</c:v>
                </c:pt>
                <c:pt idx="86">
                  <c:v>1.7122576913323293</c:v>
                </c:pt>
                <c:pt idx="87">
                  <c:v>1.7489121794536182</c:v>
                </c:pt>
                <c:pt idx="88">
                  <c:v>1.7861832818837846</c:v>
                </c:pt>
                <c:pt idx="89">
                  <c:v>1.8240792015160117</c:v>
                </c:pt>
                <c:pt idx="90">
                  <c:v>1.8626083406900245</c:v>
                </c:pt>
                <c:pt idx="91">
                  <c:v>1.9017793063838349</c:v>
                </c:pt>
                <c:pt idx="92">
                  <c:v>1.9416009155820193</c:v>
                </c:pt>
                <c:pt idx="93">
                  <c:v>1.9820822008273069</c:v>
                </c:pt>
                <c:pt idx="94">
                  <c:v>2.0232324159625446</c:v>
                </c:pt>
                <c:pt idx="95">
                  <c:v>2.0650610420704325</c:v>
                </c:pt>
                <c:pt idx="96">
                  <c:v>2.1075777936187552</c:v>
                </c:pt>
                <c:pt idx="97">
                  <c:v>2.1507926248191915</c:v>
                </c:pt>
                <c:pt idx="98">
                  <c:v>2.1947157362081491</c:v>
                </c:pt>
                <c:pt idx="99">
                  <c:v>2.2393575814584681</c:v>
                </c:pt>
                <c:pt idx="100">
                  <c:v>2.284728874431238</c:v>
                </c:pt>
              </c:numCache>
            </c:numRef>
          </c:val>
          <c:smooth val="0"/>
          <c:extLst>
            <c:ext xmlns:c16="http://schemas.microsoft.com/office/drawing/2014/chart" uri="{C3380CC4-5D6E-409C-BE32-E72D297353CC}">
              <c16:uniqueId val="{00000002-C1B6-475C-810B-3C43E5BC6454}"/>
            </c:ext>
          </c:extLst>
        </c:ser>
        <c:ser>
          <c:idx val="1"/>
          <c:order val="3"/>
          <c:tx>
            <c:strRef>
              <c:f>'Efficiency Calculations'!$BD$8</c:f>
              <c:strCache>
                <c:ptCount val="1"/>
                <c:pt idx="0">
                  <c:v>SYNC MOSFET Loss</c:v>
                </c:pt>
              </c:strCache>
            </c:strRef>
          </c:tx>
          <c:spPr>
            <a:ln w="38100">
              <a:solidFill>
                <a:srgbClr val="002060"/>
              </a:solidFill>
              <a:prstDash val="sysDot"/>
            </a:ln>
          </c:spPr>
          <c:marker>
            <c:symbol val="none"/>
          </c:marker>
          <c:cat>
            <c:numRef>
              <c:f>'Efficiency Calculations'!$K$9:$K$109</c:f>
              <c:numCache>
                <c:formatCode>0.000</c:formatCode>
                <c:ptCount val="101"/>
                <c:pt idx="0">
                  <c:v>0</c:v>
                </c:pt>
                <c:pt idx="1">
                  <c:v>0.3</c:v>
                </c:pt>
                <c:pt idx="2">
                  <c:v>0.6</c:v>
                </c:pt>
                <c:pt idx="3">
                  <c:v>0.9</c:v>
                </c:pt>
                <c:pt idx="4">
                  <c:v>1.2</c:v>
                </c:pt>
                <c:pt idx="5">
                  <c:v>1.5</c:v>
                </c:pt>
                <c:pt idx="6">
                  <c:v>1.8</c:v>
                </c:pt>
                <c:pt idx="7">
                  <c:v>2.1</c:v>
                </c:pt>
                <c:pt idx="8">
                  <c:v>2.4</c:v>
                </c:pt>
                <c:pt idx="9">
                  <c:v>2.7</c:v>
                </c:pt>
                <c:pt idx="10">
                  <c:v>3</c:v>
                </c:pt>
                <c:pt idx="11">
                  <c:v>3.3</c:v>
                </c:pt>
                <c:pt idx="12">
                  <c:v>3.6</c:v>
                </c:pt>
                <c:pt idx="13">
                  <c:v>3.9</c:v>
                </c:pt>
                <c:pt idx="14">
                  <c:v>4.2</c:v>
                </c:pt>
                <c:pt idx="15">
                  <c:v>4.5</c:v>
                </c:pt>
                <c:pt idx="16">
                  <c:v>4.8</c:v>
                </c:pt>
                <c:pt idx="17">
                  <c:v>5.0999999999999996</c:v>
                </c:pt>
                <c:pt idx="18">
                  <c:v>5.4</c:v>
                </c:pt>
                <c:pt idx="19">
                  <c:v>5.7</c:v>
                </c:pt>
                <c:pt idx="20">
                  <c:v>6</c:v>
                </c:pt>
                <c:pt idx="21">
                  <c:v>6.3</c:v>
                </c:pt>
                <c:pt idx="22">
                  <c:v>6.6</c:v>
                </c:pt>
                <c:pt idx="23">
                  <c:v>6.9</c:v>
                </c:pt>
                <c:pt idx="24">
                  <c:v>7.2</c:v>
                </c:pt>
                <c:pt idx="25">
                  <c:v>7.5</c:v>
                </c:pt>
                <c:pt idx="26">
                  <c:v>7.8</c:v>
                </c:pt>
                <c:pt idx="27">
                  <c:v>8.1</c:v>
                </c:pt>
                <c:pt idx="28">
                  <c:v>8.4</c:v>
                </c:pt>
                <c:pt idx="29">
                  <c:v>8.6999999999999993</c:v>
                </c:pt>
                <c:pt idx="30">
                  <c:v>9</c:v>
                </c:pt>
                <c:pt idx="31">
                  <c:v>9.3000000000000007</c:v>
                </c:pt>
                <c:pt idx="32">
                  <c:v>9.6</c:v>
                </c:pt>
                <c:pt idx="33">
                  <c:v>9.9</c:v>
                </c:pt>
                <c:pt idx="34">
                  <c:v>10.199999999999999</c:v>
                </c:pt>
                <c:pt idx="35">
                  <c:v>10.5</c:v>
                </c:pt>
                <c:pt idx="36">
                  <c:v>10.8</c:v>
                </c:pt>
                <c:pt idx="37">
                  <c:v>11.1</c:v>
                </c:pt>
                <c:pt idx="38">
                  <c:v>11.4</c:v>
                </c:pt>
                <c:pt idx="39">
                  <c:v>11.7</c:v>
                </c:pt>
                <c:pt idx="40">
                  <c:v>12</c:v>
                </c:pt>
                <c:pt idx="41">
                  <c:v>12.3</c:v>
                </c:pt>
                <c:pt idx="42">
                  <c:v>12.6</c:v>
                </c:pt>
                <c:pt idx="43">
                  <c:v>12.9</c:v>
                </c:pt>
                <c:pt idx="44">
                  <c:v>13.2</c:v>
                </c:pt>
                <c:pt idx="45">
                  <c:v>13.5</c:v>
                </c:pt>
                <c:pt idx="46">
                  <c:v>13.8</c:v>
                </c:pt>
                <c:pt idx="47">
                  <c:v>14.1</c:v>
                </c:pt>
                <c:pt idx="48">
                  <c:v>14.4</c:v>
                </c:pt>
                <c:pt idx="49">
                  <c:v>14.7</c:v>
                </c:pt>
                <c:pt idx="50">
                  <c:v>15</c:v>
                </c:pt>
                <c:pt idx="51">
                  <c:v>15.3</c:v>
                </c:pt>
                <c:pt idx="52">
                  <c:v>15.6</c:v>
                </c:pt>
                <c:pt idx="53">
                  <c:v>15.9</c:v>
                </c:pt>
                <c:pt idx="54">
                  <c:v>16.2</c:v>
                </c:pt>
                <c:pt idx="55">
                  <c:v>16.5</c:v>
                </c:pt>
                <c:pt idx="56">
                  <c:v>16.8</c:v>
                </c:pt>
                <c:pt idx="57">
                  <c:v>17.100000000000001</c:v>
                </c:pt>
                <c:pt idx="58">
                  <c:v>17.399999999999999</c:v>
                </c:pt>
                <c:pt idx="59">
                  <c:v>17.7</c:v>
                </c:pt>
                <c:pt idx="60">
                  <c:v>18</c:v>
                </c:pt>
                <c:pt idx="61">
                  <c:v>18.3</c:v>
                </c:pt>
                <c:pt idx="62">
                  <c:v>18.600000000000001</c:v>
                </c:pt>
                <c:pt idx="63">
                  <c:v>18.899999999999999</c:v>
                </c:pt>
                <c:pt idx="64">
                  <c:v>19.2</c:v>
                </c:pt>
                <c:pt idx="65">
                  <c:v>19.5</c:v>
                </c:pt>
                <c:pt idx="66">
                  <c:v>19.8</c:v>
                </c:pt>
                <c:pt idx="67">
                  <c:v>20.100000000000001</c:v>
                </c:pt>
                <c:pt idx="68">
                  <c:v>20.399999999999999</c:v>
                </c:pt>
                <c:pt idx="69">
                  <c:v>20.7</c:v>
                </c:pt>
                <c:pt idx="70">
                  <c:v>21</c:v>
                </c:pt>
                <c:pt idx="71">
                  <c:v>21.3</c:v>
                </c:pt>
                <c:pt idx="72">
                  <c:v>21.6</c:v>
                </c:pt>
                <c:pt idx="73">
                  <c:v>21.9</c:v>
                </c:pt>
                <c:pt idx="74">
                  <c:v>22.2</c:v>
                </c:pt>
                <c:pt idx="75">
                  <c:v>22.5</c:v>
                </c:pt>
                <c:pt idx="76">
                  <c:v>22.8</c:v>
                </c:pt>
                <c:pt idx="77">
                  <c:v>23.1</c:v>
                </c:pt>
                <c:pt idx="78">
                  <c:v>23.4</c:v>
                </c:pt>
                <c:pt idx="79">
                  <c:v>23.7</c:v>
                </c:pt>
                <c:pt idx="80">
                  <c:v>24</c:v>
                </c:pt>
                <c:pt idx="81">
                  <c:v>24.3</c:v>
                </c:pt>
                <c:pt idx="82">
                  <c:v>24.6</c:v>
                </c:pt>
                <c:pt idx="83">
                  <c:v>24.9</c:v>
                </c:pt>
                <c:pt idx="84">
                  <c:v>25.2</c:v>
                </c:pt>
                <c:pt idx="85">
                  <c:v>25.5</c:v>
                </c:pt>
                <c:pt idx="86">
                  <c:v>25.8</c:v>
                </c:pt>
                <c:pt idx="87">
                  <c:v>26.1</c:v>
                </c:pt>
                <c:pt idx="88">
                  <c:v>26.4</c:v>
                </c:pt>
                <c:pt idx="89">
                  <c:v>26.7</c:v>
                </c:pt>
                <c:pt idx="90">
                  <c:v>27</c:v>
                </c:pt>
                <c:pt idx="91">
                  <c:v>27.3</c:v>
                </c:pt>
                <c:pt idx="92">
                  <c:v>27.6</c:v>
                </c:pt>
                <c:pt idx="93">
                  <c:v>27.9</c:v>
                </c:pt>
                <c:pt idx="94">
                  <c:v>28.2</c:v>
                </c:pt>
                <c:pt idx="95">
                  <c:v>28.5</c:v>
                </c:pt>
                <c:pt idx="96">
                  <c:v>28.8</c:v>
                </c:pt>
                <c:pt idx="97">
                  <c:v>29.1</c:v>
                </c:pt>
                <c:pt idx="98">
                  <c:v>29.4</c:v>
                </c:pt>
                <c:pt idx="99">
                  <c:v>29.7</c:v>
                </c:pt>
                <c:pt idx="100">
                  <c:v>30</c:v>
                </c:pt>
              </c:numCache>
            </c:numRef>
          </c:cat>
          <c:val>
            <c:numRef>
              <c:f>'Efficiency Calculations'!$BD$9:$BD$109</c:f>
              <c:numCache>
                <c:formatCode>0.000</c:formatCode>
                <c:ptCount val="101"/>
                <c:pt idx="0">
                  <c:v>1.6012027304600975E-2</c:v>
                </c:pt>
                <c:pt idx="1">
                  <c:v>1.606658668958166E-2</c:v>
                </c:pt>
                <c:pt idx="2">
                  <c:v>1.6230376307619435E-2</c:v>
                </c:pt>
                <c:pt idx="3">
                  <c:v>1.6503392869654743E-2</c:v>
                </c:pt>
                <c:pt idx="4">
                  <c:v>1.6885643962399097E-2</c:v>
                </c:pt>
                <c:pt idx="5">
                  <c:v>1.7377148048596743E-2</c:v>
                </c:pt>
                <c:pt idx="6">
                  <c:v>1.7977934469993642E-2</c:v>
                </c:pt>
                <c:pt idx="7">
                  <c:v>1.8688043453014808E-2</c:v>
                </c:pt>
                <c:pt idx="8">
                  <c:v>1.9507526117152285E-2</c:v>
                </c:pt>
                <c:pt idx="9">
                  <c:v>2.0436444486067212E-2</c:v>
                </c:pt>
                <c:pt idx="10">
                  <c:v>2.1474871501410846E-2</c:v>
                </c:pt>
                <c:pt idx="11">
                  <c:v>2.2622891039370527E-2</c:v>
                </c:pt>
                <c:pt idx="12">
                  <c:v>2.3880597929947917E-2</c:v>
                </c:pt>
                <c:pt idx="13">
                  <c:v>2.5248097978978153E-2</c:v>
                </c:pt>
                <c:pt idx="14">
                  <c:v>2.6725507992899702E-2</c:v>
                </c:pt>
                <c:pt idx="15">
                  <c:v>2.8312955806286233E-2</c:v>
                </c:pt>
                <c:pt idx="16">
                  <c:v>3.0010580312152754E-2</c:v>
                </c:pt>
                <c:pt idx="17">
                  <c:v>3.1818531495050012E-2</c:v>
                </c:pt>
                <c:pt idx="18">
                  <c:v>3.3736970466962085E-2</c:v>
                </c:pt>
                <c:pt idx="19">
                  <c:v>3.5766069506023637E-2</c:v>
                </c:pt>
                <c:pt idx="20">
                  <c:v>3.7906012098074593E-2</c:v>
                </c:pt>
                <c:pt idx="21">
                  <c:v>4.0156992981071421E-2</c:v>
                </c:pt>
                <c:pt idx="22">
                  <c:v>4.251921819237521E-2</c:v>
                </c:pt>
                <c:pt idx="23">
                  <c:v>4.4992905118938879E-2</c:v>
                </c:pt>
                <c:pt idx="24">
                  <c:v>4.7578282550416198E-2</c:v>
                </c:pt>
                <c:pt idx="25">
                  <c:v>5.0275590735218013E-2</c:v>
                </c:pt>
                <c:pt idx="26">
                  <c:v>5.3085081439540889E-2</c:v>
                </c:pt>
                <c:pt idx="27">
                  <c:v>5.6007018009396607E-2</c:v>
                </c:pt>
                <c:pt idx="28">
                  <c:v>5.904167543567105E-2</c:v>
                </c:pt>
                <c:pt idx="29">
                  <c:v>6.2189340422243104E-2</c:v>
                </c:pt>
                <c:pt idx="30">
                  <c:v>6.5450311457195723E-2</c:v>
                </c:pt>
                <c:pt idx="31">
                  <c:v>6.8824898887152652E-2</c:v>
                </c:pt>
                <c:pt idx="32">
                  <c:v>7.2313424994776235E-2</c:v>
                </c:pt>
                <c:pt idx="33">
                  <c:v>7.5916224079462677E-2</c:v>
                </c:pt>
                <c:pt idx="34">
                  <c:v>7.9633642541273489E-2</c:v>
                </c:pt>
                <c:pt idx="35">
                  <c:v>8.3466038968143308E-2</c:v>
                </c:pt>
                <c:pt idx="36">
                  <c:v>8.7413784226405028E-2</c:v>
                </c:pt>
                <c:pt idx="37">
                  <c:v>9.1477261554676989E-2</c:v>
                </c:pt>
                <c:pt idx="38">
                  <c:v>9.5656866661156484E-2</c:v>
                </c:pt>
                <c:pt idx="39">
                  <c:v>9.995300782436646E-2</c:v>
                </c:pt>
                <c:pt idx="40">
                  <c:v>0.1043661059974057</c:v>
                </c:pt>
                <c:pt idx="41">
                  <c:v>0.10889659491575082</c:v>
                </c:pt>
                <c:pt idx="42">
                  <c:v>0.11354492120866536</c:v>
                </c:pt>
                <c:pt idx="43">
                  <c:v>0.11831154451426831</c:v>
                </c:pt>
                <c:pt idx="44">
                  <c:v>0.1231969375983198</c:v>
                </c:pt>
                <c:pt idx="45">
                  <c:v>0.12820158647678251</c:v>
                </c:pt>
                <c:pt idx="46">
                  <c:v>0.13332599054221894</c:v>
                </c:pt>
                <c:pt idx="47">
                  <c:v>0.13857066269408741</c:v>
                </c:pt>
                <c:pt idx="48">
                  <c:v>0.14393612947300291</c:v>
                </c:pt>
                <c:pt idx="49">
                  <c:v>0.14942293119902814</c:v>
                </c:pt>
                <c:pt idx="50">
                  <c:v>0.1550316221140656</c:v>
                </c:pt>
                <c:pt idx="51">
                  <c:v>0.16076277052842269</c:v>
                </c:pt>
                <c:pt idx="52">
                  <c:v>0.16661695897162282</c:v>
                </c:pt>
                <c:pt idx="53">
                  <c:v>0.17259478434754083</c:v>
                </c:pt>
                <c:pt idx="54">
                  <c:v>0.17869685809394115</c:v>
                </c:pt>
                <c:pt idx="55">
                  <c:v>0.18492380634650024</c:v>
                </c:pt>
                <c:pt idx="56">
                  <c:v>0.19127627010739914</c:v>
                </c:pt>
                <c:pt idx="57">
                  <c:v>0.19775490541857171</c:v>
                </c:pt>
                <c:pt idx="58">
                  <c:v>0.20436038353970085</c:v>
                </c:pt>
                <c:pt idx="59">
                  <c:v>0.21109339113105324</c:v>
                </c:pt>
                <c:pt idx="60">
                  <c:v>0.21795463044125044</c:v>
                </c:pt>
                <c:pt idx="61">
                  <c:v>0.22494481950007497</c:v>
                </c:pt>
                <c:pt idx="62">
                  <c:v>0.23206469231641244</c:v>
                </c:pt>
                <c:pt idx="63">
                  <c:v>0.23931499908143763</c:v>
                </c:pt>
                <c:pt idx="64">
                  <c:v>0.24669650637715021</c:v>
                </c:pt>
                <c:pt idx="65">
                  <c:v>0.25420999739037425</c:v>
                </c:pt>
                <c:pt idx="66">
                  <c:v>0.26185627213233681</c:v>
                </c:pt>
                <c:pt idx="67">
                  <c:v>0.26963614766394539</c:v>
                </c:pt>
                <c:pt idx="68">
                  <c:v>0.27755045832688557</c:v>
                </c:pt>
                <c:pt idx="69">
                  <c:v>0.28560005598066773</c:v>
                </c:pt>
                <c:pt idx="70">
                  <c:v>0.29378581024575245</c:v>
                </c:pt>
                <c:pt idx="71">
                  <c:v>0.30210860875289047</c:v>
                </c:pt>
                <c:pt idx="72">
                  <c:v>0.31056935739881503</c:v>
                </c:pt>
                <c:pt idx="73">
                  <c:v>0.31916898060843146</c:v>
                </c:pt>
                <c:pt idx="74">
                  <c:v>0.3279084216036513</c:v>
                </c:pt>
                <c:pt idx="75">
                  <c:v>0.33678864267902292</c:v>
                </c:pt>
                <c:pt idx="76">
                  <c:v>0.34581062548431735</c:v>
                </c:pt>
                <c:pt idx="77">
                  <c:v>0.35497537131422963</c:v>
                </c:pt>
                <c:pt idx="78">
                  <c:v>0.36428390140536598</c:v>
                </c:pt>
                <c:pt idx="79">
                  <c:v>0.37373725724068413</c:v>
                </c:pt>
                <c:pt idx="80">
                  <c:v>0.38333650086157073</c:v>
                </c:pt>
                <c:pt idx="81">
                  <c:v>0.39308271518773535</c:v>
                </c:pt>
                <c:pt idx="82">
                  <c:v>0.40297700434510991</c:v>
                </c:pt>
                <c:pt idx="83">
                  <c:v>0.41302049400195096</c:v>
                </c:pt>
                <c:pt idx="84">
                  <c:v>0.42321433171334555</c:v>
                </c:pt>
                <c:pt idx="85">
                  <c:v>0.4335596872743257</c:v>
                </c:pt>
                <c:pt idx="86">
                  <c:v>0.44405775308180867</c:v>
                </c:pt>
                <c:pt idx="87">
                  <c:v>0.45470974450558166</c:v>
                </c:pt>
                <c:pt idx="88">
                  <c:v>0.46551690026855941</c:v>
                </c:pt>
                <c:pt idx="89">
                  <c:v>0.47648048283655176</c:v>
                </c:pt>
                <c:pt idx="90">
                  <c:v>0.48760177881777567</c:v>
                </c:pt>
                <c:pt idx="91">
                  <c:v>0.4988820993723766</c:v>
                </c:pt>
                <c:pt idx="92">
                  <c:v>0.51032278063219827</c:v>
                </c:pt>
                <c:pt idx="93">
                  <c:v>0.52192518413108513</c:v>
                </c:pt>
                <c:pt idx="94">
                  <c:v>0.53369069724598062</c:v>
                </c:pt>
                <c:pt idx="95">
                  <c:v>0.54562073364910901</c:v>
                </c:pt>
                <c:pt idx="96">
                  <c:v>0.5577167337715323</c:v>
                </c:pt>
                <c:pt idx="97">
                  <c:v>0.56998016527838824</c:v>
                </c:pt>
                <c:pt idx="98">
                  <c:v>0.5824125235561145</c:v>
                </c:pt>
                <c:pt idx="99">
                  <c:v>0.59501533221198899</c:v>
                </c:pt>
                <c:pt idx="100">
                  <c:v>0.60779014358631112</c:v>
                </c:pt>
              </c:numCache>
            </c:numRef>
          </c:val>
          <c:smooth val="0"/>
          <c:extLst>
            <c:ext xmlns:c16="http://schemas.microsoft.com/office/drawing/2014/chart" uri="{C3380CC4-5D6E-409C-BE32-E72D297353CC}">
              <c16:uniqueId val="{00000003-C1B6-475C-810B-3C43E5BC6454}"/>
            </c:ext>
          </c:extLst>
        </c:ser>
        <c:dLbls>
          <c:showLegendKey val="0"/>
          <c:showVal val="0"/>
          <c:showCatName val="0"/>
          <c:showSerName val="0"/>
          <c:showPercent val="0"/>
          <c:showBubbleSize val="0"/>
        </c:dLbls>
        <c:marker val="1"/>
        <c:smooth val="0"/>
        <c:axId val="202010624"/>
        <c:axId val="202008448"/>
      </c:lineChart>
      <c:catAx>
        <c:axId val="201996160"/>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202006528"/>
        <c:crosses val="autoZero"/>
        <c:auto val="1"/>
        <c:lblAlgn val="ctr"/>
        <c:lblOffset val="100"/>
        <c:tickLblSkip val="20"/>
        <c:tickMarkSkip val="20"/>
        <c:noMultiLvlLbl val="1"/>
      </c:catAx>
      <c:valAx>
        <c:axId val="202006528"/>
        <c:scaling>
          <c:orientation val="minMax"/>
          <c:max val="100"/>
          <c:min val="6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201996160"/>
        <c:crosses val="autoZero"/>
        <c:crossBetween val="between"/>
        <c:majorUnit val="5"/>
        <c:minorUnit val="2.5"/>
      </c:valAx>
      <c:valAx>
        <c:axId val="202008448"/>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202010624"/>
        <c:crosses val="max"/>
        <c:crossBetween val="between"/>
      </c:valAx>
      <c:catAx>
        <c:axId val="202010624"/>
        <c:scaling>
          <c:orientation val="minMax"/>
        </c:scaling>
        <c:delete val="1"/>
        <c:axPos val="b"/>
        <c:numFmt formatCode="0.000" sourceLinked="1"/>
        <c:majorTickMark val="out"/>
        <c:minorTickMark val="none"/>
        <c:tickLblPos val="nextTo"/>
        <c:crossAx val="202008448"/>
        <c:crosses val="autoZero"/>
        <c:auto val="1"/>
        <c:lblAlgn val="ctr"/>
        <c:lblOffset val="100"/>
        <c:noMultiLvlLbl val="0"/>
      </c:catAx>
      <c:spPr>
        <a:noFill/>
        <a:ln w="25400">
          <a:noFill/>
        </a:ln>
      </c:spPr>
    </c:plotArea>
    <c:legend>
      <c:legendPos val="t"/>
      <c:layout>
        <c:manualLayout>
          <c:xMode val="edge"/>
          <c:yMode val="edge"/>
          <c:x val="0.36120408747265326"/>
          <c:y val="1.1892626175886978E-2"/>
          <c:w val="0.55790801648035493"/>
          <c:h val="9.0576560908423698E-2"/>
        </c:manualLayout>
      </c:layout>
      <c:overlay val="0"/>
      <c:spPr>
        <a:solidFill>
          <a:srgbClr val="FFFFFF"/>
        </a:solidFill>
        <a:ln w="25400">
          <a:noFill/>
        </a:ln>
      </c:spPr>
      <c:txPr>
        <a:bodyPr/>
        <a:lstStyle/>
        <a:p>
          <a:pPr>
            <a:defRPr sz="12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no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u="none" strike="noStrike" baseline="0"/>
              <a:t>,  V</a:t>
            </a:r>
            <a:r>
              <a:rPr lang="en-US" sz="2000" b="1" i="0" u="none" strike="noStrike" baseline="-25000"/>
              <a:t>IN</a:t>
            </a:r>
            <a:r>
              <a:rPr lang="en-US" sz="2000" b="1" i="0" u="none" strike="noStrike" baseline="0"/>
              <a:t> = V</a:t>
            </a:r>
            <a:r>
              <a:rPr lang="en-US" sz="2000" b="1" i="0" u="none" strike="noStrike" baseline="-25000"/>
              <a:t>IN(nom)</a:t>
            </a:r>
            <a:endParaRPr lang="en-US" sz="2000">
              <a:latin typeface="Arial" pitchFamily="34" charset="0"/>
              <a:cs typeface="Arial" pitchFamily="34" charset="0"/>
            </a:endParaRPr>
          </a:p>
        </c:rich>
      </c:tx>
      <c:layout>
        <c:manualLayout>
          <c:xMode val="edge"/>
          <c:yMode val="edge"/>
          <c:x val="7.7082846781954192E-2"/>
          <c:y val="1.4109969466157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cat>
            <c:numRef>
              <c:f>'Ch2 Efficiency Calculations'!$J$9:$J$109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f>'Ch2 Efficiency Calculations'!$AZ$9:$AZ$109</c:f>
              <c:numCache>
                <c:formatCode>0.00</c:formatCode>
                <c:ptCount val="101"/>
                <c:pt idx="0">
                  <c:v>0</c:v>
                </c:pt>
                <c:pt idx="1">
                  <c:v>44.228906112411607</c:v>
                </c:pt>
                <c:pt idx="2">
                  <c:v>61.04494504936239</c:v>
                </c:pt>
                <c:pt idx="3">
                  <c:v>69.763892851494077</c:v>
                </c:pt>
                <c:pt idx="4">
                  <c:v>75.053725450888749</c:v>
                </c:pt>
                <c:pt idx="5">
                  <c:v>78.634303236193446</c:v>
                </c:pt>
                <c:pt idx="6">
                  <c:v>81.220291132261721</c:v>
                </c:pt>
                <c:pt idx="7">
                  <c:v>83.176672613559361</c:v>
                </c:pt>
                <c:pt idx="8">
                  <c:v>84.709310916172342</c:v>
                </c:pt>
                <c:pt idx="9">
                  <c:v>85.943140473009379</c:v>
                </c:pt>
                <c:pt idx="10">
                  <c:v>86.958376530592801</c:v>
                </c:pt>
                <c:pt idx="11">
                  <c:v>87.808880253330727</c:v>
                </c:pt>
                <c:pt idx="12">
                  <c:v>88.53216023999066</c:v>
                </c:pt>
                <c:pt idx="13">
                  <c:v>89.155140606759858</c:v>
                </c:pt>
                <c:pt idx="14">
                  <c:v>89.697648450769407</c:v>
                </c:pt>
                <c:pt idx="15">
                  <c:v>90.174607667476565</c:v>
                </c:pt>
                <c:pt idx="16">
                  <c:v>90.597466370842199</c:v>
                </c:pt>
                <c:pt idx="17">
                  <c:v>90.975153089224889</c:v>
                </c:pt>
                <c:pt idx="18">
                  <c:v>91.314733761118731</c:v>
                </c:pt>
                <c:pt idx="19">
                  <c:v>91.621873342217626</c:v>
                </c:pt>
                <c:pt idx="20">
                  <c:v>91.901166614972936</c:v>
                </c:pt>
                <c:pt idx="21">
                  <c:v>92.156379489518429</c:v>
                </c:pt>
                <c:pt idx="22">
                  <c:v>92.390627831961368</c:v>
                </c:pt>
                <c:pt idx="23">
                  <c:v>92.606511909291612</c:v>
                </c:pt>
                <c:pt idx="24">
                  <c:v>92.80621879184767</c:v>
                </c:pt>
                <c:pt idx="25">
                  <c:v>92.991601282460778</c:v>
                </c:pt>
                <c:pt idx="26">
                  <c:v>93.164239418752686</c:v>
                </c:pt>
                <c:pt idx="27">
                  <c:v>93.325488878232278</c:v>
                </c:pt>
                <c:pt idx="28">
                  <c:v>93.476519428616172</c:v>
                </c:pt>
                <c:pt idx="29">
                  <c:v>93.618345732680609</c:v>
                </c:pt>
                <c:pt idx="30">
                  <c:v>93.75185222434655</c:v>
                </c:pt>
                <c:pt idx="31">
                  <c:v>93.877813345860474</c:v>
                </c:pt>
                <c:pt idx="32">
                  <c:v>93.996910124888601</c:v>
                </c:pt>
                <c:pt idx="33">
                  <c:v>94.10974384121171</c:v>
                </c:pt>
                <c:pt idx="34">
                  <c:v>94.216847362204206</c:v>
                </c:pt>
                <c:pt idx="35">
                  <c:v>94.318694598195378</c:v>
                </c:pt>
                <c:pt idx="36">
                  <c:v>94.415708431736078</c:v>
                </c:pt>
                <c:pt idx="37">
                  <c:v>94.508267400604367</c:v>
                </c:pt>
                <c:pt idx="38">
                  <c:v>94.596711357238064</c:v>
                </c:pt>
                <c:pt idx="39">
                  <c:v>94.657914677537562</c:v>
                </c:pt>
                <c:pt idx="40">
                  <c:v>94.697549934572763</c:v>
                </c:pt>
                <c:pt idx="41">
                  <c:v>94.733947500246316</c:v>
                </c:pt>
                <c:pt idx="42">
                  <c:v>94.767331124266477</c:v>
                </c:pt>
                <c:pt idx="43">
                  <c:v>94.797904219359609</c:v>
                </c:pt>
                <c:pt idx="44">
                  <c:v>94.825852113708265</c:v>
                </c:pt>
                <c:pt idx="45">
                  <c:v>94.851344010467741</c:v>
                </c:pt>
                <c:pt idx="46">
                  <c:v>94.874534697858763</c:v>
                </c:pt>
                <c:pt idx="47">
                  <c:v>94.895566046105671</c:v>
                </c:pt>
                <c:pt idx="48">
                  <c:v>94.914568321584184</c:v>
                </c:pt>
                <c:pt idx="49">
                  <c:v>94.931661343698664</c:v>
                </c:pt>
                <c:pt idx="50">
                  <c:v>94.946955506016124</c:v>
                </c:pt>
                <c:pt idx="51">
                  <c:v>94.960552679880934</c:v>
                </c:pt>
                <c:pt idx="52">
                  <c:v>94.972547015991623</c:v>
                </c:pt>
                <c:pt idx="53">
                  <c:v>94.983025657132117</c:v>
                </c:pt>
                <c:pt idx="54">
                  <c:v>94.992069373336804</c:v>
                </c:pt>
                <c:pt idx="55">
                  <c:v>94.999753129161249</c:v>
                </c:pt>
                <c:pt idx="56">
                  <c:v>95.006146591375312</c:v>
                </c:pt>
                <c:pt idx="57">
                  <c:v>95.011314584252688</c:v>
                </c:pt>
                <c:pt idx="58">
                  <c:v>95.015317498658973</c:v>
                </c:pt>
                <c:pt idx="59">
                  <c:v>95.018211660315814</c:v>
                </c:pt>
                <c:pt idx="60">
                  <c:v>95.020049661915337</c:v>
                </c:pt>
                <c:pt idx="61">
                  <c:v>95.020880663156973</c:v>
                </c:pt>
                <c:pt idx="62">
                  <c:v>95.020750662262643</c:v>
                </c:pt>
                <c:pt idx="63">
                  <c:v>95.01970274208341</c:v>
                </c:pt>
                <c:pt idx="64">
                  <c:v>95.017777293527445</c:v>
                </c:pt>
                <c:pt idx="65">
                  <c:v>95.015012218709842</c:v>
                </c:pt>
                <c:pt idx="66">
                  <c:v>95.011443115938093</c:v>
                </c:pt>
                <c:pt idx="67">
                  <c:v>95.007103448399448</c:v>
                </c:pt>
                <c:pt idx="68">
                  <c:v>95.002024698199733</c:v>
                </c:pt>
                <c:pt idx="69">
                  <c:v>94.996236507215812</c:v>
                </c:pt>
                <c:pt idx="70">
                  <c:v>94.989766806058867</c:v>
                </c:pt>
                <c:pt idx="71">
                  <c:v>94.98264193230213</c:v>
                </c:pt>
                <c:pt idx="72">
                  <c:v>94.974886739000283</c:v>
                </c:pt>
                <c:pt idx="73">
                  <c:v>94.966524694417188</c:v>
                </c:pt>
                <c:pt idx="74">
                  <c:v>94.957577973780744</c:v>
                </c:pt>
                <c:pt idx="75">
                  <c:v>94.948067543797649</c:v>
                </c:pt>
                <c:pt idx="76">
                  <c:v>94.938013240585121</c:v>
                </c:pt>
                <c:pt idx="77">
                  <c:v>94.92743384160903</c:v>
                </c:pt>
                <c:pt idx="78">
                  <c:v>94.916347132158378</c:v>
                </c:pt>
                <c:pt idx="79">
                  <c:v>94.904769966833456</c:v>
                </c:pt>
                <c:pt idx="80">
                  <c:v>94.892718326477336</c:v>
                </c:pt>
                <c:pt idx="81">
                  <c:v>94.880207370939246</c:v>
                </c:pt>
                <c:pt idx="82">
                  <c:v>94.867251488020386</c:v>
                </c:pt>
                <c:pt idx="83">
                  <c:v>94.853864338919564</c:v>
                </c:pt>
                <c:pt idx="84">
                  <c:v>94.840058900466545</c:v>
                </c:pt>
                <c:pt idx="85">
                  <c:v>94.825847504403654</c:v>
                </c:pt>
                <c:pt idx="86">
                  <c:v>94.811241873952909</c:v>
                </c:pt>
                <c:pt idx="87">
                  <c:v>94.796253157883726</c:v>
                </c:pt>
                <c:pt idx="88">
                  <c:v>94.780891962277707</c:v>
                </c:pt>
                <c:pt idx="89">
                  <c:v>94.765168380168845</c:v>
                </c:pt>
                <c:pt idx="90">
                  <c:v>94.749092019222275</c:v>
                </c:pt>
                <c:pt idx="91">
                  <c:v>94.732672027600401</c:v>
                </c:pt>
                <c:pt idx="92">
                  <c:v>94.715917118152504</c:v>
                </c:pt>
                <c:pt idx="93">
                  <c:v>94.698835591052088</c:v>
                </c:pt>
                <c:pt idx="94">
                  <c:v>94.681435354996324</c:v>
                </c:pt>
                <c:pt idx="95">
                  <c:v>94.663723947071659</c:v>
                </c:pt>
                <c:pt idx="96">
                  <c:v>94.645708551381986</c:v>
                </c:pt>
                <c:pt idx="97">
                  <c:v>94.627396016527072</c:v>
                </c:pt>
                <c:pt idx="98">
                  <c:v>94.608792872012259</c:v>
                </c:pt>
                <c:pt idx="99">
                  <c:v>94.589905343664299</c:v>
                </c:pt>
                <c:pt idx="100">
                  <c:v>94.57073936812121</c:v>
                </c:pt>
              </c:numCache>
            </c:numRef>
          </c:val>
          <c:smooth val="0"/>
          <c:extLst>
            <c:ext xmlns:c16="http://schemas.microsoft.com/office/drawing/2014/chart" uri="{C3380CC4-5D6E-409C-BE32-E72D297353CC}">
              <c16:uniqueId val="{00000000-BBE1-43E5-BAF3-C6A1FB34B6E7}"/>
            </c:ext>
          </c:extLst>
        </c:ser>
        <c:dLbls>
          <c:showLegendKey val="0"/>
          <c:showVal val="0"/>
          <c:showCatName val="0"/>
          <c:showSerName val="0"/>
          <c:showPercent val="0"/>
          <c:showBubbleSize val="0"/>
        </c:dLbls>
        <c:marker val="1"/>
        <c:smooth val="0"/>
        <c:axId val="220216704"/>
        <c:axId val="220227072"/>
      </c:lineChart>
      <c:lineChart>
        <c:grouping val="standard"/>
        <c:varyColors val="0"/>
        <c:ser>
          <c:idx val="2"/>
          <c:order val="1"/>
          <c:tx>
            <c:strRef>
              <c:f>'Efficiency Calculations'!$BC$8</c:f>
              <c:strCache>
                <c:ptCount val="1"/>
                <c:pt idx="0">
                  <c:v>Control MOSFET Loss</c:v>
                </c:pt>
              </c:strCache>
            </c:strRef>
          </c:tx>
          <c:spPr>
            <a:ln w="38100">
              <a:solidFill>
                <a:srgbClr val="808000"/>
              </a:solidFill>
              <a:prstDash val="sysDash"/>
            </a:ln>
          </c:spPr>
          <c:marker>
            <c:symbol val="none"/>
          </c:marker>
          <c:cat>
            <c:numRef>
              <c:f>'Efficiency Calculations'!$K$9:$K$109</c:f>
              <c:numCache>
                <c:formatCode>0.000</c:formatCode>
                <c:ptCount val="101"/>
                <c:pt idx="0">
                  <c:v>0</c:v>
                </c:pt>
                <c:pt idx="1">
                  <c:v>0.3</c:v>
                </c:pt>
                <c:pt idx="2">
                  <c:v>0.6</c:v>
                </c:pt>
                <c:pt idx="3">
                  <c:v>0.9</c:v>
                </c:pt>
                <c:pt idx="4">
                  <c:v>1.2</c:v>
                </c:pt>
                <c:pt idx="5">
                  <c:v>1.5</c:v>
                </c:pt>
                <c:pt idx="6">
                  <c:v>1.8</c:v>
                </c:pt>
                <c:pt idx="7">
                  <c:v>2.1</c:v>
                </c:pt>
                <c:pt idx="8">
                  <c:v>2.4</c:v>
                </c:pt>
                <c:pt idx="9">
                  <c:v>2.7</c:v>
                </c:pt>
                <c:pt idx="10">
                  <c:v>3</c:v>
                </c:pt>
                <c:pt idx="11">
                  <c:v>3.3</c:v>
                </c:pt>
                <c:pt idx="12">
                  <c:v>3.6</c:v>
                </c:pt>
                <c:pt idx="13">
                  <c:v>3.9</c:v>
                </c:pt>
                <c:pt idx="14">
                  <c:v>4.2</c:v>
                </c:pt>
                <c:pt idx="15">
                  <c:v>4.5</c:v>
                </c:pt>
                <c:pt idx="16">
                  <c:v>4.8</c:v>
                </c:pt>
                <c:pt idx="17">
                  <c:v>5.0999999999999996</c:v>
                </c:pt>
                <c:pt idx="18">
                  <c:v>5.4</c:v>
                </c:pt>
                <c:pt idx="19">
                  <c:v>5.7</c:v>
                </c:pt>
                <c:pt idx="20">
                  <c:v>6</c:v>
                </c:pt>
                <c:pt idx="21">
                  <c:v>6.3</c:v>
                </c:pt>
                <c:pt idx="22">
                  <c:v>6.6</c:v>
                </c:pt>
                <c:pt idx="23">
                  <c:v>6.9</c:v>
                </c:pt>
                <c:pt idx="24">
                  <c:v>7.2</c:v>
                </c:pt>
                <c:pt idx="25">
                  <c:v>7.5</c:v>
                </c:pt>
                <c:pt idx="26">
                  <c:v>7.8</c:v>
                </c:pt>
                <c:pt idx="27">
                  <c:v>8.1</c:v>
                </c:pt>
                <c:pt idx="28">
                  <c:v>8.4</c:v>
                </c:pt>
                <c:pt idx="29">
                  <c:v>8.6999999999999993</c:v>
                </c:pt>
                <c:pt idx="30">
                  <c:v>9</c:v>
                </c:pt>
                <c:pt idx="31">
                  <c:v>9.3000000000000007</c:v>
                </c:pt>
                <c:pt idx="32">
                  <c:v>9.6</c:v>
                </c:pt>
                <c:pt idx="33">
                  <c:v>9.9</c:v>
                </c:pt>
                <c:pt idx="34">
                  <c:v>10.199999999999999</c:v>
                </c:pt>
                <c:pt idx="35">
                  <c:v>10.5</c:v>
                </c:pt>
                <c:pt idx="36">
                  <c:v>10.8</c:v>
                </c:pt>
                <c:pt idx="37">
                  <c:v>11.1</c:v>
                </c:pt>
                <c:pt idx="38">
                  <c:v>11.4</c:v>
                </c:pt>
                <c:pt idx="39">
                  <c:v>11.7</c:v>
                </c:pt>
                <c:pt idx="40">
                  <c:v>12</c:v>
                </c:pt>
                <c:pt idx="41">
                  <c:v>12.3</c:v>
                </c:pt>
                <c:pt idx="42">
                  <c:v>12.6</c:v>
                </c:pt>
                <c:pt idx="43">
                  <c:v>12.9</c:v>
                </c:pt>
                <c:pt idx="44">
                  <c:v>13.2</c:v>
                </c:pt>
                <c:pt idx="45">
                  <c:v>13.5</c:v>
                </c:pt>
                <c:pt idx="46">
                  <c:v>13.8</c:v>
                </c:pt>
                <c:pt idx="47">
                  <c:v>14.1</c:v>
                </c:pt>
                <c:pt idx="48">
                  <c:v>14.4</c:v>
                </c:pt>
                <c:pt idx="49">
                  <c:v>14.7</c:v>
                </c:pt>
                <c:pt idx="50">
                  <c:v>15</c:v>
                </c:pt>
                <c:pt idx="51">
                  <c:v>15.3</c:v>
                </c:pt>
                <c:pt idx="52">
                  <c:v>15.6</c:v>
                </c:pt>
                <c:pt idx="53">
                  <c:v>15.9</c:v>
                </c:pt>
                <c:pt idx="54">
                  <c:v>16.2</c:v>
                </c:pt>
                <c:pt idx="55">
                  <c:v>16.5</c:v>
                </c:pt>
                <c:pt idx="56">
                  <c:v>16.8</c:v>
                </c:pt>
                <c:pt idx="57">
                  <c:v>17.100000000000001</c:v>
                </c:pt>
                <c:pt idx="58">
                  <c:v>17.399999999999999</c:v>
                </c:pt>
                <c:pt idx="59">
                  <c:v>17.7</c:v>
                </c:pt>
                <c:pt idx="60">
                  <c:v>18</c:v>
                </c:pt>
                <c:pt idx="61">
                  <c:v>18.3</c:v>
                </c:pt>
                <c:pt idx="62">
                  <c:v>18.600000000000001</c:v>
                </c:pt>
                <c:pt idx="63">
                  <c:v>18.899999999999999</c:v>
                </c:pt>
                <c:pt idx="64">
                  <c:v>19.2</c:v>
                </c:pt>
                <c:pt idx="65">
                  <c:v>19.5</c:v>
                </c:pt>
                <c:pt idx="66">
                  <c:v>19.8</c:v>
                </c:pt>
                <c:pt idx="67">
                  <c:v>20.100000000000001</c:v>
                </c:pt>
                <c:pt idx="68">
                  <c:v>20.399999999999999</c:v>
                </c:pt>
                <c:pt idx="69">
                  <c:v>20.7</c:v>
                </c:pt>
                <c:pt idx="70">
                  <c:v>21</c:v>
                </c:pt>
                <c:pt idx="71">
                  <c:v>21.3</c:v>
                </c:pt>
                <c:pt idx="72">
                  <c:v>21.6</c:v>
                </c:pt>
                <c:pt idx="73">
                  <c:v>21.9</c:v>
                </c:pt>
                <c:pt idx="74">
                  <c:v>22.2</c:v>
                </c:pt>
                <c:pt idx="75">
                  <c:v>22.5</c:v>
                </c:pt>
                <c:pt idx="76">
                  <c:v>22.8</c:v>
                </c:pt>
                <c:pt idx="77">
                  <c:v>23.1</c:v>
                </c:pt>
                <c:pt idx="78">
                  <c:v>23.4</c:v>
                </c:pt>
                <c:pt idx="79">
                  <c:v>23.7</c:v>
                </c:pt>
                <c:pt idx="80">
                  <c:v>24</c:v>
                </c:pt>
                <c:pt idx="81">
                  <c:v>24.3</c:v>
                </c:pt>
                <c:pt idx="82">
                  <c:v>24.6</c:v>
                </c:pt>
                <c:pt idx="83">
                  <c:v>24.9</c:v>
                </c:pt>
                <c:pt idx="84">
                  <c:v>25.2</c:v>
                </c:pt>
                <c:pt idx="85">
                  <c:v>25.5</c:v>
                </c:pt>
                <c:pt idx="86">
                  <c:v>25.8</c:v>
                </c:pt>
                <c:pt idx="87">
                  <c:v>26.1</c:v>
                </c:pt>
                <c:pt idx="88">
                  <c:v>26.4</c:v>
                </c:pt>
                <c:pt idx="89">
                  <c:v>26.7</c:v>
                </c:pt>
                <c:pt idx="90">
                  <c:v>27</c:v>
                </c:pt>
                <c:pt idx="91">
                  <c:v>27.3</c:v>
                </c:pt>
                <c:pt idx="92">
                  <c:v>27.6</c:v>
                </c:pt>
                <c:pt idx="93">
                  <c:v>27.9</c:v>
                </c:pt>
                <c:pt idx="94">
                  <c:v>28.2</c:v>
                </c:pt>
                <c:pt idx="95">
                  <c:v>28.5</c:v>
                </c:pt>
                <c:pt idx="96">
                  <c:v>28.8</c:v>
                </c:pt>
                <c:pt idx="97">
                  <c:v>29.1</c:v>
                </c:pt>
                <c:pt idx="98">
                  <c:v>29.4</c:v>
                </c:pt>
                <c:pt idx="99">
                  <c:v>29.7</c:v>
                </c:pt>
                <c:pt idx="100">
                  <c:v>30</c:v>
                </c:pt>
              </c:numCache>
            </c:numRef>
          </c:cat>
          <c:val>
            <c:numRef>
              <c:f>'Ch2 Efficiency Calculations'!$BC$9:$BC$109</c:f>
              <c:numCache>
                <c:formatCode>0.000</c:formatCode>
                <c:ptCount val="101"/>
                <c:pt idx="0">
                  <c:v>1.4593973253861045E-2</c:v>
                </c:pt>
                <c:pt idx="1">
                  <c:v>2.0441945160198878E-2</c:v>
                </c:pt>
                <c:pt idx="2">
                  <c:v>2.6309200445122926E-2</c:v>
                </c:pt>
                <c:pt idx="3">
                  <c:v>3.7024789615521345E-2</c:v>
                </c:pt>
                <c:pt idx="4">
                  <c:v>5.0619585427429198E-2</c:v>
                </c:pt>
                <c:pt idx="5">
                  <c:v>6.3723340744265444E-2</c:v>
                </c:pt>
                <c:pt idx="6">
                  <c:v>7.6336124501020675E-2</c:v>
                </c:pt>
                <c:pt idx="7">
                  <c:v>8.8457997060494203E-2</c:v>
                </c:pt>
                <c:pt idx="8">
                  <c:v>0.10008901020783957</c:v>
                </c:pt>
                <c:pt idx="9">
                  <c:v>0.11122920714473394</c:v>
                </c:pt>
                <c:pt idx="10">
                  <c:v>0.12187862248317136</c:v>
                </c:pt>
                <c:pt idx="11">
                  <c:v>0.13203728223887831</c:v>
                </c:pt>
                <c:pt idx="12">
                  <c:v>0.1417052038243517</c:v>
                </c:pt>
                <c:pt idx="13">
                  <c:v>0.15088239604151682</c:v>
                </c:pt>
                <c:pt idx="14">
                  <c:v>0.15956885907400623</c:v>
                </c:pt>
                <c:pt idx="15">
                  <c:v>0.16776458447905646</c:v>
                </c:pt>
                <c:pt idx="16">
                  <c:v>0.17546955517902374</c:v>
                </c:pt>
                <c:pt idx="17">
                  <c:v>0.18268374545251637</c:v>
                </c:pt>
                <c:pt idx="18">
                  <c:v>0.18940712092514236</c:v>
                </c:pt>
                <c:pt idx="19">
                  <c:v>0.19563963855987279</c:v>
                </c:pt>
                <c:pt idx="20">
                  <c:v>0.20138124664701818</c:v>
                </c:pt>
                <c:pt idx="21">
                  <c:v>0.20663188479381731</c:v>
                </c:pt>
                <c:pt idx="22">
                  <c:v>0.21139148391363793</c:v>
                </c:pt>
                <c:pt idx="23">
                  <c:v>0.21565996621478717</c:v>
                </c:pt>
                <c:pt idx="24">
                  <c:v>0.21943724518893024</c:v>
                </c:pt>
                <c:pt idx="25">
                  <c:v>0.22272322559911761</c:v>
                </c:pt>
                <c:pt idx="26">
                  <c:v>0.22551780346741757</c:v>
                </c:pt>
                <c:pt idx="27">
                  <c:v>0.22782086606215432</c:v>
                </c:pt>
                <c:pt idx="28">
                  <c:v>0.22963229188474837</c:v>
                </c:pt>
                <c:pt idx="29">
                  <c:v>0.23095195065616042</c:v>
                </c:pt>
                <c:pt idx="30">
                  <c:v>0.23177970330293404</c:v>
                </c:pt>
                <c:pt idx="31">
                  <c:v>0.23211540194283906</c:v>
                </c:pt>
                <c:pt idx="32">
                  <c:v>0.2319588898701111</c:v>
                </c:pt>
                <c:pt idx="33">
                  <c:v>0.23131000154028775</c:v>
                </c:pt>
                <c:pt idx="34">
                  <c:v>0.23016856255463827</c:v>
                </c:pt>
                <c:pt idx="35">
                  <c:v>0.22853438964418704</c:v>
                </c:pt>
                <c:pt idx="36">
                  <c:v>0.22640729065332718</c:v>
                </c:pt>
                <c:pt idx="37">
                  <c:v>0.22378706452302338</c:v>
                </c:pt>
                <c:pt idx="38">
                  <c:v>0.22067350127360241</c:v>
                </c:pt>
                <c:pt idx="39">
                  <c:v>0.22303690084516348</c:v>
                </c:pt>
                <c:pt idx="40">
                  <c:v>0.22991389984812521</c:v>
                </c:pt>
                <c:pt idx="41">
                  <c:v>0.23681142920599652</c:v>
                </c:pt>
                <c:pt idx="42">
                  <c:v>0.24372953179166976</c:v>
                </c:pt>
                <c:pt idx="43">
                  <c:v>0.25066825088278877</c:v>
                </c:pt>
                <c:pt idx="44">
                  <c:v>0.25762763016356316</c:v>
                </c:pt>
                <c:pt idx="45">
                  <c:v>0.26460771372660241</c:v>
                </c:pt>
                <c:pt idx="46">
                  <c:v>0.27160854607477186</c:v>
                </c:pt>
                <c:pt idx="47">
                  <c:v>0.27863017212306884</c:v>
                </c:pt>
                <c:pt idx="48">
                  <c:v>0.2856726372005205</c:v>
                </c:pt>
                <c:pt idx="49">
                  <c:v>0.29273598705210258</c:v>
                </c:pt>
                <c:pt idx="50">
                  <c:v>0.29982026784068017</c:v>
                </c:pt>
                <c:pt idx="51">
                  <c:v>0.30692552614896951</c:v>
                </c:pt>
                <c:pt idx="52">
                  <c:v>0.31405180898152224</c:v>
                </c:pt>
                <c:pt idx="53">
                  <c:v>0.32119916376673108</c:v>
                </c:pt>
                <c:pt idx="54">
                  <c:v>0.32836763835885785</c:v>
                </c:pt>
                <c:pt idx="55">
                  <c:v>0.33555728104008409</c:v>
                </c:pt>
                <c:pt idx="56">
                  <c:v>0.34276814052258398</c:v>
                </c:pt>
                <c:pt idx="57">
                  <c:v>0.3500002659506195</c:v>
                </c:pt>
                <c:pt idx="58">
                  <c:v>0.3572537069026594</c:v>
                </c:pt>
                <c:pt idx="59">
                  <c:v>0.36452851339352016</c:v>
                </c:pt>
                <c:pt idx="60">
                  <c:v>0.37182473587653098</c:v>
                </c:pt>
                <c:pt idx="61">
                  <c:v>0.37914242524572178</c:v>
                </c:pt>
                <c:pt idx="62">
                  <c:v>0.38648163283803461</c:v>
                </c:pt>
                <c:pt idx="63">
                  <c:v>0.39384241043555951</c:v>
                </c:pt>
                <c:pt idx="64">
                  <c:v>0.40122481026779366</c:v>
                </c:pt>
                <c:pt idx="65">
                  <c:v>0.40862888501392491</c:v>
                </c:pt>
                <c:pt idx="66">
                  <c:v>0.41605468780513971</c:v>
                </c:pt>
                <c:pt idx="67">
                  <c:v>0.4235022722269558</c:v>
                </c:pt>
                <c:pt idx="68">
                  <c:v>0.43097169232157928</c:v>
                </c:pt>
                <c:pt idx="69">
                  <c:v>0.43846300259028681</c:v>
                </c:pt>
                <c:pt idx="70">
                  <c:v>0.44597625799583351</c:v>
                </c:pt>
                <c:pt idx="71">
                  <c:v>0.45351151396488476</c:v>
                </c:pt>
                <c:pt idx="72">
                  <c:v>0.46106882639047575</c:v>
                </c:pt>
                <c:pt idx="73">
                  <c:v>0.46864825163449464</c:v>
                </c:pt>
                <c:pt idx="74">
                  <c:v>0.47624984653019387</c:v>
                </c:pt>
                <c:pt idx="75">
                  <c:v>0.48387366838472545</c:v>
                </c:pt>
                <c:pt idx="76">
                  <c:v>0.49151977498170529</c:v>
                </c:pt>
                <c:pt idx="77">
                  <c:v>0.49918822458380185</c:v>
                </c:pt>
                <c:pt idx="78">
                  <c:v>0.50687907593535297</c:v>
                </c:pt>
                <c:pt idx="79">
                  <c:v>0.51459238826501053</c:v>
                </c:pt>
                <c:pt idx="80">
                  <c:v>0.52232822128841006</c:v>
                </c:pt>
                <c:pt idx="81">
                  <c:v>0.5300866352108714</c:v>
                </c:pt>
                <c:pt idx="82">
                  <c:v>0.53786769073012386</c:v>
                </c:pt>
                <c:pt idx="83">
                  <c:v>0.54567144903906251</c:v>
                </c:pt>
                <c:pt idx="84">
                  <c:v>0.55349797182852989</c:v>
                </c:pt>
                <c:pt idx="85">
                  <c:v>0.56134732129012954</c:v>
                </c:pt>
                <c:pt idx="86">
                  <c:v>0.5692195601190656</c:v>
                </c:pt>
                <c:pt idx="87">
                  <c:v>0.57711475151701319</c:v>
                </c:pt>
                <c:pt idx="88">
                  <c:v>0.58503295919501752</c:v>
                </c:pt>
                <c:pt idx="89">
                  <c:v>0.59297424737642279</c:v>
                </c:pt>
                <c:pt idx="90">
                  <c:v>0.60093868079983159</c:v>
                </c:pt>
                <c:pt idx="91">
                  <c:v>0.60892632472209363</c:v>
                </c:pt>
                <c:pt idx="92">
                  <c:v>0.61693724492132551</c:v>
                </c:pt>
                <c:pt idx="93">
                  <c:v>0.62497150769996068</c:v>
                </c:pt>
                <c:pt idx="94">
                  <c:v>0.63302917988783114</c:v>
                </c:pt>
                <c:pt idx="95">
                  <c:v>0.64111032884528041</c:v>
                </c:pt>
                <c:pt idx="96">
                  <c:v>0.64921502246630713</c:v>
                </c:pt>
                <c:pt idx="97">
                  <c:v>0.6573433291817421</c:v>
                </c:pt>
                <c:pt idx="98">
                  <c:v>0.66549531796245542</c:v>
                </c:pt>
                <c:pt idx="99">
                  <c:v>0.6736710583225991</c:v>
                </c:pt>
                <c:pt idx="100">
                  <c:v>0.68187062032287926</c:v>
                </c:pt>
              </c:numCache>
            </c:numRef>
          </c:val>
          <c:smooth val="0"/>
          <c:extLst>
            <c:ext xmlns:c16="http://schemas.microsoft.com/office/drawing/2014/chart" uri="{C3380CC4-5D6E-409C-BE32-E72D297353CC}">
              <c16:uniqueId val="{00000001-BBE1-43E5-BAF3-C6A1FB34B6E7}"/>
            </c:ext>
          </c:extLst>
        </c:ser>
        <c:ser>
          <c:idx val="3"/>
          <c:order val="2"/>
          <c:tx>
            <c:v>Inductor Loss</c:v>
          </c:tx>
          <c:spPr>
            <a:ln w="38100">
              <a:solidFill>
                <a:srgbClr val="800080"/>
              </a:solidFill>
              <a:prstDash val="dash"/>
            </a:ln>
          </c:spPr>
          <c:marker>
            <c:symbol val="none"/>
          </c:marker>
          <c:cat>
            <c:numRef>
              <c:f>'Efficiency Calculations'!$K$9:$K$109</c:f>
              <c:numCache>
                <c:formatCode>0.000</c:formatCode>
                <c:ptCount val="101"/>
                <c:pt idx="0">
                  <c:v>0</c:v>
                </c:pt>
                <c:pt idx="1">
                  <c:v>0.3</c:v>
                </c:pt>
                <c:pt idx="2">
                  <c:v>0.6</c:v>
                </c:pt>
                <c:pt idx="3">
                  <c:v>0.9</c:v>
                </c:pt>
                <c:pt idx="4">
                  <c:v>1.2</c:v>
                </c:pt>
                <c:pt idx="5">
                  <c:v>1.5</c:v>
                </c:pt>
                <c:pt idx="6">
                  <c:v>1.8</c:v>
                </c:pt>
                <c:pt idx="7">
                  <c:v>2.1</c:v>
                </c:pt>
                <c:pt idx="8">
                  <c:v>2.4</c:v>
                </c:pt>
                <c:pt idx="9">
                  <c:v>2.7</c:v>
                </c:pt>
                <c:pt idx="10">
                  <c:v>3</c:v>
                </c:pt>
                <c:pt idx="11">
                  <c:v>3.3</c:v>
                </c:pt>
                <c:pt idx="12">
                  <c:v>3.6</c:v>
                </c:pt>
                <c:pt idx="13">
                  <c:v>3.9</c:v>
                </c:pt>
                <c:pt idx="14">
                  <c:v>4.2</c:v>
                </c:pt>
                <c:pt idx="15">
                  <c:v>4.5</c:v>
                </c:pt>
                <c:pt idx="16">
                  <c:v>4.8</c:v>
                </c:pt>
                <c:pt idx="17">
                  <c:v>5.0999999999999996</c:v>
                </c:pt>
                <c:pt idx="18">
                  <c:v>5.4</c:v>
                </c:pt>
                <c:pt idx="19">
                  <c:v>5.7</c:v>
                </c:pt>
                <c:pt idx="20">
                  <c:v>6</c:v>
                </c:pt>
                <c:pt idx="21">
                  <c:v>6.3</c:v>
                </c:pt>
                <c:pt idx="22">
                  <c:v>6.6</c:v>
                </c:pt>
                <c:pt idx="23">
                  <c:v>6.9</c:v>
                </c:pt>
                <c:pt idx="24">
                  <c:v>7.2</c:v>
                </c:pt>
                <c:pt idx="25">
                  <c:v>7.5</c:v>
                </c:pt>
                <c:pt idx="26">
                  <c:v>7.8</c:v>
                </c:pt>
                <c:pt idx="27">
                  <c:v>8.1</c:v>
                </c:pt>
                <c:pt idx="28">
                  <c:v>8.4</c:v>
                </c:pt>
                <c:pt idx="29">
                  <c:v>8.6999999999999993</c:v>
                </c:pt>
                <c:pt idx="30">
                  <c:v>9</c:v>
                </c:pt>
                <c:pt idx="31">
                  <c:v>9.3000000000000007</c:v>
                </c:pt>
                <c:pt idx="32">
                  <c:v>9.6</c:v>
                </c:pt>
                <c:pt idx="33">
                  <c:v>9.9</c:v>
                </c:pt>
                <c:pt idx="34">
                  <c:v>10.199999999999999</c:v>
                </c:pt>
                <c:pt idx="35">
                  <c:v>10.5</c:v>
                </c:pt>
                <c:pt idx="36">
                  <c:v>10.8</c:v>
                </c:pt>
                <c:pt idx="37">
                  <c:v>11.1</c:v>
                </c:pt>
                <c:pt idx="38">
                  <c:v>11.4</c:v>
                </c:pt>
                <c:pt idx="39">
                  <c:v>11.7</c:v>
                </c:pt>
                <c:pt idx="40">
                  <c:v>12</c:v>
                </c:pt>
                <c:pt idx="41">
                  <c:v>12.3</c:v>
                </c:pt>
                <c:pt idx="42">
                  <c:v>12.6</c:v>
                </c:pt>
                <c:pt idx="43">
                  <c:v>12.9</c:v>
                </c:pt>
                <c:pt idx="44">
                  <c:v>13.2</c:v>
                </c:pt>
                <c:pt idx="45">
                  <c:v>13.5</c:v>
                </c:pt>
                <c:pt idx="46">
                  <c:v>13.8</c:v>
                </c:pt>
                <c:pt idx="47">
                  <c:v>14.1</c:v>
                </c:pt>
                <c:pt idx="48">
                  <c:v>14.4</c:v>
                </c:pt>
                <c:pt idx="49">
                  <c:v>14.7</c:v>
                </c:pt>
                <c:pt idx="50">
                  <c:v>15</c:v>
                </c:pt>
                <c:pt idx="51">
                  <c:v>15.3</c:v>
                </c:pt>
                <c:pt idx="52">
                  <c:v>15.6</c:v>
                </c:pt>
                <c:pt idx="53">
                  <c:v>15.9</c:v>
                </c:pt>
                <c:pt idx="54">
                  <c:v>16.2</c:v>
                </c:pt>
                <c:pt idx="55">
                  <c:v>16.5</c:v>
                </c:pt>
                <c:pt idx="56">
                  <c:v>16.8</c:v>
                </c:pt>
                <c:pt idx="57">
                  <c:v>17.100000000000001</c:v>
                </c:pt>
                <c:pt idx="58">
                  <c:v>17.399999999999999</c:v>
                </c:pt>
                <c:pt idx="59">
                  <c:v>17.7</c:v>
                </c:pt>
                <c:pt idx="60">
                  <c:v>18</c:v>
                </c:pt>
                <c:pt idx="61">
                  <c:v>18.3</c:v>
                </c:pt>
                <c:pt idx="62">
                  <c:v>18.600000000000001</c:v>
                </c:pt>
                <c:pt idx="63">
                  <c:v>18.899999999999999</c:v>
                </c:pt>
                <c:pt idx="64">
                  <c:v>19.2</c:v>
                </c:pt>
                <c:pt idx="65">
                  <c:v>19.5</c:v>
                </c:pt>
                <c:pt idx="66">
                  <c:v>19.8</c:v>
                </c:pt>
                <c:pt idx="67">
                  <c:v>20.100000000000001</c:v>
                </c:pt>
                <c:pt idx="68">
                  <c:v>20.399999999999999</c:v>
                </c:pt>
                <c:pt idx="69">
                  <c:v>20.7</c:v>
                </c:pt>
                <c:pt idx="70">
                  <c:v>21</c:v>
                </c:pt>
                <c:pt idx="71">
                  <c:v>21.3</c:v>
                </c:pt>
                <c:pt idx="72">
                  <c:v>21.6</c:v>
                </c:pt>
                <c:pt idx="73">
                  <c:v>21.9</c:v>
                </c:pt>
                <c:pt idx="74">
                  <c:v>22.2</c:v>
                </c:pt>
                <c:pt idx="75">
                  <c:v>22.5</c:v>
                </c:pt>
                <c:pt idx="76">
                  <c:v>22.8</c:v>
                </c:pt>
                <c:pt idx="77">
                  <c:v>23.1</c:v>
                </c:pt>
                <c:pt idx="78">
                  <c:v>23.4</c:v>
                </c:pt>
                <c:pt idx="79">
                  <c:v>23.7</c:v>
                </c:pt>
                <c:pt idx="80">
                  <c:v>24</c:v>
                </c:pt>
                <c:pt idx="81">
                  <c:v>24.3</c:v>
                </c:pt>
                <c:pt idx="82">
                  <c:v>24.6</c:v>
                </c:pt>
                <c:pt idx="83">
                  <c:v>24.9</c:v>
                </c:pt>
                <c:pt idx="84">
                  <c:v>25.2</c:v>
                </c:pt>
                <c:pt idx="85">
                  <c:v>25.5</c:v>
                </c:pt>
                <c:pt idx="86">
                  <c:v>25.8</c:v>
                </c:pt>
                <c:pt idx="87">
                  <c:v>26.1</c:v>
                </c:pt>
                <c:pt idx="88">
                  <c:v>26.4</c:v>
                </c:pt>
                <c:pt idx="89">
                  <c:v>26.7</c:v>
                </c:pt>
                <c:pt idx="90">
                  <c:v>27</c:v>
                </c:pt>
                <c:pt idx="91">
                  <c:v>27.3</c:v>
                </c:pt>
                <c:pt idx="92">
                  <c:v>27.6</c:v>
                </c:pt>
                <c:pt idx="93">
                  <c:v>27.9</c:v>
                </c:pt>
                <c:pt idx="94">
                  <c:v>28.2</c:v>
                </c:pt>
                <c:pt idx="95">
                  <c:v>28.5</c:v>
                </c:pt>
                <c:pt idx="96">
                  <c:v>28.8</c:v>
                </c:pt>
                <c:pt idx="97">
                  <c:v>29.1</c:v>
                </c:pt>
                <c:pt idx="98">
                  <c:v>29.4</c:v>
                </c:pt>
                <c:pt idx="99">
                  <c:v>29.7</c:v>
                </c:pt>
                <c:pt idx="100">
                  <c:v>30</c:v>
                </c:pt>
              </c:numCache>
            </c:numRef>
          </c:cat>
          <c:val>
            <c:numRef>
              <c:f>'Ch2 Efficiency Calculations'!$BA$9:$BA$109</c:f>
              <c:numCache>
                <c:formatCode>0.000</c:formatCode>
                <c:ptCount val="101"/>
                <c:pt idx="0">
                  <c:v>0.33607907292567174</c:v>
                </c:pt>
                <c:pt idx="1">
                  <c:v>0.33616179790641643</c:v>
                </c:pt>
                <c:pt idx="2">
                  <c:v>0.33639281808727317</c:v>
                </c:pt>
                <c:pt idx="3">
                  <c:v>0.33677214948206929</c:v>
                </c:pt>
                <c:pt idx="4">
                  <c:v>0.33729981838730999</c:v>
                </c:pt>
                <c:pt idx="5">
                  <c:v>0.33797586138673658</c:v>
                </c:pt>
                <c:pt idx="6">
                  <c:v>0.33880032535766808</c:v>
                </c:pt>
                <c:pt idx="7">
                  <c:v>0.33977326747912912</c:v>
                </c:pt>
                <c:pt idx="8">
                  <c:v>0.34089475524176616</c:v>
                </c:pt>
                <c:pt idx="9">
                  <c:v>0.34216486645955635</c:v>
                </c:pt>
                <c:pt idx="10">
                  <c:v>0.34358368928331112</c:v>
                </c:pt>
                <c:pt idx="11">
                  <c:v>0.3451513222159806</c:v>
                </c:pt>
                <c:pt idx="12">
                  <c:v>0.34686787412976272</c:v>
                </c:pt>
                <c:pt idx="13">
                  <c:v>0.34873346428502272</c:v>
                </c:pt>
                <c:pt idx="14">
                  <c:v>0.35074822235102965</c:v>
                </c:pt>
                <c:pt idx="15">
                  <c:v>0.35291228842851652</c:v>
                </c:pt>
                <c:pt idx="16">
                  <c:v>0.35522581307407064</c:v>
                </c:pt>
                <c:pt idx="17">
                  <c:v>0.35768895732636286</c:v>
                </c:pt>
                <c:pt idx="18">
                  <c:v>0.36030189273422464</c:v>
                </c:pt>
                <c:pt idx="19">
                  <c:v>0.36306480138658093</c:v>
                </c:pt>
                <c:pt idx="20">
                  <c:v>0.36597787594424913</c:v>
                </c:pt>
                <c:pt idx="21">
                  <c:v>0.36904131967361559</c:v>
                </c:pt>
                <c:pt idx="22">
                  <c:v>0.3722553464821981</c:v>
                </c:pt>
                <c:pt idx="23">
                  <c:v>0.37562018095610977</c:v>
                </c:pt>
                <c:pt idx="24">
                  <c:v>0.37913605839943215</c:v>
                </c:pt>
                <c:pt idx="25">
                  <c:v>0.38280322487551455</c:v>
                </c:pt>
                <c:pt idx="26">
                  <c:v>0.38662193725021071</c:v>
                </c:pt>
                <c:pt idx="27">
                  <c:v>0.3905924632370677</c:v>
                </c:pt>
                <c:pt idx="28">
                  <c:v>0.39471508144448197</c:v>
                </c:pt>
                <c:pt idx="29">
                  <c:v>0.3989900814248391</c:v>
                </c:pt>
                <c:pt idx="30">
                  <c:v>0.40341776372565091</c:v>
                </c:pt>
                <c:pt idx="31">
                  <c:v>0.40799843994271023</c:v>
                </c:pt>
                <c:pt idx="32">
                  <c:v>0.41273243277527838</c:v>
                </c:pt>
                <c:pt idx="33">
                  <c:v>0.41762007608332491</c:v>
                </c:pt>
                <c:pt idx="34">
                  <c:v>0.42266171494683835</c:v>
                </c:pt>
                <c:pt idx="35">
                  <c:v>0.42785770572722831</c:v>
                </c:pt>
                <c:pt idx="36">
                  <c:v>0.4332084161308386</c:v>
                </c:pt>
                <c:pt idx="37">
                  <c:v>0.43871422527459308</c:v>
                </c:pt>
                <c:pt idx="38">
                  <c:v>0.44437552375379669</c:v>
                </c:pt>
                <c:pt idx="39">
                  <c:v>0.45019271371211428</c:v>
                </c:pt>
                <c:pt idx="40">
                  <c:v>0.45616620891375043</c:v>
                </c:pt>
                <c:pt idx="41">
                  <c:v>0.46229643481785487</c:v>
                </c:pt>
                <c:pt idx="42">
                  <c:v>0.46858382865517967</c:v>
                </c:pt>
                <c:pt idx="43">
                  <c:v>0.47502883950701286</c:v>
                </c:pt>
                <c:pt idx="44">
                  <c:v>0.48163192838641644</c:v>
                </c:pt>
                <c:pt idx="45">
                  <c:v>0.4883935683217957</c:v>
                </c:pt>
                <c:pt idx="46">
                  <c:v>0.49531424444282973</c:v>
                </c:pt>
                <c:pt idx="47">
                  <c:v>0.50239445406879157</c:v>
                </c:pt>
                <c:pt idx="48">
                  <c:v>0.50963470679928813</c:v>
                </c:pt>
                <c:pt idx="49">
                  <c:v>0.51703552460745306</c:v>
                </c:pt>
                <c:pt idx="50">
                  <c:v>0.52459744193562308</c:v>
                </c:pt>
                <c:pt idx="51">
                  <c:v>0.53232100579353181</c:v>
                </c:pt>
                <c:pt idx="52">
                  <c:v>0.54020677585905486</c:v>
                </c:pt>
                <c:pt idx="53">
                  <c:v>0.54825532458154236</c:v>
                </c:pt>
                <c:pt idx="54">
                  <c:v>0.55646723728777459</c:v>
                </c:pt>
                <c:pt idx="55">
                  <c:v>0.56484311229057693</c:v>
                </c:pt>
                <c:pt idx="56">
                  <c:v>0.57338356100013588</c:v>
                </c:pt>
                <c:pt idx="57">
                  <c:v>0.58208920803804987</c:v>
                </c:pt>
                <c:pt idx="58">
                  <c:v>0.59096069135416207</c:v>
                </c:pt>
                <c:pt idx="59">
                  <c:v>0.59999866234621213</c:v>
                </c:pt>
                <c:pt idx="60">
                  <c:v>0.60920378598235103</c:v>
                </c:pt>
                <c:pt idx="61">
                  <c:v>0.61857674092656312</c:v>
                </c:pt>
                <c:pt idx="62">
                  <c:v>0.62811821966704151</c:v>
                </c:pt>
                <c:pt idx="63">
                  <c:v>0.63782892864756069</c:v>
                </c:pt>
                <c:pt idx="64">
                  <c:v>0.64770958840189807</c:v>
                </c:pt>
                <c:pt idx="65">
                  <c:v>0.65776093369134814</c:v>
                </c:pt>
                <c:pt idx="66">
                  <c:v>0.667983713645385</c:v>
                </c:pt>
                <c:pt idx="67">
                  <c:v>0.6783786919055198</c:v>
                </c:pt>
                <c:pt idx="68">
                  <c:v>0.68894664677241224</c:v>
                </c:pt>
                <c:pt idx="69">
                  <c:v>0.69968837135628226</c:v>
                </c:pt>
                <c:pt idx="70">
                  <c:v>0.71060467373068747</c:v>
                </c:pt>
                <c:pt idx="71">
                  <c:v>0.72169637708971246</c:v>
                </c:pt>
                <c:pt idx="72">
                  <c:v>0.73296431990864386</c:v>
                </c:pt>
                <c:pt idx="73">
                  <c:v>0.74440935610817227</c:v>
                </c:pt>
                <c:pt idx="74">
                  <c:v>0.75603235522220258</c:v>
                </c:pt>
                <c:pt idx="75">
                  <c:v>0.76783420256932078</c:v>
                </c:pt>
                <c:pt idx="76">
                  <c:v>0.77981579942799317</c:v>
                </c:pt>
                <c:pt idx="77">
                  <c:v>0.79197806321555908</c:v>
                </c:pt>
                <c:pt idx="78">
                  <c:v>0.80432192767108546</c:v>
                </c:pt>
                <c:pt idx="79">
                  <c:v>0.81684834304216081</c:v>
                </c:pt>
                <c:pt idx="80">
                  <c:v>0.82955827627569045</c:v>
                </c:pt>
                <c:pt idx="81">
                  <c:v>0.84245271121277732</c:v>
                </c:pt>
                <c:pt idx="82">
                  <c:v>0.85553264878775537</c:v>
                </c:pt>
                <c:pt idx="83">
                  <c:v>0.86879910723146392</c:v>
                </c:pt>
                <c:pt idx="84">
                  <c:v>0.88225312227883124</c:v>
                </c:pt>
                <c:pt idx="85">
                  <c:v>0.8958957473808602</c:v>
                </c:pt>
                <c:pt idx="86">
                  <c:v>0.90972805392109668</c:v>
                </c:pt>
                <c:pt idx="87">
                  <c:v>0.92375113143666132</c:v>
                </c:pt>
                <c:pt idx="88">
                  <c:v>0.93796608784394464</c:v>
                </c:pt>
                <c:pt idx="89">
                  <c:v>0.95237404966904782</c:v>
                </c:pt>
                <c:pt idx="90">
                  <c:v>0.96697616228306782</c:v>
                </c:pt>
                <c:pt idx="91">
                  <c:v>0.98177359014231591</c:v>
                </c:pt>
                <c:pt idx="92">
                  <c:v>0.99676751703358146</c:v>
                </c:pt>
                <c:pt idx="93">
                  <c:v>1.0119591463245239</c:v>
                </c:pt>
                <c:pt idx="94">
                  <c:v>1.0273497012193125</c:v>
                </c:pt>
                <c:pt idx="95">
                  <c:v>1.0429404250196124</c:v>
                </c:pt>
                <c:pt idx="96">
                  <c:v>1.0587325813910247</c:v>
                </c:pt>
                <c:pt idx="97">
                  <c:v>1.0747274546351016</c:v>
                </c:pt>
                <c:pt idx="98">
                  <c:v>1.0909263499670365</c:v>
                </c:pt>
                <c:pt idx="99">
                  <c:v>1.1073305937991675</c:v>
                </c:pt>
                <c:pt idx="100">
                  <c:v>1.1239415340303915</c:v>
                </c:pt>
              </c:numCache>
            </c:numRef>
          </c:val>
          <c:smooth val="0"/>
          <c:extLst>
            <c:ext xmlns:c16="http://schemas.microsoft.com/office/drawing/2014/chart" uri="{C3380CC4-5D6E-409C-BE32-E72D297353CC}">
              <c16:uniqueId val="{00000002-BBE1-43E5-BAF3-C6A1FB34B6E7}"/>
            </c:ext>
          </c:extLst>
        </c:ser>
        <c:ser>
          <c:idx val="1"/>
          <c:order val="3"/>
          <c:tx>
            <c:strRef>
              <c:f>'Efficiency Calculations'!$BD$8</c:f>
              <c:strCache>
                <c:ptCount val="1"/>
                <c:pt idx="0">
                  <c:v>SYNC MOSFET Loss</c:v>
                </c:pt>
              </c:strCache>
            </c:strRef>
          </c:tx>
          <c:spPr>
            <a:ln w="38100">
              <a:solidFill>
                <a:srgbClr val="002060"/>
              </a:solidFill>
              <a:prstDash val="sysDot"/>
            </a:ln>
          </c:spPr>
          <c:marker>
            <c:symbol val="none"/>
          </c:marker>
          <c:cat>
            <c:numRef>
              <c:f>'Efficiency Calculations'!$K$9:$K$109</c:f>
              <c:numCache>
                <c:formatCode>0.000</c:formatCode>
                <c:ptCount val="101"/>
                <c:pt idx="0">
                  <c:v>0</c:v>
                </c:pt>
                <c:pt idx="1">
                  <c:v>0.3</c:v>
                </c:pt>
                <c:pt idx="2">
                  <c:v>0.6</c:v>
                </c:pt>
                <c:pt idx="3">
                  <c:v>0.9</c:v>
                </c:pt>
                <c:pt idx="4">
                  <c:v>1.2</c:v>
                </c:pt>
                <c:pt idx="5">
                  <c:v>1.5</c:v>
                </c:pt>
                <c:pt idx="6">
                  <c:v>1.8</c:v>
                </c:pt>
                <c:pt idx="7">
                  <c:v>2.1</c:v>
                </c:pt>
                <c:pt idx="8">
                  <c:v>2.4</c:v>
                </c:pt>
                <c:pt idx="9">
                  <c:v>2.7</c:v>
                </c:pt>
                <c:pt idx="10">
                  <c:v>3</c:v>
                </c:pt>
                <c:pt idx="11">
                  <c:v>3.3</c:v>
                </c:pt>
                <c:pt idx="12">
                  <c:v>3.6</c:v>
                </c:pt>
                <c:pt idx="13">
                  <c:v>3.9</c:v>
                </c:pt>
                <c:pt idx="14">
                  <c:v>4.2</c:v>
                </c:pt>
                <c:pt idx="15">
                  <c:v>4.5</c:v>
                </c:pt>
                <c:pt idx="16">
                  <c:v>4.8</c:v>
                </c:pt>
                <c:pt idx="17">
                  <c:v>5.0999999999999996</c:v>
                </c:pt>
                <c:pt idx="18">
                  <c:v>5.4</c:v>
                </c:pt>
                <c:pt idx="19">
                  <c:v>5.7</c:v>
                </c:pt>
                <c:pt idx="20">
                  <c:v>6</c:v>
                </c:pt>
                <c:pt idx="21">
                  <c:v>6.3</c:v>
                </c:pt>
                <c:pt idx="22">
                  <c:v>6.6</c:v>
                </c:pt>
                <c:pt idx="23">
                  <c:v>6.9</c:v>
                </c:pt>
                <c:pt idx="24">
                  <c:v>7.2</c:v>
                </c:pt>
                <c:pt idx="25">
                  <c:v>7.5</c:v>
                </c:pt>
                <c:pt idx="26">
                  <c:v>7.8</c:v>
                </c:pt>
                <c:pt idx="27">
                  <c:v>8.1</c:v>
                </c:pt>
                <c:pt idx="28">
                  <c:v>8.4</c:v>
                </c:pt>
                <c:pt idx="29">
                  <c:v>8.6999999999999993</c:v>
                </c:pt>
                <c:pt idx="30">
                  <c:v>9</c:v>
                </c:pt>
                <c:pt idx="31">
                  <c:v>9.3000000000000007</c:v>
                </c:pt>
                <c:pt idx="32">
                  <c:v>9.6</c:v>
                </c:pt>
                <c:pt idx="33">
                  <c:v>9.9</c:v>
                </c:pt>
                <c:pt idx="34">
                  <c:v>10.199999999999999</c:v>
                </c:pt>
                <c:pt idx="35">
                  <c:v>10.5</c:v>
                </c:pt>
                <c:pt idx="36">
                  <c:v>10.8</c:v>
                </c:pt>
                <c:pt idx="37">
                  <c:v>11.1</c:v>
                </c:pt>
                <c:pt idx="38">
                  <c:v>11.4</c:v>
                </c:pt>
                <c:pt idx="39">
                  <c:v>11.7</c:v>
                </c:pt>
                <c:pt idx="40">
                  <c:v>12</c:v>
                </c:pt>
                <c:pt idx="41">
                  <c:v>12.3</c:v>
                </c:pt>
                <c:pt idx="42">
                  <c:v>12.6</c:v>
                </c:pt>
                <c:pt idx="43">
                  <c:v>12.9</c:v>
                </c:pt>
                <c:pt idx="44">
                  <c:v>13.2</c:v>
                </c:pt>
                <c:pt idx="45">
                  <c:v>13.5</c:v>
                </c:pt>
                <c:pt idx="46">
                  <c:v>13.8</c:v>
                </c:pt>
                <c:pt idx="47">
                  <c:v>14.1</c:v>
                </c:pt>
                <c:pt idx="48">
                  <c:v>14.4</c:v>
                </c:pt>
                <c:pt idx="49">
                  <c:v>14.7</c:v>
                </c:pt>
                <c:pt idx="50">
                  <c:v>15</c:v>
                </c:pt>
                <c:pt idx="51">
                  <c:v>15.3</c:v>
                </c:pt>
                <c:pt idx="52">
                  <c:v>15.6</c:v>
                </c:pt>
                <c:pt idx="53">
                  <c:v>15.9</c:v>
                </c:pt>
                <c:pt idx="54">
                  <c:v>16.2</c:v>
                </c:pt>
                <c:pt idx="55">
                  <c:v>16.5</c:v>
                </c:pt>
                <c:pt idx="56">
                  <c:v>16.8</c:v>
                </c:pt>
                <c:pt idx="57">
                  <c:v>17.100000000000001</c:v>
                </c:pt>
                <c:pt idx="58">
                  <c:v>17.399999999999999</c:v>
                </c:pt>
                <c:pt idx="59">
                  <c:v>17.7</c:v>
                </c:pt>
                <c:pt idx="60">
                  <c:v>18</c:v>
                </c:pt>
                <c:pt idx="61">
                  <c:v>18.3</c:v>
                </c:pt>
                <c:pt idx="62">
                  <c:v>18.600000000000001</c:v>
                </c:pt>
                <c:pt idx="63">
                  <c:v>18.899999999999999</c:v>
                </c:pt>
                <c:pt idx="64">
                  <c:v>19.2</c:v>
                </c:pt>
                <c:pt idx="65">
                  <c:v>19.5</c:v>
                </c:pt>
                <c:pt idx="66">
                  <c:v>19.8</c:v>
                </c:pt>
                <c:pt idx="67">
                  <c:v>20.100000000000001</c:v>
                </c:pt>
                <c:pt idx="68">
                  <c:v>20.399999999999999</c:v>
                </c:pt>
                <c:pt idx="69">
                  <c:v>20.7</c:v>
                </c:pt>
                <c:pt idx="70">
                  <c:v>21</c:v>
                </c:pt>
                <c:pt idx="71">
                  <c:v>21.3</c:v>
                </c:pt>
                <c:pt idx="72">
                  <c:v>21.6</c:v>
                </c:pt>
                <c:pt idx="73">
                  <c:v>21.9</c:v>
                </c:pt>
                <c:pt idx="74">
                  <c:v>22.2</c:v>
                </c:pt>
                <c:pt idx="75">
                  <c:v>22.5</c:v>
                </c:pt>
                <c:pt idx="76">
                  <c:v>22.8</c:v>
                </c:pt>
                <c:pt idx="77">
                  <c:v>23.1</c:v>
                </c:pt>
                <c:pt idx="78">
                  <c:v>23.4</c:v>
                </c:pt>
                <c:pt idx="79">
                  <c:v>23.7</c:v>
                </c:pt>
                <c:pt idx="80">
                  <c:v>24</c:v>
                </c:pt>
                <c:pt idx="81">
                  <c:v>24.3</c:v>
                </c:pt>
                <c:pt idx="82">
                  <c:v>24.6</c:v>
                </c:pt>
                <c:pt idx="83">
                  <c:v>24.9</c:v>
                </c:pt>
                <c:pt idx="84">
                  <c:v>25.2</c:v>
                </c:pt>
                <c:pt idx="85">
                  <c:v>25.5</c:v>
                </c:pt>
                <c:pt idx="86">
                  <c:v>25.8</c:v>
                </c:pt>
                <c:pt idx="87">
                  <c:v>26.1</c:v>
                </c:pt>
                <c:pt idx="88">
                  <c:v>26.4</c:v>
                </c:pt>
                <c:pt idx="89">
                  <c:v>26.7</c:v>
                </c:pt>
                <c:pt idx="90">
                  <c:v>27</c:v>
                </c:pt>
                <c:pt idx="91">
                  <c:v>27.3</c:v>
                </c:pt>
                <c:pt idx="92">
                  <c:v>27.6</c:v>
                </c:pt>
                <c:pt idx="93">
                  <c:v>27.9</c:v>
                </c:pt>
                <c:pt idx="94">
                  <c:v>28.2</c:v>
                </c:pt>
                <c:pt idx="95">
                  <c:v>28.5</c:v>
                </c:pt>
                <c:pt idx="96">
                  <c:v>28.8</c:v>
                </c:pt>
                <c:pt idx="97">
                  <c:v>29.1</c:v>
                </c:pt>
                <c:pt idx="98">
                  <c:v>29.4</c:v>
                </c:pt>
                <c:pt idx="99">
                  <c:v>29.7</c:v>
                </c:pt>
                <c:pt idx="100">
                  <c:v>30</c:v>
                </c:pt>
              </c:numCache>
            </c:numRef>
          </c:cat>
          <c:val>
            <c:numRef>
              <c:f>'Ch2 Efficiency Calculations'!$BD$9:$BD$109</c:f>
              <c:numCache>
                <c:formatCode>0.000</c:formatCode>
                <c:ptCount val="101"/>
                <c:pt idx="0">
                  <c:v>2.5594227569933171E-2</c:v>
                </c:pt>
                <c:pt idx="1">
                  <c:v>2.7850836932826823E-2</c:v>
                </c:pt>
                <c:pt idx="2">
                  <c:v>3.0171985147125595E-2</c:v>
                </c:pt>
                <c:pt idx="3">
                  <c:v>3.2557686309349076E-2</c:v>
                </c:pt>
                <c:pt idx="4">
                  <c:v>3.5007959489593385E-2</c:v>
                </c:pt>
                <c:pt idx="5">
                  <c:v>3.7522828734324061E-2</c:v>
                </c:pt>
                <c:pt idx="6">
                  <c:v>4.010232307012758E-2</c:v>
                </c:pt>
                <c:pt idx="7">
                  <c:v>4.2746476508423184E-2</c:v>
                </c:pt>
                <c:pt idx="8">
                  <c:v>4.5455328051136092E-2</c:v>
                </c:pt>
                <c:pt idx="9">
                  <c:v>4.8228921697334323E-2</c:v>
                </c:pt>
                <c:pt idx="10">
                  <c:v>5.1067306450831219E-2</c:v>
                </c:pt>
                <c:pt idx="11">
                  <c:v>5.3970536328756286E-2</c:v>
                </c:pt>
                <c:pt idx="12">
                  <c:v>5.6938670371097087E-2</c:v>
                </c:pt>
                <c:pt idx="13">
                  <c:v>5.9971772651216018E-2</c:v>
                </c:pt>
                <c:pt idx="14">
                  <c:v>6.3069912287344723E-2</c:v>
                </c:pt>
                <c:pt idx="15">
                  <c:v>6.6233163455061084E-2</c:v>
                </c:pt>
                <c:pt idx="16">
                  <c:v>6.9461605400752385E-2</c:v>
                </c:pt>
                <c:pt idx="17">
                  <c:v>7.2755322456069915E-2</c:v>
                </c:pt>
                <c:pt idx="18">
                  <c:v>7.611440405337952E-2</c:v>
                </c:pt>
                <c:pt idx="19">
                  <c:v>7.9538944742214124E-2</c:v>
                </c:pt>
                <c:pt idx="20">
                  <c:v>8.3029044206733682E-2</c:v>
                </c:pt>
                <c:pt idx="21">
                  <c:v>8.6584807284198637E-2</c:v>
                </c:pt>
                <c:pt idx="22">
                  <c:v>9.020634398446388E-2</c:v>
                </c:pt>
                <c:pt idx="23">
                  <c:v>9.3893769510499714E-2</c:v>
                </c:pt>
                <c:pt idx="24">
                  <c:v>9.7647204279947247E-2</c:v>
                </c:pt>
                <c:pt idx="25">
                  <c:v>0.10146677394771622</c:v>
                </c:pt>
                <c:pt idx="26">
                  <c:v>0.10535260942963284</c:v>
                </c:pt>
                <c:pt idx="27">
                  <c:v>0.10930484692714663</c:v>
                </c:pt>
                <c:pt idx="28">
                  <c:v>0.11332362795310472</c:v>
                </c:pt>
                <c:pt idx="29">
                  <c:v>0.11740909935860355</c:v>
                </c:pt>
                <c:pt idx="30">
                  <c:v>0.12156141336092668</c:v>
                </c:pt>
                <c:pt idx="31">
                  <c:v>0.12578072757257991</c:v>
                </c:pt>
                <c:pt idx="32">
                  <c:v>0.13006720503143382</c:v>
                </c:pt>
                <c:pt idx="33">
                  <c:v>0.13442101423198433</c:v>
                </c:pt>
                <c:pt idx="34">
                  <c:v>0.13884232915774336</c:v>
                </c:pt>
                <c:pt idx="35">
                  <c:v>0.14333132931477119</c:v>
                </c:pt>
                <c:pt idx="36">
                  <c:v>0.14788819976636286</c:v>
                </c:pt>
                <c:pt idx="37">
                  <c:v>0.15251313116890125</c:v>
                </c:pt>
                <c:pt idx="38">
                  <c:v>0.15720631980889027</c:v>
                </c:pt>
                <c:pt idx="39">
                  <c:v>0.16211526667378057</c:v>
                </c:pt>
                <c:pt idx="40">
                  <c:v>0.16720670114981606</c:v>
                </c:pt>
                <c:pt idx="41">
                  <c:v>0.17236729250786553</c:v>
                </c:pt>
                <c:pt idx="42">
                  <c:v>0.17759727054666874</c:v>
                </c:pt>
                <c:pt idx="43">
                  <c:v>0.18289687094260726</c:v>
                </c:pt>
                <c:pt idx="44">
                  <c:v>0.18826633529562076</c:v>
                </c:pt>
                <c:pt idx="45">
                  <c:v>0.19370591117642325</c:v>
                </c:pt>
                <c:pt idx="46">
                  <c:v>0.1992158521750379</c:v>
                </c:pt>
                <c:pt idx="47">
                  <c:v>0.20479641795066783</c:v>
                </c:pt>
                <c:pt idx="48">
                  <c:v>0.21044787428292183</c:v>
                </c:pt>
                <c:pt idx="49">
                  <c:v>0.21617049312441489</c:v>
                </c:pt>
                <c:pt idx="50">
                  <c:v>0.22196455265476386</c:v>
                </c:pt>
                <c:pt idx="51">
                  <c:v>0.22783033733599756</c:v>
                </c:pt>
                <c:pt idx="52">
                  <c:v>0.23376813796940446</c:v>
                </c:pt>
                <c:pt idx="53">
                  <c:v>0.23977825175383796</c:v>
                </c:pt>
                <c:pt idx="54">
                  <c:v>0.24586098234550394</c:v>
                </c:pt>
                <c:pt idx="55">
                  <c:v>0.25201663991925105</c:v>
                </c:pt>
                <c:pt idx="56">
                  <c:v>0.25824554123139082</c:v>
                </c:pt>
                <c:pt idx="57">
                  <c:v>0.26454800968406933</c:v>
                </c:pt>
                <c:pt idx="58">
                  <c:v>0.27092437539121766</c:v>
                </c:pt>
                <c:pt idx="59">
                  <c:v>0.27737497524610577</c:v>
                </c:pt>
                <c:pt idx="60">
                  <c:v>0.28390015299052807</c:v>
                </c:pt>
                <c:pt idx="61">
                  <c:v>0.2905002592856461</c:v>
                </c:pt>
                <c:pt idx="62">
                  <c:v>0.2971756517845191</c:v>
                </c:pt>
                <c:pt idx="63">
                  <c:v>0.30392669520634885</c:v>
                </c:pt>
                <c:pt idx="64">
                  <c:v>0.31075376141247185</c:v>
                </c:pt>
                <c:pt idx="65">
                  <c:v>0.31765722948412523</c:v>
                </c:pt>
                <c:pt idx="66">
                  <c:v>0.3246374858020229</c:v>
                </c:pt>
                <c:pt idx="67">
                  <c:v>0.33169492412777057</c:v>
                </c:pt>
                <c:pt idx="68">
                  <c:v>0.33882994568715474</c:v>
                </c:pt>
                <c:pt idx="69">
                  <c:v>0.34604295925533918</c:v>
                </c:pt>
                <c:pt idx="70">
                  <c:v>0.3533343812440054</c:v>
                </c:pt>
                <c:pt idx="71">
                  <c:v>0.3607046357904703</c:v>
                </c:pt>
                <c:pt idx="72">
                  <c:v>0.36815415484882286</c:v>
                </c:pt>
                <c:pt idx="73">
                  <c:v>0.3756833782831126</c:v>
                </c:pt>
                <c:pt idx="74">
                  <c:v>0.38329275396263451</c:v>
                </c:pt>
                <c:pt idx="75">
                  <c:v>0.39098273785934429</c:v>
                </c:pt>
                <c:pt idx="76">
                  <c:v>0.39875379414745343</c:v>
                </c:pt>
                <c:pt idx="77">
                  <c:v>0.40660639530523829</c:v>
                </c:pt>
                <c:pt idx="78">
                  <c:v>0.41454102221911238</c:v>
                </c:pt>
                <c:pt idx="79">
                  <c:v>0.42255816429000542</c:v>
                </c:pt>
                <c:pt idx="80">
                  <c:v>0.4306583195420936</c:v>
                </c:pt>
                <c:pt idx="81">
                  <c:v>0.43884199473393082</c:v>
                </c:pt>
                <c:pt idx="82">
                  <c:v>0.447109705472027</c:v>
                </c:pt>
                <c:pt idx="83">
                  <c:v>0.45546197632692614</c:v>
                </c:pt>
                <c:pt idx="84">
                  <c:v>0.46389934095183277</c:v>
                </c:pt>
                <c:pt idx="85">
                  <c:v>0.47242234220384116</c:v>
                </c:pt>
                <c:pt idx="86">
                  <c:v>0.48103153226782203</c:v>
                </c:pt>
                <c:pt idx="87">
                  <c:v>0.4897274727830187</c:v>
                </c:pt>
                <c:pt idx="88">
                  <c:v>0.49851073497241527</c:v>
                </c:pt>
                <c:pt idx="89">
                  <c:v>0.50738189977493087</c:v>
                </c:pt>
                <c:pt idx="90">
                  <c:v>0.51634155798050296</c:v>
                </c:pt>
                <c:pt idx="91">
                  <c:v>0.52539031036812034</c:v>
                </c:pt>
                <c:pt idx="92">
                  <c:v>0.53452876784687087</c:v>
                </c:pt>
                <c:pt idx="93">
                  <c:v>0.54375755160006589</c:v>
                </c:pt>
                <c:pt idx="94">
                  <c:v>0.5530772932325152</c:v>
                </c:pt>
                <c:pt idx="95">
                  <c:v>0.56248863492101364</c:v>
                </c:pt>
                <c:pt idx="96">
                  <c:v>0.57199222956811546</c:v>
                </c:pt>
                <c:pt idx="97">
                  <c:v>0.5815887409592706</c:v>
                </c:pt>
                <c:pt idx="98">
                  <c:v>0.59127884392338925</c:v>
                </c:pt>
                <c:pt idx="99">
                  <c:v>0.60106322449692573</c:v>
                </c:pt>
                <c:pt idx="100">
                  <c:v>0.61094258009154589</c:v>
                </c:pt>
              </c:numCache>
            </c:numRef>
          </c:val>
          <c:smooth val="0"/>
          <c:extLst>
            <c:ext xmlns:c16="http://schemas.microsoft.com/office/drawing/2014/chart" uri="{C3380CC4-5D6E-409C-BE32-E72D297353CC}">
              <c16:uniqueId val="{00000003-BBE1-43E5-BAF3-C6A1FB34B6E7}"/>
            </c:ext>
          </c:extLst>
        </c:ser>
        <c:dLbls>
          <c:showLegendKey val="0"/>
          <c:showVal val="0"/>
          <c:showCatName val="0"/>
          <c:showSerName val="0"/>
          <c:showPercent val="0"/>
          <c:showBubbleSize val="0"/>
        </c:dLbls>
        <c:marker val="1"/>
        <c:smooth val="0"/>
        <c:axId val="220239360"/>
        <c:axId val="220228992"/>
      </c:lineChart>
      <c:catAx>
        <c:axId val="220216704"/>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220227072"/>
        <c:crosses val="autoZero"/>
        <c:auto val="1"/>
        <c:lblAlgn val="ctr"/>
        <c:lblOffset val="100"/>
        <c:tickLblSkip val="20"/>
        <c:tickMarkSkip val="20"/>
        <c:noMultiLvlLbl val="1"/>
      </c:catAx>
      <c:valAx>
        <c:axId val="220227072"/>
        <c:scaling>
          <c:orientation val="minMax"/>
          <c:max val="100"/>
          <c:min val="6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220216704"/>
        <c:crosses val="autoZero"/>
        <c:crossBetween val="between"/>
        <c:majorUnit val="5"/>
        <c:minorUnit val="2.5"/>
      </c:valAx>
      <c:valAx>
        <c:axId val="220228992"/>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220239360"/>
        <c:crosses val="max"/>
        <c:crossBetween val="between"/>
      </c:valAx>
      <c:catAx>
        <c:axId val="220239360"/>
        <c:scaling>
          <c:orientation val="minMax"/>
        </c:scaling>
        <c:delete val="1"/>
        <c:axPos val="b"/>
        <c:numFmt formatCode="0.000" sourceLinked="1"/>
        <c:majorTickMark val="out"/>
        <c:minorTickMark val="none"/>
        <c:tickLblPos val="nextTo"/>
        <c:crossAx val="220228992"/>
        <c:crosses val="autoZero"/>
        <c:auto val="1"/>
        <c:lblAlgn val="ctr"/>
        <c:lblOffset val="100"/>
        <c:noMultiLvlLbl val="0"/>
      </c:catAx>
      <c:spPr>
        <a:noFill/>
        <a:ln w="25400">
          <a:noFill/>
        </a:ln>
      </c:spPr>
    </c:plotArea>
    <c:legend>
      <c:legendPos val="t"/>
      <c:layout>
        <c:manualLayout>
          <c:xMode val="edge"/>
          <c:yMode val="edge"/>
          <c:x val="0.36120408747265326"/>
          <c:y val="1.1892626175886978E-2"/>
          <c:w val="0.55790801648035493"/>
          <c:h val="9.0576560908423698E-2"/>
        </c:manualLayout>
      </c:layout>
      <c:overlay val="0"/>
      <c:spPr>
        <a:solidFill>
          <a:srgbClr val="FFFFFF"/>
        </a:solidFill>
        <a:ln w="25400">
          <a:noFill/>
        </a:ln>
      </c:spPr>
      <c:txPr>
        <a:bodyPr/>
        <a:lstStyle/>
        <a:p>
          <a:pPr>
            <a:defRPr sz="12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no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trlProps/ctrlProp1.xml><?xml version="1.0" encoding="utf-8"?>
<formControlPr xmlns="http://schemas.microsoft.com/office/spreadsheetml/2009/9/main" objectType="Drop" dropStyle="combo" dx="22" fmlaRange="$1:$1048576" noThreeD="1" sel="0"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Spin" dx="16" fmlaLink="$E$63" max="100" min="5" page="10" val="30"/>
</file>

<file path=xl/ctrlProps/ctrlProp5.xml><?xml version="1.0" encoding="utf-8"?>
<formControlPr xmlns="http://schemas.microsoft.com/office/spreadsheetml/2009/9/main" objectType="Spin" dx="16" fmlaLink="$E$8" max="58" page="10" val="45"/>
</file>

<file path=xl/ctrlProps/ctrlProp6.xml><?xml version="1.0" encoding="utf-8"?>
<formControlPr xmlns="http://schemas.microsoft.com/office/spreadsheetml/2009/9/main" objectType="Drop" dropLines="2" dropStyle="combo" dx="16" fmlaLink="'Variable Management'!$L$10" fmlaRange="'Variable Management'!$K$8:$K$9" noThreeD="1" sel="1" val="0"/>
</file>

<file path=xl/ctrlProps/ctrlProp7.xml><?xml version="1.0" encoding="utf-8"?>
<formControlPr xmlns="http://schemas.microsoft.com/office/spreadsheetml/2009/9/main" objectType="Drop" dropLines="2" dropStyle="combo" dx="16" fmlaLink="'Variable Management'!$O$10" fmlaRange="'Variable Management'!$N$8:$N$9" noThreeD="1" sel="1" val="0"/>
</file>

<file path=xl/ctrlProps/ctrlProp8.xml><?xml version="1.0" encoding="utf-8"?>
<formControlPr xmlns="http://schemas.microsoft.com/office/spreadsheetml/2009/9/main" objectType="Drop" dropLines="5" dropStyle="combo" dx="16" fmlaLink="'Variable Management'!$U$12" fmlaRange="'Variable Management'!$T$8:$T$11" noThreeD="1" sel="2" val="0"/>
</file>

<file path=xl/ctrlProps/ctrlProp9.xml><?xml version="1.0" encoding="utf-8"?>
<formControlPr xmlns="http://schemas.microsoft.com/office/spreadsheetml/2009/9/main" objectType="Drop" dropLines="2" dropStyle="combo" dx="16" fmlaLink="'Variable Management'!$X$10" fmlaRange="'Variable Management'!$W$8:$W$9" noThreeD="1" sel="2" val="0"/>
</file>

<file path=xl/ctrlProps/ctrlProp10.xml><?xml version="1.0" encoding="utf-8"?>
<formControlPr xmlns="http://schemas.microsoft.com/office/spreadsheetml/2009/9/main" objectType="Spin" dx="16" fmlaLink="$J$63" max="100" min="5" page="10" val="60"/>
</file>

<file path=xl/ctrlProps/ctrlProp11.xml><?xml version="1.0" encoding="utf-8"?>
<formControlPr xmlns="http://schemas.microsoft.com/office/spreadsheetml/2009/9/main" objectType="Drop" dropLines="2" dropStyle="combo" dx="16" fmlaLink="'Variable Management'!$AA$10" fmlaRange="'Variable Management'!$Z$8:$Z$9" noThreeD="1" sel="1" val="0"/>
</file>

<file path=xl/ctrlProps/ctrlProp12.xml><?xml version="1.0" encoding="utf-8"?>
<formControlPr xmlns="http://schemas.microsoft.com/office/spreadsheetml/2009/9/main" objectType="Drop" dropLines="2" dropStyle="combo" dx="16" fmlaLink="'Variable Management'!$X$15" fmlaRange="'Variable Management'!$W$13:$W$14" noThreeD="1" sel="2" val="0"/>
</file>

<file path=xl/ctrlProps/ctrlProp13.xml><?xml version="1.0" encoding="utf-8"?>
<formControlPr xmlns="http://schemas.microsoft.com/office/spreadsheetml/2009/9/main" objectType="Drop" dropLines="5" dropStyle="combo" dx="16" fmlaLink="'Variable Management'!$Y$25" fmlaRange="'Variable Management'!$X$20:$X$24" noThreeD="1" sel="1" val="0"/>
</file>

<file path=xl/ctrlProps/ctrlProp14.xml><?xml version="1.0" encoding="utf-8"?>
<formControlPr xmlns="http://schemas.microsoft.com/office/spreadsheetml/2009/9/main" objectType="Drop" dropLines="2" dropStyle="combo" dx="16" fmlaLink="'Variable Management'!$AA$17" fmlaRange="'Variable Management'!$Z$15:$Z$16" noThreeD="1" sel="1" val="0"/>
</file>

<file path=xl/drawings/_rels/drawing1.xml.rels><?xml version="1.0" encoding="UTF-8" standalone="yes"?>
<Relationships xmlns="http://schemas.openxmlformats.org/package/2006/relationships"><Relationship Id="rId8" Type="http://schemas.openxmlformats.org/officeDocument/2006/relationships/image" Target="../media/image6.jpg"/><Relationship Id="rId3" Type="http://schemas.openxmlformats.org/officeDocument/2006/relationships/image" Target="../media/image3.emf"/><Relationship Id="rId7" Type="http://schemas.openxmlformats.org/officeDocument/2006/relationships/image" Target="../media/image5.jpg"/><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hyperlink" Target="http://www.ti.com/automotive" TargetMode="External"/><Relationship Id="rId5" Type="http://schemas.openxmlformats.org/officeDocument/2006/relationships/image" Target="../media/image4.png"/><Relationship Id="rId4" Type="http://schemas.openxmlformats.org/officeDocument/2006/relationships/hyperlink" Target="http://www.ti.com/widevin" TargetMode="External"/></Relationships>
</file>

<file path=xl/drawings/_rels/drawing2.xml.rels><?xml version="1.0" encoding="UTF-8" standalone="yes"?>
<Relationships xmlns="http://schemas.openxmlformats.org/package/2006/relationships"><Relationship Id="rId1" Type="http://schemas.openxmlformats.org/officeDocument/2006/relationships/image" Target="../media/image3.emf"/></Relationships>
</file>

<file path=xl/drawings/_rels/drawing3.xml.rels><?xml version="1.0" encoding="UTF-8" standalone="yes"?>
<Relationships xmlns="http://schemas.openxmlformats.org/package/2006/relationships"><Relationship Id="rId2" Type="http://schemas.openxmlformats.org/officeDocument/2006/relationships/image" Target="../media/image12.jpg"/><Relationship Id="rId1" Type="http://schemas.openxmlformats.org/officeDocument/2006/relationships/image" Target="../media/image11.jpg"/></Relationships>
</file>

<file path=xl/drawings/_rels/drawing4.xml.rels><?xml version="1.0" encoding="UTF-8" standalone="yes"?>
<Relationships xmlns="http://schemas.openxmlformats.org/package/2006/relationships"><Relationship Id="rId2" Type="http://schemas.openxmlformats.org/officeDocument/2006/relationships/image" Target="../media/image14.jpg"/><Relationship Id="rId1" Type="http://schemas.openxmlformats.org/officeDocument/2006/relationships/image" Target="../media/image13.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16.emf"/><Relationship Id="rId1" Type="http://schemas.openxmlformats.org/officeDocument/2006/relationships/image" Target="../media/image15.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311150</xdr:colOff>
          <xdr:row>69</xdr:row>
          <xdr:rowOff>76200</xdr:rowOff>
        </xdr:from>
        <xdr:to>
          <xdr:col>2</xdr:col>
          <xdr:colOff>901700</xdr:colOff>
          <xdr:row>71</xdr:row>
          <xdr:rowOff>139700</xdr:rowOff>
        </xdr:to>
        <xdr:sp macro="" textlink="">
          <xdr:nvSpPr>
            <xdr:cNvPr id="673260" name="Button 492" hidden="1">
              <a:extLst>
                <a:ext uri="{63B3BB69-23CF-44E3-9099-C40C66FF867C}">
                  <a14:compatExt spid="_x0000_s673260"/>
                </a:ext>
                <a:ext uri="{FF2B5EF4-FFF2-40B4-BE49-F238E27FC236}">
                  <a16:creationId xmlns:a16="http://schemas.microsoft.com/office/drawing/2014/main" id="{00000000-0008-0000-0000-0000EC45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1" i="0" u="none" strike="noStrike" baseline="0">
                  <a:solidFill>
                    <a:srgbClr val="000000"/>
                  </a:solidFill>
                  <a:latin typeface="Arial"/>
                  <a:cs typeface="Arial"/>
                </a:rPr>
                <a:t>RESET 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311150</xdr:colOff>
          <xdr:row>69</xdr:row>
          <xdr:rowOff>76200</xdr:rowOff>
        </xdr:from>
        <xdr:to>
          <xdr:col>2</xdr:col>
          <xdr:colOff>901700</xdr:colOff>
          <xdr:row>71</xdr:row>
          <xdr:rowOff>139700</xdr:rowOff>
        </xdr:to>
        <xdr:sp macro="" textlink="">
          <xdr:nvSpPr>
            <xdr:cNvPr id="673288" name="Button 520" hidden="1">
              <a:extLst>
                <a:ext uri="{63B3BB69-23CF-44E3-9099-C40C66FF867C}">
                  <a14:compatExt spid="_x0000_s673288"/>
                </a:ext>
                <a:ext uri="{FF2B5EF4-FFF2-40B4-BE49-F238E27FC236}">
                  <a16:creationId xmlns:a16="http://schemas.microsoft.com/office/drawing/2014/main" id="{00000000-0008-0000-0000-00000846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1" i="0" u="none" strike="noStrike" baseline="0">
                  <a:solidFill>
                    <a:srgbClr val="000000"/>
                  </a:solidFill>
                  <a:latin typeface="Arial"/>
                  <a:cs typeface="Arial"/>
                </a:rPr>
                <a:t>FIX</a:t>
              </a:r>
            </a:p>
            <a:p>
              <a:pPr algn="ctr" rtl="0">
                <a:defRPr sz="1000"/>
              </a:pPr>
              <a:r>
                <a:rPr lang="en-CA" sz="900" b="1" i="0" u="none" strike="noStrike" baseline="0">
                  <a:solidFill>
                    <a:srgbClr val="000000"/>
                  </a:solidFill>
                  <a:latin typeface="Arial"/>
                  <a:cs typeface="Arial"/>
                </a:rPr>
                <a:t>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4826000</xdr:colOff>
          <xdr:row>0</xdr:row>
          <xdr:rowOff>482600</xdr:rowOff>
        </xdr:from>
        <xdr:to>
          <xdr:col>16</xdr:col>
          <xdr:colOff>5207000</xdr:colOff>
          <xdr:row>1</xdr:row>
          <xdr:rowOff>139700</xdr:rowOff>
        </xdr:to>
        <xdr:sp macro="" textlink="">
          <xdr:nvSpPr>
            <xdr:cNvPr id="700372" name="Drop Down 3028" hidden="1">
              <a:extLst>
                <a:ext uri="{63B3BB69-23CF-44E3-9099-C40C66FF867C}">
                  <a14:compatExt spid="_x0000_s700372"/>
                </a:ext>
                <a:ext uri="{FF2B5EF4-FFF2-40B4-BE49-F238E27FC236}">
                  <a16:creationId xmlns:a16="http://schemas.microsoft.com/office/drawing/2014/main" id="{00000000-0008-0000-0000-0000D4AF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72390</xdr:colOff>
          <xdr:row>42</xdr:row>
          <xdr:rowOff>118899</xdr:rowOff>
        </xdr:from>
        <xdr:to>
          <xdr:col>16</xdr:col>
          <xdr:colOff>5490210</xdr:colOff>
          <xdr:row>71</xdr:row>
          <xdr:rowOff>148987</xdr:rowOff>
        </xdr:to>
        <xdr:pic>
          <xdr:nvPicPr>
            <xdr:cNvPr id="22" name="Picture 1174">
              <a:extLst>
                <a:ext uri="{FF2B5EF4-FFF2-40B4-BE49-F238E27FC236}">
                  <a16:creationId xmlns:a16="http://schemas.microsoft.com/office/drawing/2014/main" id="{00000000-0008-0000-0000-000016000000}"/>
                </a:ext>
              </a:extLst>
            </xdr:cNvPr>
            <xdr:cNvPicPr>
              <a:picLocks noChangeAspect="1" noChangeArrowheads="1"/>
              <a:extLst>
                <a:ext uri="{84589F7E-364E-4C9E-8A38-B11213B215E9}">
                  <a14:cameraTool cellRange="PICTURE3" spid="_x0000_s714739"/>
                </a:ext>
              </a:extLst>
            </xdr:cNvPicPr>
          </xdr:nvPicPr>
          <xdr:blipFill>
            <a:blip xmlns:r="http://schemas.openxmlformats.org/officeDocument/2006/relationships" r:embed="rId1"/>
            <a:srcRect/>
            <a:stretch>
              <a:fillRect/>
            </a:stretch>
          </xdr:blipFill>
          <xdr:spPr bwMode="auto">
            <a:xfrm>
              <a:off x="6781800" y="8472324"/>
              <a:ext cx="8772525" cy="545933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232410</xdr:colOff>
          <xdr:row>78</xdr:row>
          <xdr:rowOff>111279</xdr:rowOff>
        </xdr:from>
        <xdr:to>
          <xdr:col>16</xdr:col>
          <xdr:colOff>5177790</xdr:colOff>
          <xdr:row>107</xdr:row>
          <xdr:rowOff>40988</xdr:rowOff>
        </xdr:to>
        <xdr:pic>
          <xdr:nvPicPr>
            <xdr:cNvPr id="685206" name="Picture 1174">
              <a:extLst>
                <a:ext uri="{FF2B5EF4-FFF2-40B4-BE49-F238E27FC236}">
                  <a16:creationId xmlns:a16="http://schemas.microsoft.com/office/drawing/2014/main" id="{00000000-0008-0000-0000-000096740A00}"/>
                </a:ext>
              </a:extLst>
            </xdr:cNvPr>
            <xdr:cNvPicPr>
              <a:picLocks noChangeAspect="1" noChangeArrowheads="1"/>
              <a:extLst>
                <a:ext uri="{84589F7E-364E-4C9E-8A38-B11213B215E9}">
                  <a14:cameraTool cellRange="PICTURE" spid="_x0000_s714740"/>
                </a:ext>
              </a:extLst>
            </xdr:cNvPicPr>
          </xdr:nvPicPr>
          <xdr:blipFill>
            <a:blip xmlns:r="http://schemas.openxmlformats.org/officeDocument/2006/relationships" r:embed="rId2"/>
            <a:srcRect/>
            <a:stretch>
              <a:fillRect/>
            </a:stretch>
          </xdr:blipFill>
          <xdr:spPr bwMode="auto">
            <a:xfrm>
              <a:off x="6457950" y="15301749"/>
              <a:ext cx="8772525" cy="545933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xdr:twoCellAnchor>
    <xdr:from>
      <xdr:col>12</xdr:col>
      <xdr:colOff>108883</xdr:colOff>
      <xdr:row>63</xdr:row>
      <xdr:rowOff>2861</xdr:rowOff>
    </xdr:from>
    <xdr:to>
      <xdr:col>15</xdr:col>
      <xdr:colOff>590549</xdr:colOff>
      <xdr:row>64</xdr:row>
      <xdr:rowOff>7620</xdr:rowOff>
    </xdr:to>
    <xdr:sp macro="" textlink="'Variable Management'!A365">
      <xdr:nvSpPr>
        <xdr:cNvPr id="2071" name="Text Box 23">
          <a:extLst>
            <a:ext uri="{FF2B5EF4-FFF2-40B4-BE49-F238E27FC236}">
              <a16:creationId xmlns:a16="http://schemas.microsoft.com/office/drawing/2014/main" id="{00000000-0008-0000-0000-000017080000}"/>
            </a:ext>
          </a:extLst>
        </xdr:cNvPr>
        <xdr:cNvSpPr txBox="1">
          <a:spLocks noChangeArrowheads="1" noTextEdit="1"/>
        </xdr:cNvSpPr>
      </xdr:nvSpPr>
      <xdr:spPr bwMode="auto">
        <a:xfrm>
          <a:off x="7888903" y="12141521"/>
          <a:ext cx="2356186" cy="195259"/>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10952A97-D9C5-44B7-89A3-65441574648A}" type="TxLink">
            <a:rPr lang="en-US" sz="1100" b="1" i="0" u="none" strike="noStrike" baseline="0">
              <a:solidFill>
                <a:srgbClr val="FF0000"/>
              </a:solidFill>
              <a:latin typeface="Arial"/>
              <a:cs typeface="Arial"/>
            </a:rPr>
            <a:pPr algn="l" rtl="0">
              <a:defRPr sz="1000"/>
            </a:pPr>
            <a:t>Crossover Frequency = 30 kHz</a:t>
          </a:fld>
          <a:endParaRPr lang="en-US" sz="1100" b="1" i="0" u="none" strike="noStrike" baseline="0">
            <a:solidFill>
              <a:srgbClr val="FF0000"/>
            </a:solidFill>
            <a:latin typeface="Arial"/>
            <a:cs typeface="Arial"/>
          </a:endParaRPr>
        </a:p>
      </xdr:txBody>
    </xdr:sp>
    <xdr:clientData/>
  </xdr:twoCellAnchor>
  <xdr:twoCellAnchor>
    <xdr:from>
      <xdr:col>12</xdr:col>
      <xdr:colOff>138934</xdr:colOff>
      <xdr:row>64</xdr:row>
      <xdr:rowOff>150685</xdr:rowOff>
    </xdr:from>
    <xdr:to>
      <xdr:col>14</xdr:col>
      <xdr:colOff>354329</xdr:colOff>
      <xdr:row>65</xdr:row>
      <xdr:rowOff>165123</xdr:rowOff>
    </xdr:to>
    <xdr:sp macro="" textlink="'Variable Management'!A366">
      <xdr:nvSpPr>
        <xdr:cNvPr id="2072" name="Text Box 24">
          <a:extLst>
            <a:ext uri="{FF2B5EF4-FFF2-40B4-BE49-F238E27FC236}">
              <a16:creationId xmlns:a16="http://schemas.microsoft.com/office/drawing/2014/main" id="{00000000-0008-0000-0000-000018080000}"/>
            </a:ext>
          </a:extLst>
        </xdr:cNvPr>
        <xdr:cNvSpPr txBox="1">
          <a:spLocks noChangeArrowheads="1" noTextEdit="1"/>
        </xdr:cNvSpPr>
      </xdr:nvSpPr>
      <xdr:spPr bwMode="auto">
        <a:xfrm>
          <a:off x="7918954" y="12479845"/>
          <a:ext cx="1465075" cy="204938"/>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95DD25AA-EC3B-4C80-B80E-8DC148525216}" type="TxLink">
            <a:rPr lang="en-US" sz="1100" b="1" i="0" u="none" strike="noStrike" baseline="0">
              <a:solidFill>
                <a:srgbClr val="002060"/>
              </a:solidFill>
              <a:latin typeface="Arial"/>
              <a:cs typeface="Arial"/>
            </a:rPr>
            <a:pPr algn="l" rtl="0">
              <a:defRPr sz="1000"/>
            </a:pPr>
            <a:t>Phase Margin = 52°</a:t>
          </a:fld>
          <a:endParaRPr lang="en-US" sz="1100" b="1" i="0" u="none" strike="noStrike" baseline="0">
            <a:solidFill>
              <a:srgbClr val="00206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xdr:from>
          <xdr:col>5</xdr:col>
          <xdr:colOff>6350</xdr:colOff>
          <xdr:row>62</xdr:row>
          <xdr:rowOff>0</xdr:rowOff>
        </xdr:from>
        <xdr:to>
          <xdr:col>5</xdr:col>
          <xdr:colOff>184150</xdr:colOff>
          <xdr:row>62</xdr:row>
          <xdr:rowOff>184150</xdr:rowOff>
        </xdr:to>
        <xdr:sp macro="" textlink="">
          <xdr:nvSpPr>
            <xdr:cNvPr id="672829" name="Spinner 61" hidden="1">
              <a:extLst>
                <a:ext uri="{63B3BB69-23CF-44E3-9099-C40C66FF867C}">
                  <a14:compatExt spid="_x0000_s672829"/>
                </a:ext>
                <a:ext uri="{FF2B5EF4-FFF2-40B4-BE49-F238E27FC236}">
                  <a16:creationId xmlns:a16="http://schemas.microsoft.com/office/drawing/2014/main" id="{00000000-0008-0000-0000-00003D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120650</xdr:colOff>
          <xdr:row>7</xdr:row>
          <xdr:rowOff>6350</xdr:rowOff>
        </xdr:from>
        <xdr:to>
          <xdr:col>5</xdr:col>
          <xdr:colOff>304800</xdr:colOff>
          <xdr:row>8</xdr:row>
          <xdr:rowOff>25400</xdr:rowOff>
        </xdr:to>
        <xdr:sp macro="" textlink="">
          <xdr:nvSpPr>
            <xdr:cNvPr id="672895" name="Spinner 127" hidden="1">
              <a:extLst>
                <a:ext uri="{63B3BB69-23CF-44E3-9099-C40C66FF867C}">
                  <a14:compatExt spid="_x0000_s672895"/>
                </a:ext>
                <a:ext uri="{FF2B5EF4-FFF2-40B4-BE49-F238E27FC236}">
                  <a16:creationId xmlns:a16="http://schemas.microsoft.com/office/drawing/2014/main" id="{00000000-0008-0000-0000-00007F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374650</xdr:colOff>
          <xdr:row>77</xdr:row>
          <xdr:rowOff>31750</xdr:rowOff>
        </xdr:from>
        <xdr:to>
          <xdr:col>13</xdr:col>
          <xdr:colOff>425450</xdr:colOff>
          <xdr:row>78</xdr:row>
          <xdr:rowOff>107950</xdr:rowOff>
        </xdr:to>
        <xdr:sp macro="" textlink="">
          <xdr:nvSpPr>
            <xdr:cNvPr id="672924" name="Drop Down 156" hidden="1">
              <a:extLst>
                <a:ext uri="{63B3BB69-23CF-44E3-9099-C40C66FF867C}">
                  <a14:compatExt spid="_x0000_s672924"/>
                </a:ext>
                <a:ext uri="{FF2B5EF4-FFF2-40B4-BE49-F238E27FC236}">
                  <a16:creationId xmlns:a16="http://schemas.microsoft.com/office/drawing/2014/main" id="{00000000-0008-0000-0000-00009C4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6350</xdr:colOff>
          <xdr:row>54</xdr:row>
          <xdr:rowOff>0</xdr:rowOff>
        </xdr:from>
        <xdr:to>
          <xdr:col>1</xdr:col>
          <xdr:colOff>482600</xdr:colOff>
          <xdr:row>55</xdr:row>
          <xdr:rowOff>0</xdr:rowOff>
        </xdr:to>
        <xdr:sp macro="" textlink="">
          <xdr:nvSpPr>
            <xdr:cNvPr id="673029" name="Drop Down 261" hidden="1">
              <a:extLst>
                <a:ext uri="{63B3BB69-23CF-44E3-9099-C40C66FF867C}">
                  <a14:compatExt spid="_x0000_s673029"/>
                </a:ext>
                <a:ext uri="{FF2B5EF4-FFF2-40B4-BE49-F238E27FC236}">
                  <a16:creationId xmlns:a16="http://schemas.microsoft.com/office/drawing/2014/main" id="{00000000-0008-0000-0000-0000054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72391</xdr:colOff>
          <xdr:row>4</xdr:row>
          <xdr:rowOff>114300</xdr:rowOff>
        </xdr:from>
        <xdr:to>
          <xdr:col>16</xdr:col>
          <xdr:colOff>5907543</xdr:colOff>
          <xdr:row>32</xdr:row>
          <xdr:rowOff>148590</xdr:rowOff>
        </xdr:to>
        <xdr:pic>
          <xdr:nvPicPr>
            <xdr:cNvPr id="685207" name="Picture 1175">
              <a:extLst>
                <a:ext uri="{FF2B5EF4-FFF2-40B4-BE49-F238E27FC236}">
                  <a16:creationId xmlns:a16="http://schemas.microsoft.com/office/drawing/2014/main" id="{00000000-0008-0000-0000-000097740A00}"/>
                </a:ext>
              </a:extLst>
            </xdr:cNvPr>
            <xdr:cNvPicPr>
              <a:picLocks noChangeAspect="1" noChangeArrowheads="1"/>
              <a:extLst>
                <a:ext uri="{84589F7E-364E-4C9E-8A38-B11213B215E9}">
                  <a14:cameraTool cellRange="PICTURE2" spid="_x0000_s714741"/>
                </a:ext>
              </a:extLst>
            </xdr:cNvPicPr>
          </xdr:nvPicPr>
          <xdr:blipFill>
            <a:blip xmlns:r="http://schemas.openxmlformats.org/officeDocument/2006/relationships" r:embed="rId3"/>
            <a:srcRect/>
            <a:stretch>
              <a:fillRect/>
            </a:stretch>
          </xdr:blipFill>
          <xdr:spPr bwMode="auto">
            <a:xfrm>
              <a:off x="6781801" y="1257300"/>
              <a:ext cx="9184142" cy="54006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xdr:twoCellAnchor editAs="oneCell">
    <xdr:from>
      <xdr:col>16</xdr:col>
      <xdr:colOff>3638551</xdr:colOff>
      <xdr:row>35</xdr:row>
      <xdr:rowOff>114300</xdr:rowOff>
    </xdr:from>
    <xdr:to>
      <xdr:col>16</xdr:col>
      <xdr:colOff>5900871</xdr:colOff>
      <xdr:row>43</xdr:row>
      <xdr:rowOff>111023</xdr:rowOff>
    </xdr:to>
    <xdr:pic>
      <xdr:nvPicPr>
        <xdr:cNvPr id="3" name="Picture 2">
          <a:hlinkClick xmlns:r="http://schemas.openxmlformats.org/officeDocument/2006/relationships" r:id="rId4"/>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696951" y="7086600"/>
          <a:ext cx="2258510" cy="1427378"/>
        </a:xfrm>
        <a:prstGeom prst="rect">
          <a:avLst/>
        </a:prstGeom>
      </xdr:spPr>
    </xdr:pic>
    <xdr:clientData/>
  </xdr:twoCellAnchor>
  <xdr:twoCellAnchor editAs="oneCell">
    <xdr:from>
      <xdr:col>16</xdr:col>
      <xdr:colOff>4082415</xdr:colOff>
      <xdr:row>0</xdr:row>
      <xdr:rowOff>0</xdr:rowOff>
    </xdr:from>
    <xdr:to>
      <xdr:col>17</xdr:col>
      <xdr:colOff>3810</xdr:colOff>
      <xdr:row>4</xdr:row>
      <xdr:rowOff>34290</xdr:rowOff>
    </xdr:to>
    <xdr:pic>
      <xdr:nvPicPr>
        <xdr:cNvPr id="4" name="Picture 3">
          <a:hlinkClick xmlns:r="http://schemas.openxmlformats.org/officeDocument/2006/relationships" r:id="rId6"/>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4140815" y="0"/>
          <a:ext cx="1859280" cy="1162050"/>
        </a:xfrm>
        <a:prstGeom prst="rect">
          <a:avLst/>
        </a:prstGeom>
      </xdr:spPr>
    </xdr:pic>
    <xdr:clientData/>
  </xdr:twoCellAnchor>
  <xdr:twoCellAnchor editAs="oneCell">
    <xdr:from>
      <xdr:col>0</xdr:col>
      <xdr:colOff>9525</xdr:colOff>
      <xdr:row>0</xdr:row>
      <xdr:rowOff>9525</xdr:rowOff>
    </xdr:from>
    <xdr:to>
      <xdr:col>3</xdr:col>
      <xdr:colOff>148590</xdr:colOff>
      <xdr:row>1</xdr:row>
      <xdr:rowOff>1558</xdr:rowOff>
    </xdr:to>
    <xdr:pic>
      <xdr:nvPicPr>
        <xdr:cNvPr id="6" name="Picture 5">
          <a:hlinkClick xmlns:r="http://schemas.openxmlformats.org/officeDocument/2006/relationships" r:id="rId4"/>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9525" y="9525"/>
          <a:ext cx="2143125" cy="58448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520700</xdr:colOff>
          <xdr:row>5</xdr:row>
          <xdr:rowOff>6350</xdr:rowOff>
        </xdr:from>
        <xdr:to>
          <xdr:col>5</xdr:col>
          <xdr:colOff>101600</xdr:colOff>
          <xdr:row>6</xdr:row>
          <xdr:rowOff>6350</xdr:rowOff>
        </xdr:to>
        <xdr:sp macro="" textlink="">
          <xdr:nvSpPr>
            <xdr:cNvPr id="685346" name="Drop Down 1314" hidden="1">
              <a:extLst>
                <a:ext uri="{63B3BB69-23CF-44E3-9099-C40C66FF867C}">
                  <a14:compatExt spid="_x0000_s685346"/>
                </a:ext>
                <a:ext uri="{FF2B5EF4-FFF2-40B4-BE49-F238E27FC236}">
                  <a16:creationId xmlns:a16="http://schemas.microsoft.com/office/drawing/2014/main" id="{00000000-0008-0000-0000-0000227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6350</xdr:colOff>
          <xdr:row>56</xdr:row>
          <xdr:rowOff>0</xdr:rowOff>
        </xdr:from>
        <xdr:to>
          <xdr:col>1</xdr:col>
          <xdr:colOff>76200</xdr:colOff>
          <xdr:row>56</xdr:row>
          <xdr:rowOff>184150</xdr:rowOff>
        </xdr:to>
        <xdr:sp macro="" textlink="">
          <xdr:nvSpPr>
            <xdr:cNvPr id="685442" name="Drop Down 1410" hidden="1">
              <a:extLst>
                <a:ext uri="{63B3BB69-23CF-44E3-9099-C40C66FF867C}">
                  <a14:compatExt spid="_x0000_s685442"/>
                </a:ext>
                <a:ext uri="{FF2B5EF4-FFF2-40B4-BE49-F238E27FC236}">
                  <a16:creationId xmlns:a16="http://schemas.microsoft.com/office/drawing/2014/main" id="{00000000-0008-0000-0000-0000827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6350</xdr:colOff>
          <xdr:row>62</xdr:row>
          <xdr:rowOff>0</xdr:rowOff>
        </xdr:from>
        <xdr:to>
          <xdr:col>10</xdr:col>
          <xdr:colOff>184150</xdr:colOff>
          <xdr:row>62</xdr:row>
          <xdr:rowOff>184150</xdr:rowOff>
        </xdr:to>
        <xdr:sp macro="" textlink="">
          <xdr:nvSpPr>
            <xdr:cNvPr id="685525" name="Spinner 1493" hidden="1">
              <a:extLst>
                <a:ext uri="{63B3BB69-23CF-44E3-9099-C40C66FF867C}">
                  <a14:compatExt spid="_x0000_s685525"/>
                </a:ext>
                <a:ext uri="{FF2B5EF4-FFF2-40B4-BE49-F238E27FC236}">
                  <a16:creationId xmlns:a16="http://schemas.microsoft.com/office/drawing/2014/main" id="{00000000-0008-0000-0000-0000D575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69850</xdr:colOff>
          <xdr:row>41</xdr:row>
          <xdr:rowOff>76200</xdr:rowOff>
        </xdr:from>
        <xdr:to>
          <xdr:col>12</xdr:col>
          <xdr:colOff>336550</xdr:colOff>
          <xdr:row>43</xdr:row>
          <xdr:rowOff>0</xdr:rowOff>
        </xdr:to>
        <xdr:sp macro="" textlink="">
          <xdr:nvSpPr>
            <xdr:cNvPr id="685729" name="Drop Down 1697" hidden="1">
              <a:extLst>
                <a:ext uri="{63B3BB69-23CF-44E3-9099-C40C66FF867C}">
                  <a14:compatExt spid="_x0000_s685729"/>
                </a:ext>
                <a:ext uri="{FF2B5EF4-FFF2-40B4-BE49-F238E27FC236}">
                  <a16:creationId xmlns:a16="http://schemas.microsoft.com/office/drawing/2014/main" id="{00000000-0008-0000-0000-0000A176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3310890</xdr:colOff>
      <xdr:row>82</xdr:row>
      <xdr:rowOff>31269</xdr:rowOff>
    </xdr:from>
    <xdr:to>
      <xdr:col>16</xdr:col>
      <xdr:colOff>3732833</xdr:colOff>
      <xdr:row>83</xdr:row>
      <xdr:rowOff>78894</xdr:rowOff>
    </xdr:to>
    <xdr:sp macro="" textlink="'Variable Management'!$B$368">
      <xdr:nvSpPr>
        <xdr:cNvPr id="23" name="Text Box 24">
          <a:extLst>
            <a:ext uri="{FF2B5EF4-FFF2-40B4-BE49-F238E27FC236}">
              <a16:creationId xmlns:a16="http://schemas.microsoft.com/office/drawing/2014/main" id="{00000000-0008-0000-0000-000017000000}"/>
            </a:ext>
          </a:extLst>
        </xdr:cNvPr>
        <xdr:cNvSpPr txBox="1">
          <a:spLocks noChangeArrowheads="1" noTextEdit="1"/>
        </xdr:cNvSpPr>
      </xdr:nvSpPr>
      <xdr:spPr bwMode="auto">
        <a:xfrm>
          <a:off x="13658850" y="15903729"/>
          <a:ext cx="421943" cy="230505"/>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F0AFB1C-0795-4024-9821-D34D86340D40}" type="TxLink">
            <a:rPr lang="en-US" sz="1000" b="0" i="0" u="none" strike="noStrike" baseline="0">
              <a:solidFill>
                <a:srgbClr val="000000"/>
              </a:solidFill>
              <a:latin typeface="Arial"/>
              <a:cs typeface="Arial"/>
            </a:rPr>
            <a:pPr algn="l" rtl="0">
              <a:defRPr sz="1000"/>
            </a:pPr>
            <a:t>98.9%</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16</xdr:col>
      <xdr:colOff>428625</xdr:colOff>
      <xdr:row>82</xdr:row>
      <xdr:rowOff>14124</xdr:rowOff>
    </xdr:from>
    <xdr:to>
      <xdr:col>16</xdr:col>
      <xdr:colOff>850568</xdr:colOff>
      <xdr:row>83</xdr:row>
      <xdr:rowOff>61749</xdr:rowOff>
    </xdr:to>
    <xdr:sp macro="" textlink="'Variable Management'!$B$369">
      <xdr:nvSpPr>
        <xdr:cNvPr id="24" name="Text Box 24">
          <a:extLst>
            <a:ext uri="{FF2B5EF4-FFF2-40B4-BE49-F238E27FC236}">
              <a16:creationId xmlns:a16="http://schemas.microsoft.com/office/drawing/2014/main" id="{00000000-0008-0000-0000-000018000000}"/>
            </a:ext>
          </a:extLst>
        </xdr:cNvPr>
        <xdr:cNvSpPr txBox="1">
          <a:spLocks noChangeArrowheads="1" noTextEdit="1"/>
        </xdr:cNvSpPr>
      </xdr:nvSpPr>
      <xdr:spPr bwMode="auto">
        <a:xfrm>
          <a:off x="10487025" y="15997074"/>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7D4567B-D519-4FF8-A1F3-102CF08055AD}" type="TxLink">
            <a:rPr lang="en-US" sz="1000" b="0" i="0" u="none" strike="noStrike" baseline="0">
              <a:solidFill>
                <a:srgbClr val="000000"/>
              </a:solidFill>
              <a:latin typeface="Arial"/>
              <a:cs typeface="Arial"/>
            </a:rPr>
            <a:pPr algn="l" rtl="0">
              <a:defRPr sz="1000"/>
            </a:pPr>
            <a:t>99.2%</a:t>
          </a:fld>
          <a:endParaRPr lang="en-US" sz="900" b="1" i="0" u="none" strike="noStrike" baseline="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25400</xdr:colOff>
          <xdr:row>102</xdr:row>
          <xdr:rowOff>0</xdr:rowOff>
        </xdr:from>
        <xdr:to>
          <xdr:col>2</xdr:col>
          <xdr:colOff>6350</xdr:colOff>
          <xdr:row>103</xdr:row>
          <xdr:rowOff>0</xdr:rowOff>
        </xdr:to>
        <xdr:sp macro="" textlink="">
          <xdr:nvSpPr>
            <xdr:cNvPr id="685906" name="Drop Down 1874" hidden="1">
              <a:extLst>
                <a:ext uri="{63B3BB69-23CF-44E3-9099-C40C66FF867C}">
                  <a14:compatExt spid="_x0000_s685906"/>
                </a:ext>
                <a:ext uri="{FF2B5EF4-FFF2-40B4-BE49-F238E27FC236}">
                  <a16:creationId xmlns:a16="http://schemas.microsoft.com/office/drawing/2014/main" id="{00000000-0008-0000-0000-00005277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42832</xdr:colOff>
      <xdr:row>13</xdr:row>
      <xdr:rowOff>187081</xdr:rowOff>
    </xdr:from>
    <xdr:to>
      <xdr:col>12</xdr:col>
      <xdr:colOff>422364</xdr:colOff>
      <xdr:row>14</xdr:row>
      <xdr:rowOff>185951</xdr:rowOff>
    </xdr:to>
    <xdr:sp macro="" textlink="">
      <xdr:nvSpPr>
        <xdr:cNvPr id="25" name="Text Box 228">
          <a:extLst>
            <a:ext uri="{FF2B5EF4-FFF2-40B4-BE49-F238E27FC236}">
              <a16:creationId xmlns:a16="http://schemas.microsoft.com/office/drawing/2014/main" id="{00000000-0008-0000-0000-000019000000}"/>
            </a:ext>
          </a:extLst>
        </xdr:cNvPr>
        <xdr:cNvSpPr txBox="1">
          <a:spLocks noChangeArrowheads="1"/>
        </xdr:cNvSpPr>
      </xdr:nvSpPr>
      <xdr:spPr bwMode="auto">
        <a:xfrm>
          <a:off x="7603301" y="3009577"/>
          <a:ext cx="385247" cy="23366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O1</a:t>
          </a:r>
        </a:p>
      </xdr:txBody>
    </xdr:sp>
    <xdr:clientData/>
  </xdr:twoCellAnchor>
  <xdr:twoCellAnchor editAs="absolute">
    <xdr:from>
      <xdr:col>16</xdr:col>
      <xdr:colOff>1752817</xdr:colOff>
      <xdr:row>30</xdr:row>
      <xdr:rowOff>73084</xdr:rowOff>
    </xdr:from>
    <xdr:to>
      <xdr:col>16</xdr:col>
      <xdr:colOff>2134593</xdr:colOff>
      <xdr:row>31</xdr:row>
      <xdr:rowOff>149137</xdr:rowOff>
    </xdr:to>
    <xdr:sp macro="" textlink="">
      <xdr:nvSpPr>
        <xdr:cNvPr id="26" name="Text Box 233">
          <a:extLst>
            <a:ext uri="{FF2B5EF4-FFF2-40B4-BE49-F238E27FC236}">
              <a16:creationId xmlns:a16="http://schemas.microsoft.com/office/drawing/2014/main" id="{00000000-0008-0000-0000-00001A000000}"/>
            </a:ext>
          </a:extLst>
        </xdr:cNvPr>
        <xdr:cNvSpPr txBox="1">
          <a:spLocks noChangeArrowheads="1"/>
        </xdr:cNvSpPr>
      </xdr:nvSpPr>
      <xdr:spPr bwMode="auto">
        <a:xfrm>
          <a:off x="11806022" y="6193329"/>
          <a:ext cx="381776" cy="253045"/>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VDDA</a:t>
          </a:r>
        </a:p>
      </xdr:txBody>
    </xdr:sp>
    <xdr:clientData/>
  </xdr:twoCellAnchor>
  <xdr:twoCellAnchor editAs="absolute">
    <xdr:from>
      <xdr:col>12</xdr:col>
      <xdr:colOff>262686</xdr:colOff>
      <xdr:row>10</xdr:row>
      <xdr:rowOff>72746</xdr:rowOff>
    </xdr:from>
    <xdr:to>
      <xdr:col>12</xdr:col>
      <xdr:colOff>497022</xdr:colOff>
      <xdr:row>11</xdr:row>
      <xdr:rowOff>80682</xdr:rowOff>
    </xdr:to>
    <xdr:sp macro="" textlink="">
      <xdr:nvSpPr>
        <xdr:cNvPr id="27" name="Text Box 234">
          <a:extLst>
            <a:ext uri="{FF2B5EF4-FFF2-40B4-BE49-F238E27FC236}">
              <a16:creationId xmlns:a16="http://schemas.microsoft.com/office/drawing/2014/main" id="{00000000-0008-0000-0000-00001B000000}"/>
            </a:ext>
          </a:extLst>
        </xdr:cNvPr>
        <xdr:cNvSpPr txBox="1">
          <a:spLocks noChangeArrowheads="1"/>
        </xdr:cNvSpPr>
      </xdr:nvSpPr>
      <xdr:spPr bwMode="auto">
        <a:xfrm>
          <a:off x="7792565" y="2319913"/>
          <a:ext cx="243861" cy="219098"/>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S1</a:t>
          </a:r>
        </a:p>
      </xdr:txBody>
    </xdr:sp>
    <xdr:clientData/>
  </xdr:twoCellAnchor>
  <xdr:twoCellAnchor editAs="absolute">
    <xdr:from>
      <xdr:col>13</xdr:col>
      <xdr:colOff>117883</xdr:colOff>
      <xdr:row>11</xdr:row>
      <xdr:rowOff>34093</xdr:rowOff>
    </xdr:from>
    <xdr:to>
      <xdr:col>13</xdr:col>
      <xdr:colOff>458914</xdr:colOff>
      <xdr:row>12</xdr:row>
      <xdr:rowOff>117195</xdr:rowOff>
    </xdr:to>
    <xdr:sp macro="" textlink="">
      <xdr:nvSpPr>
        <xdr:cNvPr id="28" name="Text Box 235">
          <a:extLst>
            <a:ext uri="{FF2B5EF4-FFF2-40B4-BE49-F238E27FC236}">
              <a16:creationId xmlns:a16="http://schemas.microsoft.com/office/drawing/2014/main" id="{00000000-0008-0000-0000-00001C000000}"/>
            </a:ext>
          </a:extLst>
        </xdr:cNvPr>
        <xdr:cNvSpPr txBox="1">
          <a:spLocks noChangeArrowheads="1"/>
        </xdr:cNvSpPr>
      </xdr:nvSpPr>
      <xdr:spPr bwMode="auto">
        <a:xfrm>
          <a:off x="8269231" y="2471467"/>
          <a:ext cx="337221" cy="2725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O1</a:t>
          </a:r>
        </a:p>
      </xdr:txBody>
    </xdr:sp>
    <xdr:clientData/>
  </xdr:twoCellAnchor>
  <xdr:twoCellAnchor editAs="absolute">
    <xdr:from>
      <xdr:col>13</xdr:col>
      <xdr:colOff>35233</xdr:colOff>
      <xdr:row>6</xdr:row>
      <xdr:rowOff>72153</xdr:rowOff>
    </xdr:from>
    <xdr:to>
      <xdr:col>13</xdr:col>
      <xdr:colOff>346839</xdr:colOff>
      <xdr:row>7</xdr:row>
      <xdr:rowOff>109804</xdr:rowOff>
    </xdr:to>
    <xdr:sp macro="" textlink="">
      <xdr:nvSpPr>
        <xdr:cNvPr id="29" name="Text Box 244">
          <a:extLst>
            <a:ext uri="{FF2B5EF4-FFF2-40B4-BE49-F238E27FC236}">
              <a16:creationId xmlns:a16="http://schemas.microsoft.com/office/drawing/2014/main" id="{00000000-0008-0000-0000-00001D000000}"/>
            </a:ext>
          </a:extLst>
        </xdr:cNvPr>
        <xdr:cNvSpPr txBox="1">
          <a:spLocks noChangeArrowheads="1"/>
        </xdr:cNvSpPr>
      </xdr:nvSpPr>
      <xdr:spPr bwMode="auto">
        <a:xfrm>
          <a:off x="8186728" y="1645683"/>
          <a:ext cx="328751" cy="22624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editAs="absolute">
    <xdr:from>
      <xdr:col>16</xdr:col>
      <xdr:colOff>2442684</xdr:colOff>
      <xdr:row>6</xdr:row>
      <xdr:rowOff>80340</xdr:rowOff>
    </xdr:from>
    <xdr:to>
      <xdr:col>16</xdr:col>
      <xdr:colOff>2856651</xdr:colOff>
      <xdr:row>7</xdr:row>
      <xdr:rowOff>156249</xdr:rowOff>
    </xdr:to>
    <xdr:sp macro="" textlink="">
      <xdr:nvSpPr>
        <xdr:cNvPr id="30" name="Text Box 248">
          <a:extLst>
            <a:ext uri="{FF2B5EF4-FFF2-40B4-BE49-F238E27FC236}">
              <a16:creationId xmlns:a16="http://schemas.microsoft.com/office/drawing/2014/main" id="{00000000-0008-0000-0000-00001E000000}"/>
            </a:ext>
          </a:extLst>
        </xdr:cNvPr>
        <xdr:cNvSpPr txBox="1">
          <a:spLocks noChangeArrowheads="1"/>
        </xdr:cNvSpPr>
      </xdr:nvSpPr>
      <xdr:spPr bwMode="auto">
        <a:xfrm>
          <a:off x="12484379" y="1668670"/>
          <a:ext cx="410157" cy="23871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16</xdr:col>
      <xdr:colOff>3350540</xdr:colOff>
      <xdr:row>6</xdr:row>
      <xdr:rowOff>111235</xdr:rowOff>
    </xdr:from>
    <xdr:to>
      <xdr:col>16</xdr:col>
      <xdr:colOff>3730359</xdr:colOff>
      <xdr:row>8</xdr:row>
      <xdr:rowOff>2487</xdr:rowOff>
    </xdr:to>
    <xdr:sp macro="" textlink="">
      <xdr:nvSpPr>
        <xdr:cNvPr id="31" name="Text Box 249">
          <a:extLst>
            <a:ext uri="{FF2B5EF4-FFF2-40B4-BE49-F238E27FC236}">
              <a16:creationId xmlns:a16="http://schemas.microsoft.com/office/drawing/2014/main" id="{00000000-0008-0000-0000-00001F000000}"/>
            </a:ext>
          </a:extLst>
        </xdr:cNvPr>
        <xdr:cNvSpPr txBox="1">
          <a:spLocks noChangeArrowheads="1"/>
        </xdr:cNvSpPr>
      </xdr:nvSpPr>
      <xdr:spPr bwMode="auto">
        <a:xfrm>
          <a:off x="13388425" y="1674800"/>
          <a:ext cx="376009" cy="24734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VCC2</a:t>
          </a:r>
        </a:p>
      </xdr:txBody>
    </xdr:sp>
    <xdr:clientData/>
  </xdr:twoCellAnchor>
  <xdr:twoCellAnchor editAs="absolute">
    <xdr:from>
      <xdr:col>14</xdr:col>
      <xdr:colOff>453474</xdr:colOff>
      <xdr:row>28</xdr:row>
      <xdr:rowOff>42228</xdr:rowOff>
    </xdr:from>
    <xdr:to>
      <xdr:col>15</xdr:col>
      <xdr:colOff>73984</xdr:colOff>
      <xdr:row>29</xdr:row>
      <xdr:rowOff>110260</xdr:rowOff>
    </xdr:to>
    <xdr:sp macro="" textlink="">
      <xdr:nvSpPr>
        <xdr:cNvPr id="33" name="Text Box 256">
          <a:extLst>
            <a:ext uri="{FF2B5EF4-FFF2-40B4-BE49-F238E27FC236}">
              <a16:creationId xmlns:a16="http://schemas.microsoft.com/office/drawing/2014/main" id="{00000000-0008-0000-0000-000021000000}"/>
            </a:ext>
          </a:extLst>
        </xdr:cNvPr>
        <xdr:cNvSpPr txBox="1">
          <a:spLocks noChangeArrowheads="1"/>
        </xdr:cNvSpPr>
      </xdr:nvSpPr>
      <xdr:spPr bwMode="auto">
        <a:xfrm>
          <a:off x="9213140" y="5806282"/>
          <a:ext cx="242969" cy="21971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editAs="absolute">
    <xdr:from>
      <xdr:col>14</xdr:col>
      <xdr:colOff>148265</xdr:colOff>
      <xdr:row>24</xdr:row>
      <xdr:rowOff>36809</xdr:rowOff>
    </xdr:from>
    <xdr:to>
      <xdr:col>14</xdr:col>
      <xdr:colOff>453242</xdr:colOff>
      <xdr:row>25</xdr:row>
      <xdr:rowOff>73202</xdr:rowOff>
    </xdr:to>
    <xdr:sp macro="" textlink="">
      <xdr:nvSpPr>
        <xdr:cNvPr id="34" name="Text Box 257">
          <a:extLst>
            <a:ext uri="{FF2B5EF4-FFF2-40B4-BE49-F238E27FC236}">
              <a16:creationId xmlns:a16="http://schemas.microsoft.com/office/drawing/2014/main" id="{00000000-0008-0000-0000-000022000000}"/>
            </a:ext>
          </a:extLst>
        </xdr:cNvPr>
        <xdr:cNvSpPr txBox="1">
          <a:spLocks noChangeArrowheads="1"/>
        </xdr:cNvSpPr>
      </xdr:nvSpPr>
      <xdr:spPr bwMode="auto">
        <a:xfrm>
          <a:off x="8913646" y="4982665"/>
          <a:ext cx="314502" cy="245229"/>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900" b="0" i="0" strike="noStrike">
              <a:solidFill>
                <a:srgbClr val="000000"/>
              </a:solidFill>
              <a:latin typeface="Arial" pitchFamily="34" charset="0"/>
              <a:cs typeface="Arial" pitchFamily="34" charset="0"/>
            </a:rPr>
            <a:t>C</a:t>
          </a:r>
          <a:r>
            <a:rPr lang="en-US" sz="900" b="0" i="0" strike="noStrike" baseline="-25000">
              <a:solidFill>
                <a:srgbClr val="000000"/>
              </a:solidFill>
              <a:latin typeface="Arial" pitchFamily="34" charset="0"/>
              <a:cs typeface="Arial" pitchFamily="34" charset="0"/>
            </a:rPr>
            <a:t>C1</a:t>
          </a:r>
        </a:p>
      </xdr:txBody>
    </xdr:sp>
    <xdr:clientData/>
  </xdr:twoCellAnchor>
  <xdr:twoCellAnchor editAs="absolute">
    <xdr:from>
      <xdr:col>14</xdr:col>
      <xdr:colOff>568221</xdr:colOff>
      <xdr:row>24</xdr:row>
      <xdr:rowOff>79452</xdr:rowOff>
    </xdr:from>
    <xdr:to>
      <xdr:col>15</xdr:col>
      <xdr:colOff>263075</xdr:colOff>
      <xdr:row>25</xdr:row>
      <xdr:rowOff>79559</xdr:rowOff>
    </xdr:to>
    <xdr:sp macro="" textlink="">
      <xdr:nvSpPr>
        <xdr:cNvPr id="35" name="Text Box 258">
          <a:extLst>
            <a:ext uri="{FF2B5EF4-FFF2-40B4-BE49-F238E27FC236}">
              <a16:creationId xmlns:a16="http://schemas.microsoft.com/office/drawing/2014/main" id="{00000000-0008-0000-0000-000023000000}"/>
            </a:ext>
          </a:extLst>
        </xdr:cNvPr>
        <xdr:cNvSpPr txBox="1">
          <a:spLocks noChangeArrowheads="1"/>
        </xdr:cNvSpPr>
      </xdr:nvSpPr>
      <xdr:spPr bwMode="auto">
        <a:xfrm>
          <a:off x="9329792" y="5032928"/>
          <a:ext cx="307788" cy="220373"/>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editAs="absolute">
    <xdr:from>
      <xdr:col>14</xdr:col>
      <xdr:colOff>231806</xdr:colOff>
      <xdr:row>29</xdr:row>
      <xdr:rowOff>34272</xdr:rowOff>
    </xdr:from>
    <xdr:to>
      <xdr:col>15</xdr:col>
      <xdr:colOff>71463</xdr:colOff>
      <xdr:row>30</xdr:row>
      <xdr:rowOff>41627</xdr:rowOff>
    </xdr:to>
    <xdr:sp macro="" textlink="'Variable Management'!B355">
      <xdr:nvSpPr>
        <xdr:cNvPr id="36" name="Text Box 262">
          <a:extLst>
            <a:ext uri="{FF2B5EF4-FFF2-40B4-BE49-F238E27FC236}">
              <a16:creationId xmlns:a16="http://schemas.microsoft.com/office/drawing/2014/main" id="{00000000-0008-0000-0000-000024000000}"/>
            </a:ext>
          </a:extLst>
        </xdr:cNvPr>
        <xdr:cNvSpPr txBox="1">
          <a:spLocks noChangeArrowheads="1" noTextEdit="1"/>
        </xdr:cNvSpPr>
      </xdr:nvSpPr>
      <xdr:spPr bwMode="auto">
        <a:xfrm>
          <a:off x="9016237" y="5967156"/>
          <a:ext cx="420206" cy="223811"/>
        </a:xfrm>
        <a:prstGeom prst="rect">
          <a:avLst/>
        </a:prstGeom>
        <a:noFill/>
        <a:ln w="9525">
          <a:noFill/>
          <a:miter lim="800000"/>
          <a:headEnd/>
          <a:tailEnd/>
        </a:ln>
      </xdr:spPr>
      <xdr:txBody>
        <a:bodyPr vertOverflow="clip" wrap="square" lIns="27432" tIns="22860" rIns="0" bIns="0" anchor="ctr" upright="1"/>
        <a:lstStyle/>
        <a:p>
          <a:pPr algn="r" rtl="0">
            <a:defRPr sz="1000"/>
          </a:pPr>
          <a:fld id="{2D8520E2-C481-4B17-83BA-3FA209B7A03A}" type="TxLink">
            <a:rPr lang="en-US" sz="1000" b="0" i="0" u="none" strike="noStrike" baseline="0">
              <a:solidFill>
                <a:srgbClr val="000000"/>
              </a:solidFill>
              <a:latin typeface="Arial" pitchFamily="34" charset="0"/>
              <a:cs typeface="Arial" pitchFamily="34" charset="0"/>
            </a:rPr>
            <a:pPr algn="r" rtl="0">
              <a:defRPr sz="1000"/>
            </a:pPr>
            <a:t>82pF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14</xdr:col>
      <xdr:colOff>530283</xdr:colOff>
      <xdr:row>25</xdr:row>
      <xdr:rowOff>72930</xdr:rowOff>
    </xdr:from>
    <xdr:to>
      <xdr:col>15</xdr:col>
      <xdr:colOff>377634</xdr:colOff>
      <xdr:row>26</xdr:row>
      <xdr:rowOff>37183</xdr:rowOff>
    </xdr:to>
    <xdr:sp macro="" textlink="'Variable Management'!B353">
      <xdr:nvSpPr>
        <xdr:cNvPr id="37" name="Text Box 263">
          <a:extLst>
            <a:ext uri="{FF2B5EF4-FFF2-40B4-BE49-F238E27FC236}">
              <a16:creationId xmlns:a16="http://schemas.microsoft.com/office/drawing/2014/main" id="{00000000-0008-0000-0000-000025000000}"/>
            </a:ext>
          </a:extLst>
        </xdr:cNvPr>
        <xdr:cNvSpPr txBox="1">
          <a:spLocks noChangeArrowheads="1" noTextEdit="1"/>
        </xdr:cNvSpPr>
      </xdr:nvSpPr>
      <xdr:spPr bwMode="auto">
        <a:xfrm>
          <a:off x="9293759" y="5227622"/>
          <a:ext cx="458380" cy="224524"/>
        </a:xfrm>
        <a:prstGeom prst="rect">
          <a:avLst/>
        </a:prstGeom>
        <a:noFill/>
        <a:ln w="9525">
          <a:noFill/>
          <a:miter lim="800000"/>
          <a:headEnd/>
          <a:tailEnd/>
        </a:ln>
      </xdr:spPr>
      <xdr:txBody>
        <a:bodyPr vertOverflow="clip" wrap="square" lIns="27432" tIns="22860" rIns="0" bIns="0" anchor="t" upright="1"/>
        <a:lstStyle/>
        <a:p>
          <a:pPr algn="l" rtl="0">
            <a:defRPr sz="1000"/>
          </a:pPr>
          <a:fld id="{EDB14F34-7391-4353-9626-FAE030CE211F}" type="TxLink">
            <a:rPr lang="en-US" sz="900" b="0" i="0" u="none" strike="noStrike" baseline="0">
              <a:solidFill>
                <a:srgbClr val="000000"/>
              </a:solidFill>
              <a:latin typeface="Arial" pitchFamily="34" charset="0"/>
              <a:cs typeface="Arial" pitchFamily="34" charset="0"/>
            </a:rPr>
            <a:pPr algn="l" rtl="0">
              <a:defRPr sz="1000"/>
            </a:pPr>
            <a:t>18kΩ</a:t>
          </a:fld>
          <a:endParaRPr lang="el-GR" sz="900" b="0" i="0" u="none" strike="noStrike" baseline="0">
            <a:solidFill>
              <a:srgbClr val="000000"/>
            </a:solidFill>
            <a:latin typeface="Arial" pitchFamily="34" charset="0"/>
            <a:cs typeface="Arial" pitchFamily="34" charset="0"/>
          </a:endParaRPr>
        </a:p>
      </xdr:txBody>
    </xdr:sp>
    <xdr:clientData/>
  </xdr:twoCellAnchor>
  <xdr:twoCellAnchor editAs="absolute">
    <xdr:from>
      <xdr:col>14</xdr:col>
      <xdr:colOff>228660</xdr:colOff>
      <xdr:row>20</xdr:row>
      <xdr:rowOff>34262</xdr:rowOff>
    </xdr:from>
    <xdr:to>
      <xdr:col>15</xdr:col>
      <xdr:colOff>301040</xdr:colOff>
      <xdr:row>21</xdr:row>
      <xdr:rowOff>118094</xdr:rowOff>
    </xdr:to>
    <xdr:sp macro="" textlink="'Variable Management'!B380">
      <xdr:nvSpPr>
        <xdr:cNvPr id="38" name="Text Box 265">
          <a:extLst>
            <a:ext uri="{FF2B5EF4-FFF2-40B4-BE49-F238E27FC236}">
              <a16:creationId xmlns:a16="http://schemas.microsoft.com/office/drawing/2014/main" id="{00000000-0008-0000-0000-000026000000}"/>
            </a:ext>
          </a:extLst>
        </xdr:cNvPr>
        <xdr:cNvSpPr txBox="1">
          <a:spLocks noChangeArrowheads="1" noTextEdit="1"/>
        </xdr:cNvSpPr>
      </xdr:nvSpPr>
      <xdr:spPr bwMode="auto">
        <a:xfrm>
          <a:off x="9003566" y="4290746"/>
          <a:ext cx="679599" cy="264093"/>
        </a:xfrm>
        <a:prstGeom prst="rect">
          <a:avLst/>
        </a:prstGeom>
        <a:noFill/>
        <a:ln w="9525">
          <a:noFill/>
          <a:miter lim="800000"/>
          <a:headEnd/>
          <a:tailEnd/>
        </a:ln>
      </xdr:spPr>
      <xdr:txBody>
        <a:bodyPr vertOverflow="clip" wrap="square" lIns="27432" tIns="22860" rIns="0" bIns="0" anchor="t" upright="1"/>
        <a:lstStyle/>
        <a:p>
          <a:pPr algn="r" rtl="0">
            <a:defRPr sz="1000"/>
          </a:pPr>
          <a:fld id="{30247B59-D142-4194-9028-13C083D6194C}" type="TxLink">
            <a:rPr lang="en-US" sz="1000" b="0" i="0" u="none" strike="noStrike" baseline="0">
              <a:solidFill>
                <a:srgbClr val="000000"/>
              </a:solidFill>
              <a:latin typeface="Arialri"/>
              <a:cs typeface="Arial" pitchFamily="34" charset="0"/>
            </a:rPr>
            <a:pPr algn="r" rtl="0">
              <a:defRPr sz="1000"/>
            </a:pPr>
            <a:t>100kΩ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11</xdr:col>
      <xdr:colOff>644401</xdr:colOff>
      <xdr:row>14</xdr:row>
      <xdr:rowOff>185995</xdr:rowOff>
    </xdr:from>
    <xdr:to>
      <xdr:col>12</xdr:col>
      <xdr:colOff>308730</xdr:colOff>
      <xdr:row>15</xdr:row>
      <xdr:rowOff>156899</xdr:rowOff>
    </xdr:to>
    <xdr:sp macro="" textlink="'Variable Management'!B345">
      <xdr:nvSpPr>
        <xdr:cNvPr id="39" name="Text Box 267">
          <a:extLst>
            <a:ext uri="{FF2B5EF4-FFF2-40B4-BE49-F238E27FC236}">
              <a16:creationId xmlns:a16="http://schemas.microsoft.com/office/drawing/2014/main" id="{00000000-0008-0000-0000-000027000000}"/>
            </a:ext>
          </a:extLst>
        </xdr:cNvPr>
        <xdr:cNvSpPr txBox="1">
          <a:spLocks noChangeArrowheads="1" noTextEdit="1"/>
        </xdr:cNvSpPr>
      </xdr:nvSpPr>
      <xdr:spPr bwMode="auto">
        <a:xfrm>
          <a:off x="7365241" y="3213040"/>
          <a:ext cx="500624" cy="207124"/>
        </a:xfrm>
        <a:prstGeom prst="rect">
          <a:avLst/>
        </a:prstGeom>
        <a:noFill/>
        <a:ln w="9525">
          <a:noFill/>
          <a:miter lim="800000"/>
          <a:headEnd/>
          <a:tailEnd/>
        </a:ln>
      </xdr:spPr>
      <xdr:txBody>
        <a:bodyPr vertOverflow="clip" wrap="square" lIns="27432" tIns="22860" rIns="0" bIns="0" anchor="ctr" upright="1"/>
        <a:lstStyle/>
        <a:p>
          <a:pPr algn="r" rtl="0">
            <a:defRPr sz="1000"/>
          </a:pPr>
          <a:fld id="{DEF62FD0-959B-4627-B7E8-61CA1688D174}" type="TxLink">
            <a:rPr lang="en-US" sz="1000" b="0" i="0" u="none" strike="noStrike" baseline="0">
              <a:solidFill>
                <a:srgbClr val="000000"/>
              </a:solidFill>
              <a:latin typeface="Arial" pitchFamily="34" charset="0"/>
              <a:cs typeface="Arial" pitchFamily="34" charset="0"/>
            </a:rPr>
            <a:pPr algn="r" rtl="0">
              <a:defRPr sz="1000"/>
            </a:pPr>
            <a:t>102µF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13</xdr:col>
      <xdr:colOff>42238</xdr:colOff>
      <xdr:row>13</xdr:row>
      <xdr:rowOff>72038</xdr:rowOff>
    </xdr:from>
    <xdr:to>
      <xdr:col>13</xdr:col>
      <xdr:colOff>496636</xdr:colOff>
      <xdr:row>14</xdr:row>
      <xdr:rowOff>71581</xdr:rowOff>
    </xdr:to>
    <xdr:sp macro="" textlink="'Variable Management'!B339">
      <xdr:nvSpPr>
        <xdr:cNvPr id="40" name="Text Box 275">
          <a:extLst>
            <a:ext uri="{FF2B5EF4-FFF2-40B4-BE49-F238E27FC236}">
              <a16:creationId xmlns:a16="http://schemas.microsoft.com/office/drawing/2014/main" id="{00000000-0008-0000-0000-000028000000}"/>
            </a:ext>
          </a:extLst>
        </xdr:cNvPr>
        <xdr:cNvSpPr txBox="1">
          <a:spLocks noChangeArrowheads="1" noTextEdit="1"/>
        </xdr:cNvSpPr>
      </xdr:nvSpPr>
      <xdr:spPr bwMode="auto">
        <a:xfrm>
          <a:off x="8197396" y="2854071"/>
          <a:ext cx="446778" cy="209825"/>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10µH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12</xdr:col>
      <xdr:colOff>605900</xdr:colOff>
      <xdr:row>7</xdr:row>
      <xdr:rowOff>76080</xdr:rowOff>
    </xdr:from>
    <xdr:to>
      <xdr:col>13</xdr:col>
      <xdr:colOff>458625</xdr:colOff>
      <xdr:row>8</xdr:row>
      <xdr:rowOff>118821</xdr:rowOff>
    </xdr:to>
    <xdr:sp macro="" textlink="'Variable Management'!B349">
      <xdr:nvSpPr>
        <xdr:cNvPr id="41" name="Text Box 276">
          <a:extLst>
            <a:ext uri="{FF2B5EF4-FFF2-40B4-BE49-F238E27FC236}">
              <a16:creationId xmlns:a16="http://schemas.microsoft.com/office/drawing/2014/main" id="{00000000-0008-0000-0000-000029000000}"/>
            </a:ext>
          </a:extLst>
        </xdr:cNvPr>
        <xdr:cNvSpPr txBox="1">
          <a:spLocks noChangeArrowheads="1" noTextEdit="1"/>
        </xdr:cNvSpPr>
      </xdr:nvSpPr>
      <xdr:spPr bwMode="auto">
        <a:xfrm>
          <a:off x="8145890" y="1838205"/>
          <a:ext cx="475660" cy="223716"/>
        </a:xfrm>
        <a:prstGeom prst="rect">
          <a:avLst/>
        </a:prstGeom>
        <a:noFill/>
        <a:ln w="9525">
          <a:noFill/>
          <a:miter lim="800000"/>
          <a:headEnd/>
          <a:tailEnd/>
        </a:ln>
      </xdr:spPr>
      <xdr:txBody>
        <a:bodyPr vertOverflow="clip" wrap="square" lIns="27432" tIns="22860" rIns="0" bIns="0" anchor="ctr" upright="1"/>
        <a:lstStyle/>
        <a:p>
          <a:pPr algn="l" rtl="0">
            <a:defRPr sz="1000"/>
          </a:pPr>
          <a:fld id="{7E8F3901-1453-4951-8E28-510E65401D4C}" type="TxLink">
            <a:rPr lang="en-US" sz="1000" b="0" i="0" u="none" strike="noStrike" baseline="0">
              <a:solidFill>
                <a:srgbClr val="000000"/>
              </a:solidFill>
              <a:latin typeface="Arial" pitchFamily="34" charset="0"/>
              <a:cs typeface="Arial" pitchFamily="34" charset="0"/>
            </a:rPr>
            <a:pPr algn="l" rtl="0">
              <a:defRPr sz="1000"/>
            </a:pPr>
            <a:t>1328µF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500001</xdr:colOff>
      <xdr:row>31</xdr:row>
      <xdr:rowOff>80936</xdr:rowOff>
    </xdr:from>
    <xdr:to>
      <xdr:col>16</xdr:col>
      <xdr:colOff>949074</xdr:colOff>
      <xdr:row>32</xdr:row>
      <xdr:rowOff>73213</xdr:rowOff>
    </xdr:to>
    <xdr:sp macro="" textlink="'Variable Management'!B381">
      <xdr:nvSpPr>
        <xdr:cNvPr id="42" name="Text Box 281">
          <a:extLst>
            <a:ext uri="{FF2B5EF4-FFF2-40B4-BE49-F238E27FC236}">
              <a16:creationId xmlns:a16="http://schemas.microsoft.com/office/drawing/2014/main" id="{00000000-0008-0000-0000-00002A000000}"/>
            </a:ext>
          </a:extLst>
        </xdr:cNvPr>
        <xdr:cNvSpPr txBox="1">
          <a:spLocks noChangeArrowheads="1" noTextEdit="1"/>
        </xdr:cNvSpPr>
      </xdr:nvSpPr>
      <xdr:spPr bwMode="auto">
        <a:xfrm>
          <a:off x="10562731" y="6399128"/>
          <a:ext cx="437643" cy="237676"/>
        </a:xfrm>
        <a:prstGeom prst="rect">
          <a:avLst/>
        </a:prstGeom>
        <a:noFill/>
        <a:ln w="9525">
          <a:noFill/>
          <a:miter lim="800000"/>
          <a:headEnd/>
          <a:tailEnd/>
        </a:ln>
      </xdr:spPr>
      <xdr:txBody>
        <a:bodyPr vertOverflow="clip" wrap="square" lIns="27432" tIns="22860" rIns="0" bIns="0" anchor="t" upright="1"/>
        <a:lstStyle/>
        <a:p>
          <a:pPr algn="ctr" rtl="0">
            <a:defRPr sz="1000"/>
          </a:pPr>
          <a:fld id="{77460045-3ADA-4E36-A50B-8C5C548E137C}" type="TxLink">
            <a:rPr lang="en-US" sz="1000" b="0" i="0" u="none" strike="noStrike">
              <a:solidFill>
                <a:srgbClr val="000000"/>
              </a:solidFill>
              <a:latin typeface="Arial" pitchFamily="34" charset="0"/>
              <a:cs typeface="Arial" pitchFamily="34" charset="0"/>
            </a:rPr>
            <a:pPr algn="ctr" rtl="0">
              <a:defRPr sz="1000"/>
            </a:pPr>
            <a:t> </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10</xdr:col>
      <xdr:colOff>414850</xdr:colOff>
      <xdr:row>12</xdr:row>
      <xdr:rowOff>79996</xdr:rowOff>
    </xdr:from>
    <xdr:to>
      <xdr:col>11</xdr:col>
      <xdr:colOff>385209</xdr:colOff>
      <xdr:row>13</xdr:row>
      <xdr:rowOff>156968</xdr:rowOff>
    </xdr:to>
    <xdr:sp macro="" textlink="'Variable Management'!B343">
      <xdr:nvSpPr>
        <xdr:cNvPr id="43" name="Text Box 285">
          <a:extLst>
            <a:ext uri="{FF2B5EF4-FFF2-40B4-BE49-F238E27FC236}">
              <a16:creationId xmlns:a16="http://schemas.microsoft.com/office/drawing/2014/main" id="{00000000-0008-0000-0000-00002B000000}"/>
            </a:ext>
          </a:extLst>
        </xdr:cNvPr>
        <xdr:cNvSpPr txBox="1">
          <a:spLocks noChangeArrowheads="1" noTextEdit="1"/>
        </xdr:cNvSpPr>
      </xdr:nvSpPr>
      <xdr:spPr bwMode="auto">
        <a:xfrm>
          <a:off x="6616944" y="2708749"/>
          <a:ext cx="483537" cy="241682"/>
        </a:xfrm>
        <a:prstGeom prst="rect">
          <a:avLst/>
        </a:prstGeom>
        <a:noFill/>
        <a:ln w="9525">
          <a:noFill/>
          <a:miter lim="800000"/>
          <a:headEnd/>
          <a:tailEnd/>
        </a:ln>
      </xdr:spPr>
      <xdr:txBody>
        <a:bodyPr vertOverflow="clip" wrap="square" lIns="27432" tIns="22860" rIns="0" bIns="0" anchor="ctr" upright="1"/>
        <a:lstStyle/>
        <a:p>
          <a:pPr algn="r" rtl="0">
            <a:defRPr sz="1000"/>
          </a:pPr>
          <a:fld id="{702C2B8A-7C4B-4FDB-B229-3170089D9686}" type="TxLink">
            <a:rPr lang="en-US" sz="1000" b="1" i="0" u="none" strike="noStrike" baseline="0">
              <a:solidFill>
                <a:srgbClr val="FF0000"/>
              </a:solidFill>
              <a:latin typeface="Arial" pitchFamily="34" charset="0"/>
              <a:cs typeface="Arial" pitchFamily="34" charset="0"/>
            </a:rPr>
            <a:pPr algn="r" rtl="0">
              <a:defRPr sz="1000"/>
            </a:pPr>
            <a:t>24V</a:t>
          </a:fld>
          <a:endParaRPr lang="en-US" sz="1000" b="1" i="0" u="none" strike="noStrike" baseline="0">
            <a:solidFill>
              <a:srgbClr val="FF0000"/>
            </a:solidFill>
            <a:latin typeface="Arial" pitchFamily="34" charset="0"/>
            <a:cs typeface="Arial" pitchFamily="34" charset="0"/>
          </a:endParaRPr>
        </a:p>
      </xdr:txBody>
    </xdr:sp>
    <xdr:clientData/>
  </xdr:twoCellAnchor>
  <xdr:twoCellAnchor editAs="absolute">
    <xdr:from>
      <xdr:col>10</xdr:col>
      <xdr:colOff>421835</xdr:colOff>
      <xdr:row>13</xdr:row>
      <xdr:rowOff>117471</xdr:rowOff>
    </xdr:from>
    <xdr:to>
      <xdr:col>11</xdr:col>
      <xdr:colOff>377998</xdr:colOff>
      <xdr:row>14</xdr:row>
      <xdr:rowOff>148570</xdr:rowOff>
    </xdr:to>
    <xdr:sp macro="" textlink="'Variable Management'!B386">
      <xdr:nvSpPr>
        <xdr:cNvPr id="44" name="Text Box 286">
          <a:extLst>
            <a:ext uri="{FF2B5EF4-FFF2-40B4-BE49-F238E27FC236}">
              <a16:creationId xmlns:a16="http://schemas.microsoft.com/office/drawing/2014/main" id="{00000000-0008-0000-0000-00002C000000}"/>
            </a:ext>
          </a:extLst>
        </xdr:cNvPr>
        <xdr:cNvSpPr txBox="1">
          <a:spLocks noChangeArrowheads="1" noTextEdit="1"/>
        </xdr:cNvSpPr>
      </xdr:nvSpPr>
      <xdr:spPr bwMode="auto">
        <a:xfrm>
          <a:off x="6627739" y="2912839"/>
          <a:ext cx="457911" cy="243286"/>
        </a:xfrm>
        <a:prstGeom prst="rect">
          <a:avLst/>
        </a:prstGeom>
        <a:noFill/>
        <a:ln w="9525">
          <a:noFill/>
          <a:miter lim="800000"/>
          <a:headEnd/>
          <a:tailEnd/>
        </a:ln>
      </xdr:spPr>
      <xdr:txBody>
        <a:bodyPr vertOverflow="clip" wrap="square" lIns="27432" tIns="22860" rIns="0" bIns="0" anchor="t" upright="1"/>
        <a:lstStyle/>
        <a:p>
          <a:pPr algn="r" rtl="0">
            <a:defRPr sz="1000"/>
          </a:pPr>
          <a:fld id="{E0FB88FA-F39E-4ACF-AB5E-DCB628763AAE}" type="TxLink">
            <a:rPr lang="en-US" sz="1000" b="1" i="0" u="none" strike="noStrike">
              <a:solidFill>
                <a:srgbClr val="FF0000"/>
              </a:solidFill>
              <a:latin typeface="Arial" pitchFamily="34" charset="0"/>
              <a:cs typeface="Arial" pitchFamily="34" charset="0"/>
            </a:rPr>
            <a:pPr algn="r" rtl="0">
              <a:defRPr sz="1000"/>
            </a:pPr>
            <a:t>60A</a:t>
          </a:fld>
          <a:endParaRPr lang="en-US" sz="1000" b="1" i="0" strike="noStrike">
            <a:solidFill>
              <a:srgbClr val="FF0000"/>
            </a:solidFill>
            <a:latin typeface="Arial" pitchFamily="34" charset="0"/>
            <a:cs typeface="Arial" pitchFamily="34" charset="0"/>
          </a:endParaRPr>
        </a:p>
      </xdr:txBody>
    </xdr:sp>
    <xdr:clientData/>
  </xdr:twoCellAnchor>
  <xdr:twoCellAnchor editAs="absolute">
    <xdr:from>
      <xdr:col>14</xdr:col>
      <xdr:colOff>499564</xdr:colOff>
      <xdr:row>18</xdr:row>
      <xdr:rowOff>71593</xdr:rowOff>
    </xdr:from>
    <xdr:to>
      <xdr:col>15</xdr:col>
      <xdr:colOff>155886</xdr:colOff>
      <xdr:row>19</xdr:row>
      <xdr:rowOff>74813</xdr:rowOff>
    </xdr:to>
    <xdr:sp macro="" textlink="">
      <xdr:nvSpPr>
        <xdr:cNvPr id="45" name="Text Box 251">
          <a:extLst>
            <a:ext uri="{FF2B5EF4-FFF2-40B4-BE49-F238E27FC236}">
              <a16:creationId xmlns:a16="http://schemas.microsoft.com/office/drawing/2014/main" id="{00000000-0008-0000-0000-00002D000000}"/>
            </a:ext>
          </a:extLst>
        </xdr:cNvPr>
        <xdr:cNvSpPr txBox="1">
          <a:spLocks noChangeArrowheads="1"/>
        </xdr:cNvSpPr>
      </xdr:nvSpPr>
      <xdr:spPr bwMode="auto">
        <a:xfrm>
          <a:off x="9282090" y="3968032"/>
          <a:ext cx="263541" cy="193006"/>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T</a:t>
          </a:r>
        </a:p>
      </xdr:txBody>
    </xdr:sp>
    <xdr:clientData/>
  </xdr:twoCellAnchor>
  <xdr:twoCellAnchor editAs="absolute">
    <xdr:from>
      <xdr:col>16</xdr:col>
      <xdr:colOff>3043321</xdr:colOff>
      <xdr:row>10</xdr:row>
      <xdr:rowOff>3704</xdr:rowOff>
    </xdr:from>
    <xdr:to>
      <xdr:col>16</xdr:col>
      <xdr:colOff>3502303</xdr:colOff>
      <xdr:row>11</xdr:row>
      <xdr:rowOff>34574</xdr:rowOff>
    </xdr:to>
    <xdr:sp macro="" textlink="">
      <xdr:nvSpPr>
        <xdr:cNvPr id="46" name="Text Box 247">
          <a:extLst>
            <a:ext uri="{FF2B5EF4-FFF2-40B4-BE49-F238E27FC236}">
              <a16:creationId xmlns:a16="http://schemas.microsoft.com/office/drawing/2014/main" id="{00000000-0008-0000-0000-00002E000000}"/>
            </a:ext>
          </a:extLst>
        </xdr:cNvPr>
        <xdr:cNvSpPr txBox="1">
          <a:spLocks noChangeArrowheads="1"/>
        </xdr:cNvSpPr>
      </xdr:nvSpPr>
      <xdr:spPr bwMode="auto">
        <a:xfrm>
          <a:off x="13086957" y="2295657"/>
          <a:ext cx="462792" cy="22565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13</xdr:col>
      <xdr:colOff>305354</xdr:colOff>
      <xdr:row>14</xdr:row>
      <xdr:rowOff>117699</xdr:rowOff>
    </xdr:from>
    <xdr:to>
      <xdr:col>14</xdr:col>
      <xdr:colOff>33379</xdr:colOff>
      <xdr:row>15</xdr:row>
      <xdr:rowOff>147684</xdr:rowOff>
    </xdr:to>
    <xdr:sp macro="" textlink="">
      <xdr:nvSpPr>
        <xdr:cNvPr id="47" name="Text Box 244">
          <a:extLst>
            <a:ext uri="{FF2B5EF4-FFF2-40B4-BE49-F238E27FC236}">
              <a16:creationId xmlns:a16="http://schemas.microsoft.com/office/drawing/2014/main" id="{00000000-0008-0000-0000-00002F000000}"/>
            </a:ext>
          </a:extLst>
        </xdr:cNvPr>
        <xdr:cNvSpPr txBox="1">
          <a:spLocks noChangeArrowheads="1"/>
        </xdr:cNvSpPr>
      </xdr:nvSpPr>
      <xdr:spPr bwMode="auto">
        <a:xfrm>
          <a:off x="8452892" y="3129064"/>
          <a:ext cx="320920" cy="242320"/>
        </a:xfrm>
        <a:prstGeom prst="rect">
          <a:avLst/>
        </a:prstGeom>
        <a:noFill/>
        <a:ln w="9525">
          <a:noFill/>
          <a:miter lim="800000"/>
          <a:headEnd/>
          <a:tailEnd/>
        </a:ln>
      </xdr:spPr>
      <xdr:txBody>
        <a:bodyPr vertOverflow="clip" wrap="square" lIns="27432" tIns="27432" rIns="0" bIns="0" anchor="ctr" upright="1"/>
        <a:lstStyle/>
        <a:p>
          <a:pPr algn="r"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editAs="absolute">
    <xdr:from>
      <xdr:col>13</xdr:col>
      <xdr:colOff>461218</xdr:colOff>
      <xdr:row>10</xdr:row>
      <xdr:rowOff>187181</xdr:rowOff>
    </xdr:from>
    <xdr:to>
      <xdr:col>14</xdr:col>
      <xdr:colOff>186464</xdr:colOff>
      <xdr:row>12</xdr:row>
      <xdr:rowOff>77208</xdr:rowOff>
    </xdr:to>
    <xdr:sp macro="" textlink="">
      <xdr:nvSpPr>
        <xdr:cNvPr id="48" name="Text Box 244">
          <a:extLst>
            <a:ext uri="{FF2B5EF4-FFF2-40B4-BE49-F238E27FC236}">
              <a16:creationId xmlns:a16="http://schemas.microsoft.com/office/drawing/2014/main" id="{00000000-0008-0000-0000-000030000000}"/>
            </a:ext>
          </a:extLst>
        </xdr:cNvPr>
        <xdr:cNvSpPr txBox="1">
          <a:spLocks noChangeArrowheads="1"/>
        </xdr:cNvSpPr>
      </xdr:nvSpPr>
      <xdr:spPr bwMode="auto">
        <a:xfrm>
          <a:off x="8616376" y="2436253"/>
          <a:ext cx="318141" cy="26399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editAs="absolute">
    <xdr:from>
      <xdr:col>12</xdr:col>
      <xdr:colOff>148033</xdr:colOff>
      <xdr:row>11</xdr:row>
      <xdr:rowOff>41597</xdr:rowOff>
    </xdr:from>
    <xdr:to>
      <xdr:col>13</xdr:col>
      <xdr:colOff>34618</xdr:colOff>
      <xdr:row>12</xdr:row>
      <xdr:rowOff>148829</xdr:rowOff>
    </xdr:to>
    <xdr:sp macro="" textlink="'Variable Management'!B341">
      <xdr:nvSpPr>
        <xdr:cNvPr id="49" name="Text Box 275">
          <a:extLst>
            <a:ext uri="{FF2B5EF4-FFF2-40B4-BE49-F238E27FC236}">
              <a16:creationId xmlns:a16="http://schemas.microsoft.com/office/drawing/2014/main" id="{00000000-0008-0000-0000-000031000000}"/>
            </a:ext>
          </a:extLst>
        </xdr:cNvPr>
        <xdr:cNvSpPr txBox="1">
          <a:spLocks noChangeArrowheads="1" noTextEdit="1"/>
        </xdr:cNvSpPr>
      </xdr:nvSpPr>
      <xdr:spPr bwMode="auto">
        <a:xfrm>
          <a:off x="7683627" y="2501831"/>
          <a:ext cx="479479" cy="268131"/>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2.2mΩ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3386703</xdr:colOff>
      <xdr:row>7</xdr:row>
      <xdr:rowOff>149468</xdr:rowOff>
    </xdr:from>
    <xdr:to>
      <xdr:col>16</xdr:col>
      <xdr:colOff>3814436</xdr:colOff>
      <xdr:row>9</xdr:row>
      <xdr:rowOff>37570</xdr:rowOff>
    </xdr:to>
    <xdr:sp macro="" textlink="">
      <xdr:nvSpPr>
        <xdr:cNvPr id="50" name="Text Box 279">
          <a:extLst>
            <a:ext uri="{FF2B5EF4-FFF2-40B4-BE49-F238E27FC236}">
              <a16:creationId xmlns:a16="http://schemas.microsoft.com/office/drawing/2014/main" id="{00000000-0008-0000-0000-000032000000}"/>
            </a:ext>
          </a:extLst>
        </xdr:cNvPr>
        <xdr:cNvSpPr txBox="1">
          <a:spLocks noChangeArrowheads="1"/>
        </xdr:cNvSpPr>
      </xdr:nvSpPr>
      <xdr:spPr bwMode="auto">
        <a:xfrm>
          <a:off x="13430339" y="1921594"/>
          <a:ext cx="450593" cy="23528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16</xdr:col>
      <xdr:colOff>3805960</xdr:colOff>
      <xdr:row>14</xdr:row>
      <xdr:rowOff>80110</xdr:rowOff>
    </xdr:from>
    <xdr:to>
      <xdr:col>16</xdr:col>
      <xdr:colOff>4072217</xdr:colOff>
      <xdr:row>15</xdr:row>
      <xdr:rowOff>155947</xdr:rowOff>
    </xdr:to>
    <xdr:sp macro="" textlink="">
      <xdr:nvSpPr>
        <xdr:cNvPr id="51" name="Text Box 244">
          <a:extLst>
            <a:ext uri="{FF2B5EF4-FFF2-40B4-BE49-F238E27FC236}">
              <a16:creationId xmlns:a16="http://schemas.microsoft.com/office/drawing/2014/main" id="{00000000-0008-0000-0000-000033000000}"/>
            </a:ext>
          </a:extLst>
        </xdr:cNvPr>
        <xdr:cNvSpPr txBox="1">
          <a:spLocks noChangeArrowheads="1"/>
        </xdr:cNvSpPr>
      </xdr:nvSpPr>
      <xdr:spPr bwMode="auto">
        <a:xfrm>
          <a:off x="13830510" y="3095285"/>
          <a:ext cx="275782" cy="28817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4</a:t>
          </a:r>
        </a:p>
      </xdr:txBody>
    </xdr:sp>
    <xdr:clientData/>
  </xdr:twoCellAnchor>
  <xdr:twoCellAnchor editAs="absolute">
    <xdr:from>
      <xdr:col>16</xdr:col>
      <xdr:colOff>3806350</xdr:colOff>
      <xdr:row>10</xdr:row>
      <xdr:rowOff>186009</xdr:rowOff>
    </xdr:from>
    <xdr:to>
      <xdr:col>16</xdr:col>
      <xdr:colOff>4075733</xdr:colOff>
      <xdr:row>12</xdr:row>
      <xdr:rowOff>71857</xdr:rowOff>
    </xdr:to>
    <xdr:sp macro="" textlink="">
      <xdr:nvSpPr>
        <xdr:cNvPr id="52" name="Text Box 244">
          <a:extLst>
            <a:ext uri="{FF2B5EF4-FFF2-40B4-BE49-F238E27FC236}">
              <a16:creationId xmlns:a16="http://schemas.microsoft.com/office/drawing/2014/main" id="{00000000-0008-0000-0000-000034000000}"/>
            </a:ext>
          </a:extLst>
        </xdr:cNvPr>
        <xdr:cNvSpPr txBox="1">
          <a:spLocks noChangeArrowheads="1"/>
        </xdr:cNvSpPr>
      </xdr:nvSpPr>
      <xdr:spPr bwMode="auto">
        <a:xfrm>
          <a:off x="13836615" y="2427461"/>
          <a:ext cx="277003" cy="26171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3</a:t>
          </a:r>
        </a:p>
      </xdr:txBody>
    </xdr:sp>
    <xdr:clientData/>
  </xdr:twoCellAnchor>
  <xdr:twoCellAnchor editAs="absolute">
    <xdr:from>
      <xdr:col>14</xdr:col>
      <xdr:colOff>72303</xdr:colOff>
      <xdr:row>25</xdr:row>
      <xdr:rowOff>1677</xdr:rowOff>
    </xdr:from>
    <xdr:to>
      <xdr:col>14</xdr:col>
      <xdr:colOff>568294</xdr:colOff>
      <xdr:row>26</xdr:row>
      <xdr:rowOff>1239</xdr:rowOff>
    </xdr:to>
    <xdr:sp macro="" textlink="'Variable Management'!B354">
      <xdr:nvSpPr>
        <xdr:cNvPr id="53" name="Text Box 261">
          <a:extLst>
            <a:ext uri="{FF2B5EF4-FFF2-40B4-BE49-F238E27FC236}">
              <a16:creationId xmlns:a16="http://schemas.microsoft.com/office/drawing/2014/main" id="{00000000-0008-0000-0000-000035000000}"/>
            </a:ext>
          </a:extLst>
        </xdr:cNvPr>
        <xdr:cNvSpPr txBox="1">
          <a:spLocks noChangeArrowheads="1" noTextEdit="1"/>
        </xdr:cNvSpPr>
      </xdr:nvSpPr>
      <xdr:spPr bwMode="auto">
        <a:xfrm>
          <a:off x="8825778" y="5135652"/>
          <a:ext cx="505516" cy="243402"/>
        </a:xfrm>
        <a:prstGeom prst="rect">
          <a:avLst/>
        </a:prstGeom>
        <a:noFill/>
        <a:ln w="9525">
          <a:noFill/>
          <a:miter lim="800000"/>
          <a:headEnd/>
          <a:tailEnd/>
        </a:ln>
      </xdr:spPr>
      <xdr:txBody>
        <a:bodyPr vertOverflow="clip" wrap="square" lIns="27432" tIns="22860" rIns="0" bIns="0" anchor="t" upright="1"/>
        <a:lstStyle/>
        <a:p>
          <a:pPr algn="ctr" rtl="0">
            <a:defRPr sz="1000"/>
          </a:pPr>
          <a:fld id="{B9060F6D-CAA3-48E6-BAE7-37C16D6980D0}" type="TxLink">
            <a:rPr lang="en-US" sz="900" b="0" i="0" u="none" strike="noStrike" baseline="0">
              <a:solidFill>
                <a:srgbClr val="000000"/>
              </a:solidFill>
              <a:latin typeface="Arialri"/>
              <a:cs typeface="Arial" pitchFamily="34" charset="0"/>
            </a:rPr>
            <a:pPr algn="ctr" rtl="0">
              <a:defRPr sz="1000"/>
            </a:pPr>
            <a:t>3.3nF</a:t>
          </a:fld>
          <a:endParaRPr lang="en-US" sz="900" b="0" i="0" u="none" strike="noStrike" baseline="0">
            <a:solidFill>
              <a:srgbClr val="000000"/>
            </a:solidFill>
            <a:latin typeface="Arial" pitchFamily="34" charset="0"/>
            <a:cs typeface="Arial" pitchFamily="34" charset="0"/>
          </a:endParaRPr>
        </a:p>
      </xdr:txBody>
    </xdr:sp>
    <xdr:clientData/>
  </xdr:twoCellAnchor>
  <xdr:twoCellAnchor editAs="absolute">
    <xdr:from>
      <xdr:col>12</xdr:col>
      <xdr:colOff>110504</xdr:colOff>
      <xdr:row>5</xdr:row>
      <xdr:rowOff>117524</xdr:rowOff>
    </xdr:from>
    <xdr:to>
      <xdr:col>13</xdr:col>
      <xdr:colOff>492417</xdr:colOff>
      <xdr:row>7</xdr:row>
      <xdr:rowOff>3513</xdr:rowOff>
    </xdr:to>
    <xdr:sp macro="" textlink="'Variable Management'!B388">
      <xdr:nvSpPr>
        <xdr:cNvPr id="54" name="Text Box 283">
          <a:extLst>
            <a:ext uri="{FF2B5EF4-FFF2-40B4-BE49-F238E27FC236}">
              <a16:creationId xmlns:a16="http://schemas.microsoft.com/office/drawing/2014/main" id="{00000000-0008-0000-0000-000036000000}"/>
            </a:ext>
          </a:extLst>
        </xdr:cNvPr>
        <xdr:cNvSpPr txBox="1">
          <a:spLocks noChangeArrowheads="1" noTextEdit="1"/>
        </xdr:cNvSpPr>
      </xdr:nvSpPr>
      <xdr:spPr bwMode="auto">
        <a:xfrm>
          <a:off x="7644193" y="1504217"/>
          <a:ext cx="995762" cy="258051"/>
        </a:xfrm>
        <a:prstGeom prst="rect">
          <a:avLst/>
        </a:prstGeom>
        <a:noFill/>
        <a:ln w="9525">
          <a:noFill/>
          <a:miter lim="800000"/>
          <a:headEnd/>
          <a:tailEnd/>
        </a:ln>
      </xdr:spPr>
      <xdr:txBody>
        <a:bodyPr vertOverflow="clip" wrap="square" lIns="27432" tIns="22860" rIns="0" bIns="0" anchor="t" upright="1"/>
        <a:lstStyle/>
        <a:p>
          <a:pPr algn="l" rtl="0">
            <a:defRPr sz="1000"/>
          </a:pPr>
          <a:fld id="{B114F7CE-60BB-40BD-BD7F-B22E7592FFCF}" type="TxLink">
            <a:rPr lang="en-US" sz="1050" b="1" i="0" u="none" strike="noStrike">
              <a:solidFill>
                <a:srgbClr val="FF0000"/>
              </a:solidFill>
              <a:latin typeface="Arial"/>
              <a:cs typeface="Arial"/>
            </a:rPr>
            <a:pPr algn="l" rtl="0">
              <a:defRPr sz="1000"/>
            </a:pPr>
            <a:t>36V...51V</a:t>
          </a:fld>
          <a:endParaRPr lang="en-US" sz="1050" b="1" i="0" strike="noStrike">
            <a:solidFill>
              <a:srgbClr val="FF0000"/>
            </a:solidFill>
            <a:latin typeface="Arial" pitchFamily="34" charset="0"/>
            <a:cs typeface="Arial" pitchFamily="34" charset="0"/>
          </a:endParaRPr>
        </a:p>
      </xdr:txBody>
    </xdr:sp>
    <xdr:clientData/>
  </xdr:twoCellAnchor>
  <xdr:twoCellAnchor editAs="absolute">
    <xdr:from>
      <xdr:col>15</xdr:col>
      <xdr:colOff>415865</xdr:colOff>
      <xdr:row>6</xdr:row>
      <xdr:rowOff>72249</xdr:rowOff>
    </xdr:from>
    <xdr:to>
      <xdr:col>16</xdr:col>
      <xdr:colOff>147842</xdr:colOff>
      <xdr:row>7</xdr:row>
      <xdr:rowOff>148158</xdr:rowOff>
    </xdr:to>
    <xdr:sp macro="" textlink="">
      <xdr:nvSpPr>
        <xdr:cNvPr id="55" name="Text Box 248">
          <a:extLst>
            <a:ext uri="{FF2B5EF4-FFF2-40B4-BE49-F238E27FC236}">
              <a16:creationId xmlns:a16="http://schemas.microsoft.com/office/drawing/2014/main" id="{00000000-0008-0000-0000-000037000000}"/>
            </a:ext>
          </a:extLst>
        </xdr:cNvPr>
        <xdr:cNvSpPr txBox="1">
          <a:spLocks noChangeArrowheads="1"/>
        </xdr:cNvSpPr>
      </xdr:nvSpPr>
      <xdr:spPr bwMode="auto">
        <a:xfrm>
          <a:off x="9762528" y="1647244"/>
          <a:ext cx="407959" cy="23871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16</xdr:col>
      <xdr:colOff>1786051</xdr:colOff>
      <xdr:row>31</xdr:row>
      <xdr:rowOff>41823</xdr:rowOff>
    </xdr:from>
    <xdr:to>
      <xdr:col>16</xdr:col>
      <xdr:colOff>2206048</xdr:colOff>
      <xdr:row>32</xdr:row>
      <xdr:rowOff>39813</xdr:rowOff>
    </xdr:to>
    <xdr:sp macro="" textlink="">
      <xdr:nvSpPr>
        <xdr:cNvPr id="56" name="Text Box 279">
          <a:extLst>
            <a:ext uri="{FF2B5EF4-FFF2-40B4-BE49-F238E27FC236}">
              <a16:creationId xmlns:a16="http://schemas.microsoft.com/office/drawing/2014/main" id="{00000000-0008-0000-0000-000038000000}"/>
            </a:ext>
          </a:extLst>
        </xdr:cNvPr>
        <xdr:cNvSpPr txBox="1">
          <a:spLocks noChangeArrowheads="1"/>
        </xdr:cNvSpPr>
      </xdr:nvSpPr>
      <xdr:spPr bwMode="auto">
        <a:xfrm>
          <a:off x="11827306" y="6328323"/>
          <a:ext cx="427617" cy="236115"/>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470nF</a:t>
          </a:r>
          <a:endParaRPr lang="en-US" sz="1000">
            <a:latin typeface="Arial" pitchFamily="34" charset="0"/>
            <a:cs typeface="Arial" pitchFamily="34" charset="0"/>
          </a:endParaRPr>
        </a:p>
      </xdr:txBody>
    </xdr:sp>
    <xdr:clientData/>
  </xdr:twoCellAnchor>
  <xdr:twoCellAnchor editAs="absolute">
    <xdr:from>
      <xdr:col>14</xdr:col>
      <xdr:colOff>415616</xdr:colOff>
      <xdr:row>10</xdr:row>
      <xdr:rowOff>1830</xdr:rowOff>
    </xdr:from>
    <xdr:to>
      <xdr:col>15</xdr:col>
      <xdr:colOff>263093</xdr:colOff>
      <xdr:row>11</xdr:row>
      <xdr:rowOff>34605</xdr:rowOff>
    </xdr:to>
    <xdr:sp macro="" textlink="">
      <xdr:nvSpPr>
        <xdr:cNvPr id="57" name="Text Box 247">
          <a:extLst>
            <a:ext uri="{FF2B5EF4-FFF2-40B4-BE49-F238E27FC236}">
              <a16:creationId xmlns:a16="http://schemas.microsoft.com/office/drawing/2014/main" id="{00000000-0008-0000-0000-000039000000}"/>
            </a:ext>
          </a:extLst>
        </xdr:cNvPr>
        <xdr:cNvSpPr txBox="1">
          <a:spLocks noChangeArrowheads="1"/>
        </xdr:cNvSpPr>
      </xdr:nvSpPr>
      <xdr:spPr bwMode="auto">
        <a:xfrm>
          <a:off x="9175282" y="2293783"/>
          <a:ext cx="460411" cy="22565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14</xdr:col>
      <xdr:colOff>186554</xdr:colOff>
      <xdr:row>6</xdr:row>
      <xdr:rowOff>109822</xdr:rowOff>
    </xdr:from>
    <xdr:to>
      <xdr:col>14</xdr:col>
      <xdr:colOff>568278</xdr:colOff>
      <xdr:row>8</xdr:row>
      <xdr:rowOff>2979</xdr:rowOff>
    </xdr:to>
    <xdr:sp macro="" textlink="">
      <xdr:nvSpPr>
        <xdr:cNvPr id="58" name="Text Box 249">
          <a:extLst>
            <a:ext uri="{FF2B5EF4-FFF2-40B4-BE49-F238E27FC236}">
              <a16:creationId xmlns:a16="http://schemas.microsoft.com/office/drawing/2014/main" id="{00000000-0008-0000-0000-00003A000000}"/>
            </a:ext>
          </a:extLst>
        </xdr:cNvPr>
        <xdr:cNvSpPr txBox="1">
          <a:spLocks noChangeArrowheads="1"/>
        </xdr:cNvSpPr>
      </xdr:nvSpPr>
      <xdr:spPr bwMode="auto">
        <a:xfrm>
          <a:off x="8957174" y="1683352"/>
          <a:ext cx="376009" cy="25320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VCC1</a:t>
          </a:r>
        </a:p>
      </xdr:txBody>
    </xdr:sp>
    <xdr:clientData/>
  </xdr:twoCellAnchor>
  <xdr:twoCellAnchor editAs="absolute">
    <xdr:from>
      <xdr:col>14</xdr:col>
      <xdr:colOff>224343</xdr:colOff>
      <xdr:row>8</xdr:row>
      <xdr:rowOff>694</xdr:rowOff>
    </xdr:from>
    <xdr:to>
      <xdr:col>15</xdr:col>
      <xdr:colOff>42036</xdr:colOff>
      <xdr:row>9</xdr:row>
      <xdr:rowOff>72867</xdr:rowOff>
    </xdr:to>
    <xdr:sp macro="" textlink="">
      <xdr:nvSpPr>
        <xdr:cNvPr id="59" name="Text Box 279">
          <a:extLst>
            <a:ext uri="{FF2B5EF4-FFF2-40B4-BE49-F238E27FC236}">
              <a16:creationId xmlns:a16="http://schemas.microsoft.com/office/drawing/2014/main" id="{00000000-0008-0000-0000-00003B000000}"/>
            </a:ext>
          </a:extLst>
        </xdr:cNvPr>
        <xdr:cNvSpPr txBox="1">
          <a:spLocks noChangeArrowheads="1"/>
        </xdr:cNvSpPr>
      </xdr:nvSpPr>
      <xdr:spPr bwMode="auto">
        <a:xfrm>
          <a:off x="8979723" y="1930459"/>
          <a:ext cx="452058" cy="234098"/>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16</xdr:col>
      <xdr:colOff>4042037</xdr:colOff>
      <xdr:row>11</xdr:row>
      <xdr:rowOff>40979</xdr:rowOff>
    </xdr:from>
    <xdr:to>
      <xdr:col>16</xdr:col>
      <xdr:colOff>4384973</xdr:colOff>
      <xdr:row>12</xdr:row>
      <xdr:rowOff>148846</xdr:rowOff>
    </xdr:to>
    <xdr:sp macro="" textlink="">
      <xdr:nvSpPr>
        <xdr:cNvPr id="60" name="Text Box 235">
          <a:extLst>
            <a:ext uri="{FF2B5EF4-FFF2-40B4-BE49-F238E27FC236}">
              <a16:creationId xmlns:a16="http://schemas.microsoft.com/office/drawing/2014/main" id="{00000000-0008-0000-0000-00003C000000}"/>
            </a:ext>
          </a:extLst>
        </xdr:cNvPr>
        <xdr:cNvSpPr txBox="1">
          <a:spLocks noChangeArrowheads="1"/>
        </xdr:cNvSpPr>
      </xdr:nvSpPr>
      <xdr:spPr bwMode="auto">
        <a:xfrm>
          <a:off x="14087542" y="2499308"/>
          <a:ext cx="337221" cy="2725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O2</a:t>
          </a:r>
        </a:p>
      </xdr:txBody>
    </xdr:sp>
    <xdr:clientData/>
  </xdr:twoCellAnchor>
  <xdr:twoCellAnchor editAs="absolute">
    <xdr:from>
      <xdr:col>16</xdr:col>
      <xdr:colOff>3999803</xdr:colOff>
      <xdr:row>13</xdr:row>
      <xdr:rowOff>80829</xdr:rowOff>
    </xdr:from>
    <xdr:to>
      <xdr:col>16</xdr:col>
      <xdr:colOff>4454201</xdr:colOff>
      <xdr:row>14</xdr:row>
      <xdr:rowOff>79640</xdr:rowOff>
    </xdr:to>
    <xdr:sp macro="" textlink="'Variable Management'!D339">
      <xdr:nvSpPr>
        <xdr:cNvPr id="61" name="Text Box 275">
          <a:extLst>
            <a:ext uri="{FF2B5EF4-FFF2-40B4-BE49-F238E27FC236}">
              <a16:creationId xmlns:a16="http://schemas.microsoft.com/office/drawing/2014/main" id="{00000000-0008-0000-0000-00003D000000}"/>
            </a:ext>
          </a:extLst>
        </xdr:cNvPr>
        <xdr:cNvSpPr txBox="1">
          <a:spLocks noChangeArrowheads="1" noTextEdit="1"/>
        </xdr:cNvSpPr>
      </xdr:nvSpPr>
      <xdr:spPr bwMode="auto">
        <a:xfrm>
          <a:off x="14037688" y="2881912"/>
          <a:ext cx="446778" cy="209093"/>
        </a:xfrm>
        <a:prstGeom prst="rect">
          <a:avLst/>
        </a:prstGeom>
        <a:noFill/>
        <a:ln w="9525">
          <a:noFill/>
          <a:miter lim="800000"/>
          <a:headEnd/>
          <a:tailEnd/>
        </a:ln>
      </xdr:spPr>
      <xdr:txBody>
        <a:bodyPr vertOverflow="clip" wrap="square" lIns="27432" tIns="22860" rIns="0" bIns="0" anchor="ctr" upright="1"/>
        <a:lstStyle/>
        <a:p>
          <a:pPr algn="ctr" rtl="0">
            <a:defRPr sz="1000"/>
          </a:pPr>
          <a:fld id="{2F63E7DC-2453-4724-968B-35D106402735}" type="TxLink">
            <a:rPr lang="en-US" sz="1000" b="0" i="0" u="none" strike="noStrike" baseline="0">
              <a:solidFill>
                <a:srgbClr val="000000"/>
              </a:solidFill>
              <a:latin typeface="Arial"/>
              <a:cs typeface="Arial"/>
            </a:rPr>
            <a:pPr algn="ctr" rtl="0">
              <a:defRPr sz="1000"/>
            </a:pPr>
            <a:t>10µH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4606820</xdr:colOff>
      <xdr:row>10</xdr:row>
      <xdr:rowOff>110991</xdr:rowOff>
    </xdr:from>
    <xdr:to>
      <xdr:col>16</xdr:col>
      <xdr:colOff>4841156</xdr:colOff>
      <xdr:row>11</xdr:row>
      <xdr:rowOff>118927</xdr:rowOff>
    </xdr:to>
    <xdr:sp macro="" textlink="">
      <xdr:nvSpPr>
        <xdr:cNvPr id="62" name="Text Box 234">
          <a:extLst>
            <a:ext uri="{FF2B5EF4-FFF2-40B4-BE49-F238E27FC236}">
              <a16:creationId xmlns:a16="http://schemas.microsoft.com/office/drawing/2014/main" id="{00000000-0008-0000-0000-00003E000000}"/>
            </a:ext>
          </a:extLst>
        </xdr:cNvPr>
        <xdr:cNvSpPr txBox="1">
          <a:spLocks noChangeArrowheads="1"/>
        </xdr:cNvSpPr>
      </xdr:nvSpPr>
      <xdr:spPr bwMode="auto">
        <a:xfrm>
          <a:off x="14635180" y="2354348"/>
          <a:ext cx="243861" cy="219098"/>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S2</a:t>
          </a:r>
        </a:p>
      </xdr:txBody>
    </xdr:sp>
    <xdr:clientData/>
  </xdr:twoCellAnchor>
  <xdr:twoCellAnchor editAs="absolute">
    <xdr:from>
      <xdr:col>16</xdr:col>
      <xdr:colOff>4492167</xdr:colOff>
      <xdr:row>11</xdr:row>
      <xdr:rowOff>79842</xdr:rowOff>
    </xdr:from>
    <xdr:to>
      <xdr:col>16</xdr:col>
      <xdr:colOff>4986447</xdr:colOff>
      <xdr:row>13</xdr:row>
      <xdr:rowOff>3314</xdr:rowOff>
    </xdr:to>
    <xdr:sp macro="" textlink="'Variable Management'!D341">
      <xdr:nvSpPr>
        <xdr:cNvPr id="63" name="Text Box 275">
          <a:extLst>
            <a:ext uri="{FF2B5EF4-FFF2-40B4-BE49-F238E27FC236}">
              <a16:creationId xmlns:a16="http://schemas.microsoft.com/office/drawing/2014/main" id="{00000000-0008-0000-0000-00003F000000}"/>
            </a:ext>
          </a:extLst>
        </xdr:cNvPr>
        <xdr:cNvSpPr txBox="1">
          <a:spLocks noChangeArrowheads="1" noTextEdit="1"/>
        </xdr:cNvSpPr>
      </xdr:nvSpPr>
      <xdr:spPr bwMode="auto">
        <a:xfrm>
          <a:off x="14526242" y="2536266"/>
          <a:ext cx="480945" cy="268131"/>
        </a:xfrm>
        <a:prstGeom prst="rect">
          <a:avLst/>
        </a:prstGeom>
        <a:noFill/>
        <a:ln w="9525">
          <a:noFill/>
          <a:miter lim="800000"/>
          <a:headEnd/>
          <a:tailEnd/>
        </a:ln>
      </xdr:spPr>
      <xdr:txBody>
        <a:bodyPr vertOverflow="clip" wrap="square" lIns="27432" tIns="22860" rIns="0" bIns="0" anchor="ctr" upright="1"/>
        <a:lstStyle/>
        <a:p>
          <a:pPr algn="ctr" rtl="0">
            <a:defRPr sz="1000"/>
          </a:pPr>
          <a:fld id="{60FAD3C8-B2D7-499A-BD55-279D7DCA2E93}" type="TxLink">
            <a:rPr lang="en-US" sz="1000" b="0" i="0" u="none" strike="noStrike" baseline="0">
              <a:solidFill>
                <a:srgbClr val="000000"/>
              </a:solidFill>
              <a:latin typeface="Arial"/>
              <a:cs typeface="Arial"/>
            </a:rPr>
            <a:pPr algn="ctr" rtl="0">
              <a:defRPr sz="1000"/>
            </a:pPr>
            <a:t>2.2mΩ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4873288</xdr:colOff>
      <xdr:row>13</xdr:row>
      <xdr:rowOff>185775</xdr:rowOff>
    </xdr:from>
    <xdr:to>
      <xdr:col>16</xdr:col>
      <xdr:colOff>5254725</xdr:colOff>
      <xdr:row>14</xdr:row>
      <xdr:rowOff>188455</xdr:rowOff>
    </xdr:to>
    <xdr:sp macro="" textlink="">
      <xdr:nvSpPr>
        <xdr:cNvPr id="64" name="Text Box 228">
          <a:extLst>
            <a:ext uri="{FF2B5EF4-FFF2-40B4-BE49-F238E27FC236}">
              <a16:creationId xmlns:a16="http://schemas.microsoft.com/office/drawing/2014/main" id="{00000000-0008-0000-0000-000040000000}"/>
            </a:ext>
          </a:extLst>
        </xdr:cNvPr>
        <xdr:cNvSpPr txBox="1">
          <a:spLocks noChangeArrowheads="1"/>
        </xdr:cNvSpPr>
      </xdr:nvSpPr>
      <xdr:spPr bwMode="auto">
        <a:xfrm>
          <a:off x="14915019" y="3015891"/>
          <a:ext cx="385247" cy="23366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O2</a:t>
          </a:r>
        </a:p>
      </xdr:txBody>
    </xdr:sp>
    <xdr:clientData/>
  </xdr:twoCellAnchor>
  <xdr:twoCellAnchor editAs="absolute">
    <xdr:from>
      <xdr:col>16</xdr:col>
      <xdr:colOff>4835366</xdr:colOff>
      <xdr:row>14</xdr:row>
      <xdr:rowOff>156519</xdr:rowOff>
    </xdr:from>
    <xdr:to>
      <xdr:col>16</xdr:col>
      <xdr:colOff>5261979</xdr:colOff>
      <xdr:row>15</xdr:row>
      <xdr:rowOff>151986</xdr:rowOff>
    </xdr:to>
    <xdr:sp macro="" textlink="'Variable Management'!D345">
      <xdr:nvSpPr>
        <xdr:cNvPr id="65" name="Text Box 267">
          <a:extLst>
            <a:ext uri="{FF2B5EF4-FFF2-40B4-BE49-F238E27FC236}">
              <a16:creationId xmlns:a16="http://schemas.microsoft.com/office/drawing/2014/main" id="{00000000-0008-0000-0000-000041000000}"/>
            </a:ext>
          </a:extLst>
        </xdr:cNvPr>
        <xdr:cNvSpPr txBox="1">
          <a:spLocks noChangeArrowheads="1" noTextEdit="1"/>
        </xdr:cNvSpPr>
      </xdr:nvSpPr>
      <xdr:spPr bwMode="auto">
        <a:xfrm>
          <a:off x="14888527" y="3225950"/>
          <a:ext cx="439948" cy="206208"/>
        </a:xfrm>
        <a:prstGeom prst="rect">
          <a:avLst/>
        </a:prstGeom>
        <a:noFill/>
        <a:ln w="9525">
          <a:noFill/>
          <a:miter lim="800000"/>
          <a:headEnd/>
          <a:tailEnd/>
        </a:ln>
      </xdr:spPr>
      <xdr:txBody>
        <a:bodyPr vertOverflow="clip" wrap="square" lIns="27432" tIns="22860" rIns="0" bIns="0" anchor="ctr" upright="1"/>
        <a:lstStyle/>
        <a:p>
          <a:pPr algn="l" rtl="0">
            <a:defRPr sz="1000"/>
          </a:pPr>
          <a:fld id="{B2AFD63C-308B-40D8-9608-99758D799EB5}" type="TxLink">
            <a:rPr lang="en-US" sz="1000" b="0" i="0" u="none" strike="noStrike" baseline="0">
              <a:solidFill>
                <a:srgbClr val="000000"/>
              </a:solidFill>
              <a:latin typeface="Arial"/>
              <a:cs typeface="Arial"/>
            </a:rPr>
            <a:pPr algn="l" rtl="0">
              <a:defRPr sz="1000"/>
            </a:pPr>
            <a:t>102µF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948697</xdr:colOff>
      <xdr:row>31</xdr:row>
      <xdr:rowOff>80937</xdr:rowOff>
    </xdr:from>
    <xdr:to>
      <xdr:col>16</xdr:col>
      <xdr:colOff>1374910</xdr:colOff>
      <xdr:row>32</xdr:row>
      <xdr:rowOff>75119</xdr:rowOff>
    </xdr:to>
    <xdr:sp macro="" textlink="'Variable Management'!B382">
      <xdr:nvSpPr>
        <xdr:cNvPr id="67" name="Text Box 281">
          <a:extLst>
            <a:ext uri="{FF2B5EF4-FFF2-40B4-BE49-F238E27FC236}">
              <a16:creationId xmlns:a16="http://schemas.microsoft.com/office/drawing/2014/main" id="{00000000-0008-0000-0000-000043000000}"/>
            </a:ext>
          </a:extLst>
        </xdr:cNvPr>
        <xdr:cNvSpPr txBox="1">
          <a:spLocks noChangeArrowheads="1" noTextEdit="1"/>
        </xdr:cNvSpPr>
      </xdr:nvSpPr>
      <xdr:spPr bwMode="auto">
        <a:xfrm>
          <a:off x="11003287" y="6365532"/>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322769A2-A935-402D-A6FA-E206A769B9F2}" type="TxLink">
            <a:rPr lang="en-US" sz="1000" b="0" i="0" u="none" strike="noStrike">
              <a:solidFill>
                <a:srgbClr val="000000"/>
              </a:solidFill>
              <a:latin typeface="Arial"/>
              <a:cs typeface="Arial"/>
            </a:rPr>
            <a:pPr algn="ctr"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16</xdr:col>
      <xdr:colOff>5559695</xdr:colOff>
      <xdr:row>12</xdr:row>
      <xdr:rowOff>72456</xdr:rowOff>
    </xdr:from>
    <xdr:to>
      <xdr:col>17</xdr:col>
      <xdr:colOff>110509</xdr:colOff>
      <xdr:row>13</xdr:row>
      <xdr:rowOff>149428</xdr:rowOff>
    </xdr:to>
    <xdr:sp macro="" textlink="'Variable Management'!D343">
      <xdr:nvSpPr>
        <xdr:cNvPr id="68" name="Text Box 285">
          <a:extLst>
            <a:ext uri="{FF2B5EF4-FFF2-40B4-BE49-F238E27FC236}">
              <a16:creationId xmlns:a16="http://schemas.microsoft.com/office/drawing/2014/main" id="{00000000-0008-0000-0000-000044000000}"/>
            </a:ext>
          </a:extLst>
        </xdr:cNvPr>
        <xdr:cNvSpPr txBox="1">
          <a:spLocks noChangeArrowheads="1" noTextEdit="1"/>
        </xdr:cNvSpPr>
      </xdr:nvSpPr>
      <xdr:spPr bwMode="auto">
        <a:xfrm>
          <a:off x="15586150" y="2695494"/>
          <a:ext cx="479906" cy="241682"/>
        </a:xfrm>
        <a:prstGeom prst="rect">
          <a:avLst/>
        </a:prstGeom>
        <a:noFill/>
        <a:ln w="9525">
          <a:noFill/>
          <a:miter lim="800000"/>
          <a:headEnd/>
          <a:tailEnd/>
        </a:ln>
      </xdr:spPr>
      <xdr:txBody>
        <a:bodyPr vertOverflow="clip" wrap="square" lIns="27432" tIns="22860" rIns="0" bIns="0" anchor="ctr" upright="1"/>
        <a:lstStyle/>
        <a:p>
          <a:pPr algn="l" rtl="0">
            <a:defRPr sz="1000"/>
          </a:pPr>
          <a:fld id="{AE313110-4AE9-4356-BA49-88A0938F85FF}" type="TxLink">
            <a:rPr lang="en-US" sz="1000" b="1" i="0" u="none" strike="noStrike" baseline="0">
              <a:solidFill>
                <a:srgbClr val="FF0000"/>
              </a:solidFill>
              <a:latin typeface="Arial"/>
              <a:cs typeface="Arial"/>
            </a:rPr>
            <a:pPr algn="l" rtl="0">
              <a:defRPr sz="1000"/>
            </a:pPr>
            <a:t> </a:t>
          </a:fld>
          <a:endParaRPr lang="en-US" sz="1050" b="1" i="0" u="none" strike="noStrike" baseline="0">
            <a:solidFill>
              <a:srgbClr val="FF0000"/>
            </a:solidFill>
            <a:latin typeface="Arial" pitchFamily="34" charset="0"/>
            <a:cs typeface="Arial" pitchFamily="34" charset="0"/>
          </a:endParaRPr>
        </a:p>
      </xdr:txBody>
    </xdr:sp>
    <xdr:clientData/>
  </xdr:twoCellAnchor>
  <xdr:twoCellAnchor editAs="absolute">
    <xdr:from>
      <xdr:col>16</xdr:col>
      <xdr:colOff>5558104</xdr:colOff>
      <xdr:row>13</xdr:row>
      <xdr:rowOff>115353</xdr:rowOff>
    </xdr:from>
    <xdr:to>
      <xdr:col>17</xdr:col>
      <xdr:colOff>77577</xdr:colOff>
      <xdr:row>14</xdr:row>
      <xdr:rowOff>148357</xdr:rowOff>
    </xdr:to>
    <xdr:sp macro="" textlink="'Variable Management'!D386">
      <xdr:nvSpPr>
        <xdr:cNvPr id="69" name="Text Box 286">
          <a:extLst>
            <a:ext uri="{FF2B5EF4-FFF2-40B4-BE49-F238E27FC236}">
              <a16:creationId xmlns:a16="http://schemas.microsoft.com/office/drawing/2014/main" id="{00000000-0008-0000-0000-000045000000}"/>
            </a:ext>
          </a:extLst>
        </xdr:cNvPr>
        <xdr:cNvSpPr txBox="1">
          <a:spLocks noChangeArrowheads="1" noTextEdit="1"/>
        </xdr:cNvSpPr>
      </xdr:nvSpPr>
      <xdr:spPr bwMode="auto">
        <a:xfrm>
          <a:off x="15595989" y="2906911"/>
          <a:ext cx="454280" cy="243286"/>
        </a:xfrm>
        <a:prstGeom prst="rect">
          <a:avLst/>
        </a:prstGeom>
        <a:noFill/>
        <a:ln w="9525">
          <a:noFill/>
          <a:miter lim="800000"/>
          <a:headEnd/>
          <a:tailEnd/>
        </a:ln>
      </xdr:spPr>
      <xdr:txBody>
        <a:bodyPr vertOverflow="clip" wrap="square" lIns="27432" tIns="22860" rIns="0" bIns="0" anchor="t" upright="1"/>
        <a:lstStyle/>
        <a:p>
          <a:pPr algn="l" rtl="0">
            <a:defRPr sz="1000"/>
          </a:pPr>
          <a:fld id="{00875F72-81FD-4544-A8D5-3EBFCC9D309F}" type="TxLink">
            <a:rPr lang="en-US" sz="1000" b="1" i="0" u="none" strike="noStrike">
              <a:solidFill>
                <a:srgbClr val="FF0000"/>
              </a:solidFill>
              <a:latin typeface="Arial"/>
              <a:cs typeface="Arial"/>
            </a:rPr>
            <a:pPr algn="l" rtl="0">
              <a:defRPr sz="1000"/>
            </a:pPr>
            <a:t> </a:t>
          </a:fld>
          <a:endParaRPr lang="en-US" sz="1050" b="1" i="0" strike="noStrike">
            <a:solidFill>
              <a:srgbClr val="FF0000"/>
            </a:solidFill>
            <a:latin typeface="Arial" pitchFamily="34" charset="0"/>
            <a:cs typeface="Arial" pitchFamily="34" charset="0"/>
          </a:endParaRPr>
        </a:p>
      </xdr:txBody>
    </xdr:sp>
    <xdr:clientData/>
  </xdr:twoCellAnchor>
  <xdr:twoCellAnchor editAs="absolute">
    <xdr:from>
      <xdr:col>16</xdr:col>
      <xdr:colOff>1337211</xdr:colOff>
      <xdr:row>30</xdr:row>
      <xdr:rowOff>73084</xdr:rowOff>
    </xdr:from>
    <xdr:to>
      <xdr:col>16</xdr:col>
      <xdr:colOff>1671987</xdr:colOff>
      <xdr:row>31</xdr:row>
      <xdr:rowOff>148318</xdr:rowOff>
    </xdr:to>
    <xdr:sp macro="" textlink="">
      <xdr:nvSpPr>
        <xdr:cNvPr id="70" name="Text Box 251">
          <a:extLst>
            <a:ext uri="{FF2B5EF4-FFF2-40B4-BE49-F238E27FC236}">
              <a16:creationId xmlns:a16="http://schemas.microsoft.com/office/drawing/2014/main" id="{00000000-0008-0000-0000-000046000000}"/>
            </a:ext>
          </a:extLst>
        </xdr:cNvPr>
        <xdr:cNvSpPr txBox="1">
          <a:spLocks noChangeArrowheads="1"/>
        </xdr:cNvSpPr>
      </xdr:nvSpPr>
      <xdr:spPr bwMode="auto">
        <a:xfrm>
          <a:off x="11403707" y="6197659"/>
          <a:ext cx="327156" cy="26121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RES</a:t>
          </a:r>
        </a:p>
      </xdr:txBody>
    </xdr:sp>
    <xdr:clientData/>
  </xdr:twoCellAnchor>
  <xdr:twoCellAnchor editAs="absolute">
    <xdr:from>
      <xdr:col>16</xdr:col>
      <xdr:colOff>1329705</xdr:colOff>
      <xdr:row>31</xdr:row>
      <xdr:rowOff>79790</xdr:rowOff>
    </xdr:from>
    <xdr:to>
      <xdr:col>16</xdr:col>
      <xdr:colOff>1755918</xdr:colOff>
      <xdr:row>32</xdr:row>
      <xdr:rowOff>75877</xdr:rowOff>
    </xdr:to>
    <xdr:sp macro="" textlink="'Variable Management'!B383">
      <xdr:nvSpPr>
        <xdr:cNvPr id="71" name="Text Box 281">
          <a:extLst>
            <a:ext uri="{FF2B5EF4-FFF2-40B4-BE49-F238E27FC236}">
              <a16:creationId xmlns:a16="http://schemas.microsoft.com/office/drawing/2014/main" id="{00000000-0008-0000-0000-000047000000}"/>
            </a:ext>
          </a:extLst>
        </xdr:cNvPr>
        <xdr:cNvSpPr txBox="1">
          <a:spLocks noChangeArrowheads="1" noTextEdit="1"/>
        </xdr:cNvSpPr>
      </xdr:nvSpPr>
      <xdr:spPr bwMode="auto">
        <a:xfrm>
          <a:off x="11384295" y="6366290"/>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7EB4F7F9-CE77-410B-B4F3-251CFE7816F2}" type="TxLink">
            <a:rPr lang="en-US" sz="1000" b="0" i="0" u="none" strike="noStrike">
              <a:solidFill>
                <a:srgbClr val="000000"/>
              </a:solidFill>
              <a:latin typeface="Arial"/>
              <a:cs typeface="Arial"/>
            </a:rPr>
            <a:pPr algn="ctr" rtl="0">
              <a:defRPr sz="1000"/>
            </a:pPr>
            <a:t>470nF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16</xdr:col>
      <xdr:colOff>3431895</xdr:colOff>
      <xdr:row>24</xdr:row>
      <xdr:rowOff>194921</xdr:rowOff>
    </xdr:from>
    <xdr:to>
      <xdr:col>16</xdr:col>
      <xdr:colOff>3958366</xdr:colOff>
      <xdr:row>25</xdr:row>
      <xdr:rowOff>225990</xdr:rowOff>
    </xdr:to>
    <xdr:sp macro="" textlink="'Variable Management'!D354">
      <xdr:nvSpPr>
        <xdr:cNvPr id="73" name="Text Box 261">
          <a:extLst>
            <a:ext uri="{FF2B5EF4-FFF2-40B4-BE49-F238E27FC236}">
              <a16:creationId xmlns:a16="http://schemas.microsoft.com/office/drawing/2014/main" id="{00000000-0008-0000-0000-000049000000}"/>
            </a:ext>
          </a:extLst>
        </xdr:cNvPr>
        <xdr:cNvSpPr txBox="1">
          <a:spLocks noChangeArrowheads="1" noTextEdit="1"/>
        </xdr:cNvSpPr>
      </xdr:nvSpPr>
      <xdr:spPr bwMode="auto">
        <a:xfrm>
          <a:off x="13502201" y="5144587"/>
          <a:ext cx="505516" cy="248716"/>
        </a:xfrm>
        <a:prstGeom prst="rect">
          <a:avLst/>
        </a:prstGeom>
        <a:noFill/>
        <a:ln w="9525">
          <a:noFill/>
          <a:miter lim="800000"/>
          <a:headEnd/>
          <a:tailEnd/>
        </a:ln>
      </xdr:spPr>
      <xdr:txBody>
        <a:bodyPr vertOverflow="clip" wrap="square" lIns="27432" tIns="22860" rIns="0" bIns="0" anchor="ctr" upright="1"/>
        <a:lstStyle/>
        <a:p>
          <a:pPr algn="l" rtl="0">
            <a:defRPr sz="1000"/>
          </a:pPr>
          <a:fld id="{4DC9070C-4611-4454-862F-8BF8F515B22E}" type="TxLink">
            <a:rPr lang="en-US" sz="1000" b="0" i="0" u="none" strike="noStrike" baseline="0">
              <a:solidFill>
                <a:srgbClr val="000000"/>
              </a:solidFill>
              <a:latin typeface="Arial"/>
              <a:cs typeface="Arial"/>
            </a:rPr>
            <a:pPr algn="l" rtl="0">
              <a:defRPr sz="1000"/>
            </a:pPr>
            <a:t> </a:t>
          </a:fld>
          <a:endParaRPr lang="en-US" sz="9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2938006</xdr:colOff>
      <xdr:row>25</xdr:row>
      <xdr:rowOff>33343</xdr:rowOff>
    </xdr:from>
    <xdr:to>
      <xdr:col>16</xdr:col>
      <xdr:colOff>3425437</xdr:colOff>
      <xdr:row>26</xdr:row>
      <xdr:rowOff>4155</xdr:rowOff>
    </xdr:to>
    <xdr:sp macro="" textlink="'Variable Management'!D353">
      <xdr:nvSpPr>
        <xdr:cNvPr id="75" name="Text Box 263">
          <a:extLst>
            <a:ext uri="{FF2B5EF4-FFF2-40B4-BE49-F238E27FC236}">
              <a16:creationId xmlns:a16="http://schemas.microsoft.com/office/drawing/2014/main" id="{00000000-0008-0000-0000-00004B000000}"/>
            </a:ext>
          </a:extLst>
        </xdr:cNvPr>
        <xdr:cNvSpPr txBox="1">
          <a:spLocks noChangeArrowheads="1" noTextEdit="1"/>
        </xdr:cNvSpPr>
      </xdr:nvSpPr>
      <xdr:spPr bwMode="auto">
        <a:xfrm>
          <a:off x="13008312" y="5179224"/>
          <a:ext cx="460761" cy="241799"/>
        </a:xfrm>
        <a:prstGeom prst="rect">
          <a:avLst/>
        </a:prstGeom>
        <a:noFill/>
        <a:ln w="9525">
          <a:noFill/>
          <a:miter lim="800000"/>
          <a:headEnd/>
          <a:tailEnd/>
        </a:ln>
      </xdr:spPr>
      <xdr:txBody>
        <a:bodyPr vertOverflow="clip" wrap="square" lIns="27432" tIns="22860" rIns="0" bIns="0" anchor="ctr" upright="1"/>
        <a:lstStyle/>
        <a:p>
          <a:pPr algn="l" rtl="0">
            <a:defRPr sz="1000"/>
          </a:pPr>
          <a:fld id="{51C069D1-ABA1-4481-AAE8-8F33F807B29E}" type="TxLink">
            <a:rPr lang="en-US" sz="1000" b="0" i="0" u="none" strike="noStrike" baseline="0">
              <a:solidFill>
                <a:srgbClr val="000000"/>
              </a:solidFill>
              <a:latin typeface="Arial"/>
              <a:cs typeface="Arial"/>
            </a:rPr>
            <a:pPr algn="l" rtl="0">
              <a:defRPr sz="1000"/>
            </a:pPr>
            <a:t> </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3196325</xdr:colOff>
      <xdr:row>29</xdr:row>
      <xdr:rowOff>71548</xdr:rowOff>
    </xdr:from>
    <xdr:to>
      <xdr:col>16</xdr:col>
      <xdr:colOff>3616531</xdr:colOff>
      <xdr:row>30</xdr:row>
      <xdr:rowOff>76687</xdr:rowOff>
    </xdr:to>
    <xdr:sp macro="" textlink="'Variable Management'!D355">
      <xdr:nvSpPr>
        <xdr:cNvPr id="77" name="Text Box 262">
          <a:extLst>
            <a:ext uri="{FF2B5EF4-FFF2-40B4-BE49-F238E27FC236}">
              <a16:creationId xmlns:a16="http://schemas.microsoft.com/office/drawing/2014/main" id="{00000000-0008-0000-0000-00004D000000}"/>
            </a:ext>
          </a:extLst>
        </xdr:cNvPr>
        <xdr:cNvSpPr txBox="1">
          <a:spLocks noChangeArrowheads="1" noTextEdit="1"/>
        </xdr:cNvSpPr>
      </xdr:nvSpPr>
      <xdr:spPr bwMode="auto">
        <a:xfrm>
          <a:off x="13257106" y="6000622"/>
          <a:ext cx="420206" cy="220881"/>
        </a:xfrm>
        <a:prstGeom prst="rect">
          <a:avLst/>
        </a:prstGeom>
        <a:noFill/>
        <a:ln w="9525">
          <a:noFill/>
          <a:miter lim="800000"/>
          <a:headEnd/>
          <a:tailEnd/>
        </a:ln>
      </xdr:spPr>
      <xdr:txBody>
        <a:bodyPr vertOverflow="clip" wrap="square" lIns="27432" tIns="22860" rIns="0" bIns="0" anchor="ctr" upright="1"/>
        <a:lstStyle/>
        <a:p>
          <a:pPr algn="ctr" rtl="0">
            <a:defRPr sz="1000"/>
          </a:pPr>
          <a:fld id="{B54DC493-A440-4D94-AB5A-78A72A6D12C9}" type="TxLink">
            <a:rPr lang="en-US" sz="1000" b="0" i="0" u="none" strike="noStrike" baseline="0">
              <a:solidFill>
                <a:srgbClr val="000000"/>
              </a:solidFill>
              <a:latin typeface="Arial"/>
              <a:cs typeface="Arial"/>
            </a:rPr>
            <a:pPr algn="ctr" rtl="0">
              <a:defRPr sz="1000"/>
            </a:pPr>
            <a:t> </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3471376</xdr:colOff>
      <xdr:row>21</xdr:row>
      <xdr:rowOff>110048</xdr:rowOff>
    </xdr:from>
    <xdr:to>
      <xdr:col>16</xdr:col>
      <xdr:colOff>3847385</xdr:colOff>
      <xdr:row>23</xdr:row>
      <xdr:rowOff>4524</xdr:rowOff>
    </xdr:to>
    <xdr:sp macro="" textlink="">
      <xdr:nvSpPr>
        <xdr:cNvPr id="78" name="Text Box 249">
          <a:extLst>
            <a:ext uri="{FF2B5EF4-FFF2-40B4-BE49-F238E27FC236}">
              <a16:creationId xmlns:a16="http://schemas.microsoft.com/office/drawing/2014/main" id="{00000000-0008-0000-0000-00004E000000}"/>
            </a:ext>
          </a:extLst>
        </xdr:cNvPr>
        <xdr:cNvSpPr txBox="1">
          <a:spLocks noChangeArrowheads="1"/>
        </xdr:cNvSpPr>
      </xdr:nvSpPr>
      <xdr:spPr bwMode="auto">
        <a:xfrm>
          <a:off x="13529776" y="4501073"/>
          <a:ext cx="376009" cy="24880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VCCX</a:t>
          </a:r>
        </a:p>
      </xdr:txBody>
    </xdr:sp>
    <xdr:clientData/>
  </xdr:twoCellAnchor>
  <xdr:twoCellAnchor editAs="absolute">
    <xdr:from>
      <xdr:col>16</xdr:col>
      <xdr:colOff>3501817</xdr:colOff>
      <xdr:row>22</xdr:row>
      <xdr:rowOff>148004</xdr:rowOff>
    </xdr:from>
    <xdr:to>
      <xdr:col>16</xdr:col>
      <xdr:colOff>3958125</xdr:colOff>
      <xdr:row>24</xdr:row>
      <xdr:rowOff>34513</xdr:rowOff>
    </xdr:to>
    <xdr:sp macro="" textlink="">
      <xdr:nvSpPr>
        <xdr:cNvPr id="79" name="Text Box 279">
          <a:extLst>
            <a:ext uri="{FF2B5EF4-FFF2-40B4-BE49-F238E27FC236}">
              <a16:creationId xmlns:a16="http://schemas.microsoft.com/office/drawing/2014/main" id="{00000000-0008-0000-0000-00004F000000}"/>
            </a:ext>
          </a:extLst>
        </xdr:cNvPr>
        <xdr:cNvSpPr txBox="1">
          <a:spLocks noChangeArrowheads="1"/>
        </xdr:cNvSpPr>
      </xdr:nvSpPr>
      <xdr:spPr bwMode="auto">
        <a:xfrm>
          <a:off x="13546882" y="4708574"/>
          <a:ext cx="450593" cy="23702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16</xdr:col>
      <xdr:colOff>2366067</xdr:colOff>
      <xdr:row>29</xdr:row>
      <xdr:rowOff>117387</xdr:rowOff>
    </xdr:from>
    <xdr:to>
      <xdr:col>16</xdr:col>
      <xdr:colOff>2855889</xdr:colOff>
      <xdr:row>30</xdr:row>
      <xdr:rowOff>110112</xdr:rowOff>
    </xdr:to>
    <xdr:sp macro="" textlink="'Variable Management'!B362">
      <xdr:nvSpPr>
        <xdr:cNvPr id="80" name="Text Box 266">
          <a:extLst>
            <a:ext uri="{FF2B5EF4-FFF2-40B4-BE49-F238E27FC236}">
              <a16:creationId xmlns:a16="http://schemas.microsoft.com/office/drawing/2014/main" id="{00000000-0008-0000-0000-000050000000}"/>
            </a:ext>
          </a:extLst>
        </xdr:cNvPr>
        <xdr:cNvSpPr txBox="1">
          <a:spLocks noChangeArrowheads="1" noTextEdit="1"/>
        </xdr:cNvSpPr>
      </xdr:nvSpPr>
      <xdr:spPr bwMode="auto">
        <a:xfrm>
          <a:off x="12428753" y="6053367"/>
          <a:ext cx="487917" cy="186321"/>
        </a:xfrm>
        <a:prstGeom prst="rect">
          <a:avLst/>
        </a:prstGeom>
        <a:noFill/>
        <a:ln w="9525">
          <a:noFill/>
          <a:miter lim="800000"/>
          <a:headEnd/>
          <a:tailEnd/>
        </a:ln>
      </xdr:spPr>
      <xdr:txBody>
        <a:bodyPr vertOverflow="clip" wrap="square" lIns="27432" tIns="22860" rIns="0" bIns="0" anchor="t" upright="1"/>
        <a:lstStyle/>
        <a:p>
          <a:pPr algn="l" rtl="0">
            <a:defRPr sz="1000"/>
          </a:pPr>
          <a:fld id="{F0D4FEFA-1BCB-42BA-B0A4-AAEA1128161F}" type="TxLink">
            <a:rPr lang="en-US" sz="1000" b="0" i="0" u="none" strike="noStrike" baseline="0">
              <a:solidFill>
                <a:srgbClr val="000000"/>
              </a:solidFill>
              <a:latin typeface="Arialri"/>
              <a:cs typeface="Arial" pitchFamily="34" charset="0"/>
            </a:rPr>
            <a:pPr algn="l" rtl="0">
              <a:defRPr sz="1000"/>
            </a:pPr>
            <a:t>10nF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2395696</xdr:colOff>
      <xdr:row>28</xdr:row>
      <xdr:rowOff>73084</xdr:rowOff>
    </xdr:from>
    <xdr:to>
      <xdr:col>16</xdr:col>
      <xdr:colOff>2777472</xdr:colOff>
      <xdr:row>29</xdr:row>
      <xdr:rowOff>149137</xdr:rowOff>
    </xdr:to>
    <xdr:sp macro="" textlink="">
      <xdr:nvSpPr>
        <xdr:cNvPr id="81" name="Text Box 233">
          <a:extLst>
            <a:ext uri="{FF2B5EF4-FFF2-40B4-BE49-F238E27FC236}">
              <a16:creationId xmlns:a16="http://schemas.microsoft.com/office/drawing/2014/main" id="{00000000-0008-0000-0000-000051000000}"/>
            </a:ext>
          </a:extLst>
        </xdr:cNvPr>
        <xdr:cNvSpPr txBox="1">
          <a:spLocks noChangeArrowheads="1"/>
        </xdr:cNvSpPr>
      </xdr:nvSpPr>
      <xdr:spPr bwMode="auto">
        <a:xfrm>
          <a:off x="12450762" y="5821898"/>
          <a:ext cx="381776" cy="25369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D</a:t>
          </a:r>
        </a:p>
      </xdr:txBody>
    </xdr:sp>
    <xdr:clientData/>
  </xdr:twoCellAnchor>
  <xdr:twoCellAnchor editAs="absolute">
    <xdr:from>
      <xdr:col>16</xdr:col>
      <xdr:colOff>492021</xdr:colOff>
      <xdr:row>30</xdr:row>
      <xdr:rowOff>72477</xdr:rowOff>
    </xdr:from>
    <xdr:to>
      <xdr:col>16</xdr:col>
      <xdr:colOff>918234</xdr:colOff>
      <xdr:row>31</xdr:row>
      <xdr:rowOff>149159</xdr:rowOff>
    </xdr:to>
    <xdr:sp macro="" textlink="'Variable Management'!C381">
      <xdr:nvSpPr>
        <xdr:cNvPr id="82" name="Text Box 281">
          <a:extLst>
            <a:ext uri="{FF2B5EF4-FFF2-40B4-BE49-F238E27FC236}">
              <a16:creationId xmlns:a16="http://schemas.microsoft.com/office/drawing/2014/main" id="{00000000-0008-0000-0000-000052000000}"/>
            </a:ext>
          </a:extLst>
        </xdr:cNvPr>
        <xdr:cNvSpPr txBox="1">
          <a:spLocks noChangeArrowheads="1" noTextEdit="1"/>
        </xdr:cNvSpPr>
      </xdr:nvSpPr>
      <xdr:spPr bwMode="auto">
        <a:xfrm>
          <a:off x="10526096" y="6120705"/>
          <a:ext cx="437643" cy="235677"/>
        </a:xfrm>
        <a:prstGeom prst="rect">
          <a:avLst/>
        </a:prstGeom>
        <a:noFill/>
        <a:ln w="9525">
          <a:noFill/>
          <a:miter lim="800000"/>
          <a:headEnd/>
          <a:tailEnd/>
        </a:ln>
      </xdr:spPr>
      <xdr:txBody>
        <a:bodyPr vertOverflow="clip" wrap="square" lIns="27432" tIns="22860" rIns="0" bIns="0" anchor="t" upright="1"/>
        <a:lstStyle/>
        <a:p>
          <a:pPr algn="ctr" rtl="0">
            <a:defRPr sz="1000"/>
          </a:pPr>
          <a:fld id="{93649659-1DBC-410C-945D-E7A8A6F21F96}" type="TxLink">
            <a:rPr lang="en-US" sz="1000" b="0" i="0" u="none" strike="noStrike">
              <a:solidFill>
                <a:srgbClr val="000000"/>
              </a:solidFill>
              <a:latin typeface="Arial"/>
              <a:cs typeface="Arial"/>
            </a:rPr>
            <a:pPr algn="ctr" rtl="0">
              <a:defRPr sz="1000"/>
            </a:pPr>
            <a:t> </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16</xdr:col>
      <xdr:colOff>910095</xdr:colOff>
      <xdr:row>30</xdr:row>
      <xdr:rowOff>80683</xdr:rowOff>
    </xdr:from>
    <xdr:to>
      <xdr:col>16</xdr:col>
      <xdr:colOff>1338213</xdr:colOff>
      <xdr:row>31</xdr:row>
      <xdr:rowOff>149160</xdr:rowOff>
    </xdr:to>
    <xdr:sp macro="" textlink="'Variable Management'!C382">
      <xdr:nvSpPr>
        <xdr:cNvPr id="83" name="Text Box 281">
          <a:extLst>
            <a:ext uri="{FF2B5EF4-FFF2-40B4-BE49-F238E27FC236}">
              <a16:creationId xmlns:a16="http://schemas.microsoft.com/office/drawing/2014/main" id="{00000000-0008-0000-0000-000053000000}"/>
            </a:ext>
          </a:extLst>
        </xdr:cNvPr>
        <xdr:cNvSpPr txBox="1">
          <a:spLocks noChangeArrowheads="1" noTextEdit="1"/>
        </xdr:cNvSpPr>
      </xdr:nvSpPr>
      <xdr:spPr bwMode="auto">
        <a:xfrm>
          <a:off x="10962780" y="6188113"/>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05B54FCB-1143-412F-B29D-22C0191403DC}" type="TxLink">
            <a:rPr lang="en-US" sz="1000" b="0" i="0" u="none" strike="noStrike">
              <a:solidFill>
                <a:srgbClr val="000000"/>
              </a:solidFill>
              <a:latin typeface="Arial"/>
              <a:cs typeface="Arial"/>
            </a:rPr>
            <a:pPr algn="ctr" rtl="0">
              <a:defRPr sz="1000"/>
            </a:pPr>
            <a:t>Css</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16</xdr:col>
      <xdr:colOff>3005742</xdr:colOff>
      <xdr:row>24</xdr:row>
      <xdr:rowOff>71773</xdr:rowOff>
    </xdr:from>
    <xdr:to>
      <xdr:col>16</xdr:col>
      <xdr:colOff>3462693</xdr:colOff>
      <xdr:row>25</xdr:row>
      <xdr:rowOff>75850</xdr:rowOff>
    </xdr:to>
    <xdr:sp macro="" textlink="'Variable Management'!C353">
      <xdr:nvSpPr>
        <xdr:cNvPr id="84" name="Text Box 263">
          <a:extLst>
            <a:ext uri="{FF2B5EF4-FFF2-40B4-BE49-F238E27FC236}">
              <a16:creationId xmlns:a16="http://schemas.microsoft.com/office/drawing/2014/main" id="{00000000-0008-0000-0000-000054000000}"/>
            </a:ext>
          </a:extLst>
        </xdr:cNvPr>
        <xdr:cNvSpPr txBox="1">
          <a:spLocks noChangeArrowheads="1" noTextEdit="1"/>
        </xdr:cNvSpPr>
      </xdr:nvSpPr>
      <xdr:spPr bwMode="auto">
        <a:xfrm>
          <a:off x="13030292" y="4937436"/>
          <a:ext cx="460761" cy="233556"/>
        </a:xfrm>
        <a:prstGeom prst="rect">
          <a:avLst/>
        </a:prstGeom>
        <a:noFill/>
        <a:ln w="9525">
          <a:noFill/>
          <a:miter lim="800000"/>
          <a:headEnd/>
          <a:tailEnd/>
        </a:ln>
      </xdr:spPr>
      <xdr:txBody>
        <a:bodyPr vertOverflow="clip" wrap="square" lIns="27432" tIns="22860" rIns="0" bIns="0" anchor="ctr" upright="1"/>
        <a:lstStyle/>
        <a:p>
          <a:pPr algn="l" rtl="0">
            <a:defRPr sz="1000"/>
          </a:pPr>
          <a:fld id="{4C6F915B-5FDE-431D-BA20-F74B990C95E0}" type="TxLink">
            <a:rPr lang="en-US" sz="1000" b="0" i="0" u="none" strike="noStrike" baseline="0">
              <a:solidFill>
                <a:srgbClr val="000000"/>
              </a:solidFill>
              <a:latin typeface="Arial"/>
              <a:cs typeface="Arial"/>
            </a:rPr>
            <a:pPr algn="l" rtl="0">
              <a:defRPr sz="1000"/>
            </a:pPr>
            <a:t> </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3500602</xdr:colOff>
      <xdr:row>24</xdr:row>
      <xdr:rowOff>33380</xdr:rowOff>
    </xdr:from>
    <xdr:to>
      <xdr:col>16</xdr:col>
      <xdr:colOff>3959458</xdr:colOff>
      <xdr:row>25</xdr:row>
      <xdr:rowOff>41267</xdr:rowOff>
    </xdr:to>
    <xdr:sp macro="" textlink="'Variable Management'!C354">
      <xdr:nvSpPr>
        <xdr:cNvPr id="85" name="Text Box 263">
          <a:extLst>
            <a:ext uri="{FF2B5EF4-FFF2-40B4-BE49-F238E27FC236}">
              <a16:creationId xmlns:a16="http://schemas.microsoft.com/office/drawing/2014/main" id="{00000000-0008-0000-0000-000055000000}"/>
            </a:ext>
          </a:extLst>
        </xdr:cNvPr>
        <xdr:cNvSpPr txBox="1">
          <a:spLocks noChangeArrowheads="1" noTextEdit="1"/>
        </xdr:cNvSpPr>
      </xdr:nvSpPr>
      <xdr:spPr bwMode="auto">
        <a:xfrm>
          <a:off x="13527057" y="4906663"/>
          <a:ext cx="460761" cy="233556"/>
        </a:xfrm>
        <a:prstGeom prst="rect">
          <a:avLst/>
        </a:prstGeom>
        <a:noFill/>
        <a:ln w="9525">
          <a:noFill/>
          <a:miter lim="800000"/>
          <a:headEnd/>
          <a:tailEnd/>
        </a:ln>
      </xdr:spPr>
      <xdr:txBody>
        <a:bodyPr vertOverflow="clip" wrap="square" lIns="27432" tIns="22860" rIns="0" bIns="0" anchor="ctr" upright="1"/>
        <a:lstStyle/>
        <a:p>
          <a:pPr algn="l" rtl="0">
            <a:defRPr sz="1000"/>
          </a:pPr>
          <a:fld id="{169239A1-A17E-4F82-8427-F411D64B50BA}" type="TxLink">
            <a:rPr lang="en-US" sz="1000" b="0" i="0" u="none" strike="noStrike" baseline="0">
              <a:solidFill>
                <a:srgbClr val="000000"/>
              </a:solidFill>
              <a:latin typeface="Arial"/>
              <a:cs typeface="Arial"/>
            </a:rPr>
            <a:pPr algn="l" rtl="0">
              <a:defRPr sz="1000"/>
            </a:pPr>
            <a:t> </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3280648</xdr:colOff>
      <xdr:row>28</xdr:row>
      <xdr:rowOff>41586</xdr:rowOff>
    </xdr:from>
    <xdr:to>
      <xdr:col>16</xdr:col>
      <xdr:colOff>3737599</xdr:colOff>
      <xdr:row>29</xdr:row>
      <xdr:rowOff>110433</xdr:rowOff>
    </xdr:to>
    <xdr:sp macro="" textlink="'Variable Management'!C355">
      <xdr:nvSpPr>
        <xdr:cNvPr id="86" name="Text Box 263">
          <a:extLst>
            <a:ext uri="{FF2B5EF4-FFF2-40B4-BE49-F238E27FC236}">
              <a16:creationId xmlns:a16="http://schemas.microsoft.com/office/drawing/2014/main" id="{00000000-0008-0000-0000-000056000000}"/>
            </a:ext>
          </a:extLst>
        </xdr:cNvPr>
        <xdr:cNvSpPr txBox="1">
          <a:spLocks noChangeArrowheads="1" noTextEdit="1"/>
        </xdr:cNvSpPr>
      </xdr:nvSpPr>
      <xdr:spPr bwMode="auto">
        <a:xfrm>
          <a:off x="13320438" y="5718486"/>
          <a:ext cx="460761" cy="233556"/>
        </a:xfrm>
        <a:prstGeom prst="rect">
          <a:avLst/>
        </a:prstGeom>
        <a:noFill/>
        <a:ln w="9525">
          <a:noFill/>
          <a:miter lim="800000"/>
          <a:headEnd/>
          <a:tailEnd/>
        </a:ln>
      </xdr:spPr>
      <xdr:txBody>
        <a:bodyPr vertOverflow="clip" wrap="square" lIns="27432" tIns="22860" rIns="0" bIns="0" anchor="ctr" upright="1"/>
        <a:lstStyle/>
        <a:p>
          <a:pPr algn="l" rtl="0">
            <a:defRPr sz="1000"/>
          </a:pPr>
          <a:fld id="{B132B3F4-179D-4706-9653-4E2B9688EBF6}" type="TxLink">
            <a:rPr lang="en-US" sz="1000" b="0" i="0" u="none" strike="noStrike" baseline="0">
              <a:solidFill>
                <a:srgbClr val="000000"/>
              </a:solidFill>
              <a:latin typeface="Arial"/>
              <a:cs typeface="Arial"/>
            </a:rPr>
            <a:pPr algn="l" rtl="0">
              <a:defRPr sz="1000"/>
            </a:pPr>
            <a:t> </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3844162</xdr:colOff>
      <xdr:row>20</xdr:row>
      <xdr:rowOff>149462</xdr:rowOff>
    </xdr:from>
    <xdr:to>
      <xdr:col>16</xdr:col>
      <xdr:colOff>4950043</xdr:colOff>
      <xdr:row>22</xdr:row>
      <xdr:rowOff>72513</xdr:rowOff>
    </xdr:to>
    <xdr:sp macro="" textlink="">
      <xdr:nvSpPr>
        <xdr:cNvPr id="87" name="Text Box 249">
          <a:extLst>
            <a:ext uri="{FF2B5EF4-FFF2-40B4-BE49-F238E27FC236}">
              <a16:creationId xmlns:a16="http://schemas.microsoft.com/office/drawing/2014/main" id="{00000000-0008-0000-0000-000057000000}"/>
            </a:ext>
          </a:extLst>
        </xdr:cNvPr>
        <xdr:cNvSpPr txBox="1">
          <a:spLocks noChangeArrowheads="1"/>
        </xdr:cNvSpPr>
      </xdr:nvSpPr>
      <xdr:spPr bwMode="auto">
        <a:xfrm>
          <a:off x="13902562" y="4378562"/>
          <a:ext cx="1105881" cy="24880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Connect to 5V rail</a:t>
          </a:r>
          <a:endParaRPr lang="en-US" sz="1000" b="0" i="0" strike="noStrike" baseline="-2500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6</xdr:col>
          <xdr:colOff>374650</xdr:colOff>
          <xdr:row>4</xdr:row>
          <xdr:rowOff>6350</xdr:rowOff>
        </xdr:from>
        <xdr:to>
          <xdr:col>7</xdr:col>
          <xdr:colOff>520700</xdr:colOff>
          <xdr:row>4</xdr:row>
          <xdr:rowOff>234950</xdr:rowOff>
        </xdr:to>
        <xdr:sp macro="" textlink="">
          <xdr:nvSpPr>
            <xdr:cNvPr id="700259" name="Drop Down 2915" hidden="1">
              <a:extLst>
                <a:ext uri="{63B3BB69-23CF-44E3-9099-C40C66FF867C}">
                  <a14:compatExt spid="_x0000_s700259"/>
                </a:ext>
                <a:ext uri="{FF2B5EF4-FFF2-40B4-BE49-F238E27FC236}">
                  <a16:creationId xmlns:a16="http://schemas.microsoft.com/office/drawing/2014/main" id="{00000000-0008-0000-0000-000063AF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16</xdr:col>
      <xdr:colOff>696057</xdr:colOff>
      <xdr:row>15</xdr:row>
      <xdr:rowOff>133349</xdr:rowOff>
    </xdr:from>
    <xdr:to>
      <xdr:col>16</xdr:col>
      <xdr:colOff>1919653</xdr:colOff>
      <xdr:row>21</xdr:row>
      <xdr:rowOff>9524</xdr:rowOff>
    </xdr:to>
    <xdr:sp macro="" textlink="'Variable Management'!X25">
      <xdr:nvSpPr>
        <xdr:cNvPr id="88" name="Text Box 24">
          <a:extLst>
            <a:ext uri="{FF2B5EF4-FFF2-40B4-BE49-F238E27FC236}">
              <a16:creationId xmlns:a16="http://schemas.microsoft.com/office/drawing/2014/main" id="{00000000-0008-0000-0000-000058000000}"/>
            </a:ext>
          </a:extLst>
        </xdr:cNvPr>
        <xdr:cNvSpPr txBox="1">
          <a:spLocks noChangeArrowheads="1" noTextEdit="1"/>
        </xdr:cNvSpPr>
      </xdr:nvSpPr>
      <xdr:spPr bwMode="auto">
        <a:xfrm>
          <a:off x="10754457" y="3390899"/>
          <a:ext cx="1223596" cy="1019175"/>
        </a:xfrm>
        <a:prstGeom prst="rect">
          <a:avLst/>
        </a:prstGeom>
        <a:solidFill>
          <a:srgbClr val="D1FFFF"/>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C5C27CF7-D706-47E0-A45D-5E0BE790EDB6}" type="TxLink">
            <a:rPr lang="en-US" sz="1400" b="1" i="0" u="none" strike="noStrike" baseline="0">
              <a:solidFill>
                <a:srgbClr val="FF0000"/>
              </a:solidFill>
              <a:latin typeface="Arial"/>
              <a:cs typeface="Arial"/>
            </a:rPr>
            <a:pPr algn="ctr" rtl="0">
              <a:defRPr sz="1000"/>
            </a:pPr>
            <a:t>LM5143</a:t>
          </a:fld>
          <a:endParaRPr lang="en-US" sz="2000" b="1" i="0" u="none" strike="noStrike" baseline="0">
            <a:solidFill>
              <a:srgbClr val="FF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222250</xdr:colOff>
          <xdr:row>15</xdr:row>
          <xdr:rowOff>6350</xdr:rowOff>
        </xdr:from>
        <xdr:to>
          <xdr:col>7</xdr:col>
          <xdr:colOff>469900</xdr:colOff>
          <xdr:row>15</xdr:row>
          <xdr:rowOff>234950</xdr:rowOff>
        </xdr:to>
        <xdr:sp macro="" textlink="">
          <xdr:nvSpPr>
            <xdr:cNvPr id="713934" name="Drop Down 3278" hidden="1">
              <a:extLst>
                <a:ext uri="{63B3BB69-23CF-44E3-9099-C40C66FF867C}">
                  <a14:compatExt spid="_x0000_s713934"/>
                </a:ext>
                <a:ext uri="{FF2B5EF4-FFF2-40B4-BE49-F238E27FC236}">
                  <a16:creationId xmlns:a16="http://schemas.microsoft.com/office/drawing/2014/main" id="{00000000-0008-0000-0000-0000CEE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150936</xdr:colOff>
          <xdr:row>1</xdr:row>
          <xdr:rowOff>0</xdr:rowOff>
        </xdr:from>
        <xdr:to>
          <xdr:col>8</xdr:col>
          <xdr:colOff>676853</xdr:colOff>
          <xdr:row>34</xdr:row>
          <xdr:rowOff>57150</xdr:rowOff>
        </xdr:to>
        <xdr:pic>
          <xdr:nvPicPr>
            <xdr:cNvPr id="3" name="Picture 1175">
              <a:extLst>
                <a:ext uri="{FF2B5EF4-FFF2-40B4-BE49-F238E27FC236}">
                  <a16:creationId xmlns:a16="http://schemas.microsoft.com/office/drawing/2014/main" id="{00000000-0008-0000-0100-000003000000}"/>
                </a:ext>
              </a:extLst>
            </xdr:cNvPr>
            <xdr:cNvPicPr>
              <a:picLocks noChangeAspect="1" noChangeArrowheads="1"/>
              <a:extLst>
                <a:ext uri="{84589F7E-364E-4C9E-8A38-B11213B215E9}">
                  <a14:cameraTool cellRange="PICTURE2" spid="_x0000_s686880"/>
                </a:ext>
              </a:extLst>
            </xdr:cNvPicPr>
          </xdr:nvPicPr>
          <xdr:blipFill>
            <a:blip xmlns:r="http://schemas.openxmlformats.org/officeDocument/2006/relationships" r:embed="rId1"/>
            <a:srcRect/>
            <a:stretch>
              <a:fillRect/>
            </a:stretch>
          </xdr:blipFill>
          <xdr:spPr bwMode="auto">
            <a:xfrm>
              <a:off x="150936" y="161925"/>
              <a:ext cx="9184142" cy="54006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xdr:twoCellAnchor editAs="absolute">
    <xdr:from>
      <xdr:col>1</xdr:col>
      <xdr:colOff>327117</xdr:colOff>
      <xdr:row>11</xdr:row>
      <xdr:rowOff>112786</xdr:rowOff>
    </xdr:from>
    <xdr:to>
      <xdr:col>1</xdr:col>
      <xdr:colOff>712364</xdr:colOff>
      <xdr:row>13</xdr:row>
      <xdr:rowOff>20216</xdr:rowOff>
    </xdr:to>
    <xdr:sp macro="" textlink="">
      <xdr:nvSpPr>
        <xdr:cNvPr id="4" name="Text Box 228">
          <a:extLst>
            <a:ext uri="{FF2B5EF4-FFF2-40B4-BE49-F238E27FC236}">
              <a16:creationId xmlns:a16="http://schemas.microsoft.com/office/drawing/2014/main" id="{00000000-0008-0000-0100-000004000000}"/>
            </a:ext>
          </a:extLst>
        </xdr:cNvPr>
        <xdr:cNvSpPr txBox="1">
          <a:spLocks noChangeArrowheads="1"/>
        </xdr:cNvSpPr>
      </xdr:nvSpPr>
      <xdr:spPr bwMode="auto">
        <a:xfrm>
          <a:off x="965292" y="1893961"/>
          <a:ext cx="385247" cy="231280"/>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O1</a:t>
          </a:r>
        </a:p>
      </xdr:txBody>
    </xdr:sp>
    <xdr:clientData/>
  </xdr:twoCellAnchor>
  <xdr:twoCellAnchor editAs="absolute">
    <xdr:from>
      <xdr:col>4</xdr:col>
      <xdr:colOff>770277</xdr:colOff>
      <xdr:row>31</xdr:row>
      <xdr:rowOff>44509</xdr:rowOff>
    </xdr:from>
    <xdr:to>
      <xdr:col>4</xdr:col>
      <xdr:colOff>1152053</xdr:colOff>
      <xdr:row>32</xdr:row>
      <xdr:rowOff>133897</xdr:rowOff>
    </xdr:to>
    <xdr:sp macro="" textlink="">
      <xdr:nvSpPr>
        <xdr:cNvPr id="5" name="Text Box 233">
          <a:extLst>
            <a:ext uri="{FF2B5EF4-FFF2-40B4-BE49-F238E27FC236}">
              <a16:creationId xmlns:a16="http://schemas.microsoft.com/office/drawing/2014/main" id="{00000000-0008-0000-0100-000005000000}"/>
            </a:ext>
          </a:extLst>
        </xdr:cNvPr>
        <xdr:cNvSpPr txBox="1">
          <a:spLocks noChangeArrowheads="1"/>
        </xdr:cNvSpPr>
      </xdr:nvSpPr>
      <xdr:spPr bwMode="auto">
        <a:xfrm>
          <a:off x="5180352" y="5064184"/>
          <a:ext cx="381776" cy="251313"/>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VDDA</a:t>
          </a:r>
        </a:p>
      </xdr:txBody>
    </xdr:sp>
    <xdr:clientData/>
  </xdr:twoCellAnchor>
  <xdr:twoCellAnchor editAs="absolute">
    <xdr:from>
      <xdr:col>1</xdr:col>
      <xdr:colOff>537446</xdr:colOff>
      <xdr:row>7</xdr:row>
      <xdr:rowOff>110846</xdr:rowOff>
    </xdr:from>
    <xdr:to>
      <xdr:col>1</xdr:col>
      <xdr:colOff>781307</xdr:colOff>
      <xdr:row>9</xdr:row>
      <xdr:rowOff>8292</xdr:rowOff>
    </xdr:to>
    <xdr:sp macro="" textlink="">
      <xdr:nvSpPr>
        <xdr:cNvPr id="6" name="Text Box 234">
          <a:extLst>
            <a:ext uri="{FF2B5EF4-FFF2-40B4-BE49-F238E27FC236}">
              <a16:creationId xmlns:a16="http://schemas.microsoft.com/office/drawing/2014/main" id="{00000000-0008-0000-0100-000006000000}"/>
            </a:ext>
          </a:extLst>
        </xdr:cNvPr>
        <xdr:cNvSpPr txBox="1">
          <a:spLocks noChangeArrowheads="1"/>
        </xdr:cNvSpPr>
      </xdr:nvSpPr>
      <xdr:spPr bwMode="auto">
        <a:xfrm>
          <a:off x="1175621" y="1244321"/>
          <a:ext cx="243861" cy="22129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S1</a:t>
          </a:r>
        </a:p>
      </xdr:txBody>
    </xdr:sp>
    <xdr:clientData/>
  </xdr:twoCellAnchor>
  <xdr:twoCellAnchor editAs="absolute">
    <xdr:from>
      <xdr:col>1</xdr:col>
      <xdr:colOff>1015578</xdr:colOff>
      <xdr:row>8</xdr:row>
      <xdr:rowOff>102673</xdr:rowOff>
    </xdr:from>
    <xdr:to>
      <xdr:col>2</xdr:col>
      <xdr:colOff>249</xdr:colOff>
      <xdr:row>10</xdr:row>
      <xdr:rowOff>54330</xdr:rowOff>
    </xdr:to>
    <xdr:sp macro="" textlink="">
      <xdr:nvSpPr>
        <xdr:cNvPr id="7" name="Text Box 235">
          <a:extLst>
            <a:ext uri="{FF2B5EF4-FFF2-40B4-BE49-F238E27FC236}">
              <a16:creationId xmlns:a16="http://schemas.microsoft.com/office/drawing/2014/main" id="{00000000-0008-0000-0100-000007000000}"/>
            </a:ext>
          </a:extLst>
        </xdr:cNvPr>
        <xdr:cNvSpPr txBox="1">
          <a:spLocks noChangeArrowheads="1"/>
        </xdr:cNvSpPr>
      </xdr:nvSpPr>
      <xdr:spPr bwMode="auto">
        <a:xfrm>
          <a:off x="1653753" y="1398073"/>
          <a:ext cx="337221" cy="27550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O1</a:t>
          </a:r>
        </a:p>
      </xdr:txBody>
    </xdr:sp>
    <xdr:clientData/>
  </xdr:twoCellAnchor>
  <xdr:twoCellAnchor editAs="absolute">
    <xdr:from>
      <xdr:col>1</xdr:col>
      <xdr:colOff>917688</xdr:colOff>
      <xdr:row>3</xdr:row>
      <xdr:rowOff>64533</xdr:rowOff>
    </xdr:from>
    <xdr:to>
      <xdr:col>1</xdr:col>
      <xdr:colOff>1246439</xdr:colOff>
      <xdr:row>4</xdr:row>
      <xdr:rowOff>128854</xdr:rowOff>
    </xdr:to>
    <xdr:sp macro="" textlink="">
      <xdr:nvSpPr>
        <xdr:cNvPr id="8" name="Text Box 244">
          <a:extLst>
            <a:ext uri="{FF2B5EF4-FFF2-40B4-BE49-F238E27FC236}">
              <a16:creationId xmlns:a16="http://schemas.microsoft.com/office/drawing/2014/main" id="{00000000-0008-0000-0100-000008000000}"/>
            </a:ext>
          </a:extLst>
        </xdr:cNvPr>
        <xdr:cNvSpPr txBox="1">
          <a:spLocks noChangeArrowheads="1"/>
        </xdr:cNvSpPr>
      </xdr:nvSpPr>
      <xdr:spPr bwMode="auto">
        <a:xfrm>
          <a:off x="1555863" y="550308"/>
          <a:ext cx="328751" cy="22624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editAs="absolute">
    <xdr:from>
      <xdr:col>5</xdr:col>
      <xdr:colOff>311429</xdr:colOff>
      <xdr:row>3</xdr:row>
      <xdr:rowOff>95580</xdr:rowOff>
    </xdr:from>
    <xdr:to>
      <xdr:col>5</xdr:col>
      <xdr:colOff>721586</xdr:colOff>
      <xdr:row>5</xdr:row>
      <xdr:rowOff>13374</xdr:rowOff>
    </xdr:to>
    <xdr:sp macro="" textlink="">
      <xdr:nvSpPr>
        <xdr:cNvPr id="9" name="Text Box 248">
          <a:extLst>
            <a:ext uri="{FF2B5EF4-FFF2-40B4-BE49-F238E27FC236}">
              <a16:creationId xmlns:a16="http://schemas.microsoft.com/office/drawing/2014/main" id="{00000000-0008-0000-0100-000009000000}"/>
            </a:ext>
          </a:extLst>
        </xdr:cNvPr>
        <xdr:cNvSpPr txBox="1">
          <a:spLocks noChangeArrowheads="1"/>
        </xdr:cNvSpPr>
      </xdr:nvSpPr>
      <xdr:spPr bwMode="auto">
        <a:xfrm>
          <a:off x="5874029" y="581355"/>
          <a:ext cx="410157" cy="24164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5</xdr:col>
      <xdr:colOff>1215475</xdr:colOff>
      <xdr:row>3</xdr:row>
      <xdr:rowOff>101710</xdr:rowOff>
    </xdr:from>
    <xdr:to>
      <xdr:col>6</xdr:col>
      <xdr:colOff>219884</xdr:colOff>
      <xdr:row>5</xdr:row>
      <xdr:rowOff>31062</xdr:rowOff>
    </xdr:to>
    <xdr:sp macro="" textlink="">
      <xdr:nvSpPr>
        <xdr:cNvPr id="10" name="Text Box 249">
          <a:extLst>
            <a:ext uri="{FF2B5EF4-FFF2-40B4-BE49-F238E27FC236}">
              <a16:creationId xmlns:a16="http://schemas.microsoft.com/office/drawing/2014/main" id="{00000000-0008-0000-0100-00000A000000}"/>
            </a:ext>
          </a:extLst>
        </xdr:cNvPr>
        <xdr:cNvSpPr txBox="1">
          <a:spLocks noChangeArrowheads="1"/>
        </xdr:cNvSpPr>
      </xdr:nvSpPr>
      <xdr:spPr bwMode="auto">
        <a:xfrm>
          <a:off x="6778075" y="587485"/>
          <a:ext cx="376009" cy="25320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VCC2</a:t>
          </a:r>
        </a:p>
      </xdr:txBody>
    </xdr:sp>
    <xdr:clientData/>
  </xdr:twoCellAnchor>
  <xdr:twoCellAnchor editAs="absolute">
    <xdr:from>
      <xdr:col>2</xdr:col>
      <xdr:colOff>589169</xdr:colOff>
      <xdr:row>28</xdr:row>
      <xdr:rowOff>141288</xdr:rowOff>
    </xdr:from>
    <xdr:to>
      <xdr:col>2</xdr:col>
      <xdr:colOff>834519</xdr:colOff>
      <xdr:row>30</xdr:row>
      <xdr:rowOff>35965</xdr:rowOff>
    </xdr:to>
    <xdr:sp macro="" textlink="">
      <xdr:nvSpPr>
        <xdr:cNvPr id="11" name="Text Box 256">
          <a:extLst>
            <a:ext uri="{FF2B5EF4-FFF2-40B4-BE49-F238E27FC236}">
              <a16:creationId xmlns:a16="http://schemas.microsoft.com/office/drawing/2014/main" id="{00000000-0008-0000-0100-00000B000000}"/>
            </a:ext>
          </a:extLst>
        </xdr:cNvPr>
        <xdr:cNvSpPr txBox="1">
          <a:spLocks noChangeArrowheads="1"/>
        </xdr:cNvSpPr>
      </xdr:nvSpPr>
      <xdr:spPr bwMode="auto">
        <a:xfrm>
          <a:off x="2579894" y="4675188"/>
          <a:ext cx="245350" cy="21852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editAs="absolute">
    <xdr:from>
      <xdr:col>2</xdr:col>
      <xdr:colOff>289675</xdr:colOff>
      <xdr:row>23</xdr:row>
      <xdr:rowOff>132059</xdr:rowOff>
    </xdr:from>
    <xdr:to>
      <xdr:col>2</xdr:col>
      <xdr:colOff>604177</xdr:colOff>
      <xdr:row>25</xdr:row>
      <xdr:rowOff>52247</xdr:rowOff>
    </xdr:to>
    <xdr:sp macro="" textlink="">
      <xdr:nvSpPr>
        <xdr:cNvPr id="12" name="Text Box 257">
          <a:extLst>
            <a:ext uri="{FF2B5EF4-FFF2-40B4-BE49-F238E27FC236}">
              <a16:creationId xmlns:a16="http://schemas.microsoft.com/office/drawing/2014/main" id="{00000000-0008-0000-0100-00000C000000}"/>
            </a:ext>
          </a:extLst>
        </xdr:cNvPr>
        <xdr:cNvSpPr txBox="1">
          <a:spLocks noChangeArrowheads="1"/>
        </xdr:cNvSpPr>
      </xdr:nvSpPr>
      <xdr:spPr bwMode="auto">
        <a:xfrm>
          <a:off x="2280400" y="3856334"/>
          <a:ext cx="314502" cy="244038"/>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900" b="0" i="0" strike="noStrike">
              <a:solidFill>
                <a:srgbClr val="000000"/>
              </a:solidFill>
              <a:latin typeface="Arial" pitchFamily="34" charset="0"/>
              <a:cs typeface="Arial" pitchFamily="34" charset="0"/>
            </a:rPr>
            <a:t>C</a:t>
          </a:r>
          <a:r>
            <a:rPr lang="en-US" sz="900" b="0" i="0" strike="noStrike" baseline="-25000">
              <a:solidFill>
                <a:srgbClr val="000000"/>
              </a:solidFill>
              <a:latin typeface="Arial" pitchFamily="34" charset="0"/>
              <a:cs typeface="Arial" pitchFamily="34" charset="0"/>
            </a:rPr>
            <a:t>C1</a:t>
          </a:r>
        </a:p>
      </xdr:txBody>
    </xdr:sp>
    <xdr:clientData/>
  </xdr:twoCellAnchor>
  <xdr:twoCellAnchor editAs="absolute">
    <xdr:from>
      <xdr:col>2</xdr:col>
      <xdr:colOff>705821</xdr:colOff>
      <xdr:row>24</xdr:row>
      <xdr:rowOff>20397</xdr:rowOff>
    </xdr:from>
    <xdr:to>
      <xdr:col>2</xdr:col>
      <xdr:colOff>1015990</xdr:colOff>
      <xdr:row>25</xdr:row>
      <xdr:rowOff>77654</xdr:rowOff>
    </xdr:to>
    <xdr:sp macro="" textlink="">
      <xdr:nvSpPr>
        <xdr:cNvPr id="13" name="Text Box 258">
          <a:extLst>
            <a:ext uri="{FF2B5EF4-FFF2-40B4-BE49-F238E27FC236}">
              <a16:creationId xmlns:a16="http://schemas.microsoft.com/office/drawing/2014/main" id="{00000000-0008-0000-0100-00000D000000}"/>
            </a:ext>
          </a:extLst>
        </xdr:cNvPr>
        <xdr:cNvSpPr txBox="1">
          <a:spLocks noChangeArrowheads="1"/>
        </xdr:cNvSpPr>
      </xdr:nvSpPr>
      <xdr:spPr bwMode="auto">
        <a:xfrm>
          <a:off x="2696546" y="3906597"/>
          <a:ext cx="310169" cy="219182"/>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editAs="absolute">
    <xdr:from>
      <xdr:col>2</xdr:col>
      <xdr:colOff>392266</xdr:colOff>
      <xdr:row>29</xdr:row>
      <xdr:rowOff>139047</xdr:rowOff>
    </xdr:from>
    <xdr:to>
      <xdr:col>2</xdr:col>
      <xdr:colOff>814853</xdr:colOff>
      <xdr:row>31</xdr:row>
      <xdr:rowOff>37817</xdr:rowOff>
    </xdr:to>
    <xdr:sp macro="" textlink="'Variable Management'!B355">
      <xdr:nvSpPr>
        <xdr:cNvPr id="14" name="Text Box 262">
          <a:extLst>
            <a:ext uri="{FF2B5EF4-FFF2-40B4-BE49-F238E27FC236}">
              <a16:creationId xmlns:a16="http://schemas.microsoft.com/office/drawing/2014/main" id="{00000000-0008-0000-0100-00000E000000}"/>
            </a:ext>
          </a:extLst>
        </xdr:cNvPr>
        <xdr:cNvSpPr txBox="1">
          <a:spLocks noChangeArrowheads="1" noTextEdit="1"/>
        </xdr:cNvSpPr>
      </xdr:nvSpPr>
      <xdr:spPr bwMode="auto">
        <a:xfrm>
          <a:off x="2382991" y="4834872"/>
          <a:ext cx="422587" cy="222620"/>
        </a:xfrm>
        <a:prstGeom prst="rect">
          <a:avLst/>
        </a:prstGeom>
        <a:noFill/>
        <a:ln w="9525">
          <a:noFill/>
          <a:miter lim="800000"/>
          <a:headEnd/>
          <a:tailEnd/>
        </a:ln>
      </xdr:spPr>
      <xdr:txBody>
        <a:bodyPr vertOverflow="clip" wrap="square" lIns="27432" tIns="22860" rIns="0" bIns="0" anchor="ctr" upright="1"/>
        <a:lstStyle/>
        <a:p>
          <a:pPr algn="r" rtl="0">
            <a:defRPr sz="1000"/>
          </a:pPr>
          <a:fld id="{2D8520E2-C481-4B17-83BA-3FA209B7A03A}" type="TxLink">
            <a:rPr lang="en-US" sz="1000" b="0" i="0" u="none" strike="noStrike" baseline="0">
              <a:solidFill>
                <a:srgbClr val="000000"/>
              </a:solidFill>
              <a:latin typeface="Arial" pitchFamily="34" charset="0"/>
              <a:cs typeface="Arial" pitchFamily="34" charset="0"/>
            </a:rPr>
            <a:pPr algn="r" rtl="0">
              <a:defRPr sz="1000"/>
            </a:pPr>
            <a:t>82pF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2</xdr:col>
      <xdr:colOff>669788</xdr:colOff>
      <xdr:row>25</xdr:row>
      <xdr:rowOff>51975</xdr:rowOff>
    </xdr:from>
    <xdr:to>
      <xdr:col>3</xdr:col>
      <xdr:colOff>54224</xdr:colOff>
      <xdr:row>26</xdr:row>
      <xdr:rowOff>113383</xdr:rowOff>
    </xdr:to>
    <xdr:sp macro="" textlink="'Variable Management'!B353">
      <xdr:nvSpPr>
        <xdr:cNvPr id="15" name="Text Box 263">
          <a:extLst>
            <a:ext uri="{FF2B5EF4-FFF2-40B4-BE49-F238E27FC236}">
              <a16:creationId xmlns:a16="http://schemas.microsoft.com/office/drawing/2014/main" id="{00000000-0008-0000-0100-00000F000000}"/>
            </a:ext>
          </a:extLst>
        </xdr:cNvPr>
        <xdr:cNvSpPr txBox="1">
          <a:spLocks noChangeArrowheads="1" noTextEdit="1"/>
        </xdr:cNvSpPr>
      </xdr:nvSpPr>
      <xdr:spPr bwMode="auto">
        <a:xfrm>
          <a:off x="2660513" y="4100100"/>
          <a:ext cx="460761" cy="223333"/>
        </a:xfrm>
        <a:prstGeom prst="rect">
          <a:avLst/>
        </a:prstGeom>
        <a:noFill/>
        <a:ln w="9525">
          <a:noFill/>
          <a:miter lim="800000"/>
          <a:headEnd/>
          <a:tailEnd/>
        </a:ln>
      </xdr:spPr>
      <xdr:txBody>
        <a:bodyPr vertOverflow="clip" wrap="square" lIns="27432" tIns="22860" rIns="0" bIns="0" anchor="t" upright="1"/>
        <a:lstStyle/>
        <a:p>
          <a:pPr algn="l" rtl="0">
            <a:defRPr sz="1000"/>
          </a:pPr>
          <a:fld id="{EDB14F34-7391-4353-9626-FAE030CE211F}" type="TxLink">
            <a:rPr lang="en-US" sz="900" b="0" i="0" u="none" strike="noStrike" baseline="0">
              <a:solidFill>
                <a:srgbClr val="000000"/>
              </a:solidFill>
              <a:latin typeface="Arial" pitchFamily="34" charset="0"/>
              <a:cs typeface="Arial" pitchFamily="34" charset="0"/>
            </a:rPr>
            <a:pPr algn="l" rtl="0">
              <a:defRPr sz="1000"/>
            </a:pPr>
            <a:t>18kΩ</a:t>
          </a:fld>
          <a:endParaRPr lang="el-GR" sz="900" b="0" i="0" u="none" strike="noStrike" baseline="0">
            <a:solidFill>
              <a:srgbClr val="000000"/>
            </a:solidFill>
            <a:latin typeface="Arial" pitchFamily="34" charset="0"/>
            <a:cs typeface="Arial" pitchFamily="34" charset="0"/>
          </a:endParaRPr>
        </a:p>
      </xdr:txBody>
    </xdr:sp>
    <xdr:clientData/>
  </xdr:twoCellAnchor>
  <xdr:twoCellAnchor editAs="absolute">
    <xdr:from>
      <xdr:col>2</xdr:col>
      <xdr:colOff>379595</xdr:colOff>
      <xdr:row>19</xdr:row>
      <xdr:rowOff>91412</xdr:rowOff>
    </xdr:from>
    <xdr:to>
      <xdr:col>2</xdr:col>
      <xdr:colOff>1061575</xdr:colOff>
      <xdr:row>21</xdr:row>
      <xdr:rowOff>30464</xdr:rowOff>
    </xdr:to>
    <xdr:sp macro="" textlink="'Variable Management'!B380">
      <xdr:nvSpPr>
        <xdr:cNvPr id="16" name="Text Box 265">
          <a:extLst>
            <a:ext uri="{FF2B5EF4-FFF2-40B4-BE49-F238E27FC236}">
              <a16:creationId xmlns:a16="http://schemas.microsoft.com/office/drawing/2014/main" id="{00000000-0008-0000-0100-000010000000}"/>
            </a:ext>
          </a:extLst>
        </xdr:cNvPr>
        <xdr:cNvSpPr txBox="1">
          <a:spLocks noChangeArrowheads="1" noTextEdit="1"/>
        </xdr:cNvSpPr>
      </xdr:nvSpPr>
      <xdr:spPr bwMode="auto">
        <a:xfrm>
          <a:off x="2370320" y="3167987"/>
          <a:ext cx="681980" cy="262902"/>
        </a:xfrm>
        <a:prstGeom prst="rect">
          <a:avLst/>
        </a:prstGeom>
        <a:noFill/>
        <a:ln w="9525">
          <a:noFill/>
          <a:miter lim="800000"/>
          <a:headEnd/>
          <a:tailEnd/>
        </a:ln>
      </xdr:spPr>
      <xdr:txBody>
        <a:bodyPr vertOverflow="clip" wrap="square" lIns="27432" tIns="22860" rIns="0" bIns="0" anchor="t" upright="1"/>
        <a:lstStyle/>
        <a:p>
          <a:pPr algn="r" rtl="0">
            <a:defRPr sz="1000"/>
          </a:pPr>
          <a:fld id="{30247B59-D142-4194-9028-13C083D6194C}" type="TxLink">
            <a:rPr lang="en-US" sz="1000" b="0" i="0" u="none" strike="noStrike" baseline="0">
              <a:solidFill>
                <a:srgbClr val="000000"/>
              </a:solidFill>
              <a:latin typeface="Arialri"/>
              <a:cs typeface="Arial" pitchFamily="34" charset="0"/>
            </a:rPr>
            <a:pPr algn="r" rtl="0">
              <a:defRPr sz="1000"/>
            </a:pPr>
            <a:t>100kΩ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96201</xdr:colOff>
      <xdr:row>13</xdr:row>
      <xdr:rowOff>12640</xdr:rowOff>
    </xdr:from>
    <xdr:to>
      <xdr:col>1</xdr:col>
      <xdr:colOff>596825</xdr:colOff>
      <xdr:row>14</xdr:row>
      <xdr:rowOff>57839</xdr:rowOff>
    </xdr:to>
    <xdr:sp macro="" textlink="'Variable Management'!B345">
      <xdr:nvSpPr>
        <xdr:cNvPr id="17" name="Text Box 267">
          <a:extLst>
            <a:ext uri="{FF2B5EF4-FFF2-40B4-BE49-F238E27FC236}">
              <a16:creationId xmlns:a16="http://schemas.microsoft.com/office/drawing/2014/main" id="{00000000-0008-0000-0100-000011000000}"/>
            </a:ext>
          </a:extLst>
        </xdr:cNvPr>
        <xdr:cNvSpPr txBox="1">
          <a:spLocks noChangeArrowheads="1" noTextEdit="1"/>
        </xdr:cNvSpPr>
      </xdr:nvSpPr>
      <xdr:spPr bwMode="auto">
        <a:xfrm>
          <a:off x="734376" y="2117665"/>
          <a:ext cx="500624" cy="207124"/>
        </a:xfrm>
        <a:prstGeom prst="rect">
          <a:avLst/>
        </a:prstGeom>
        <a:noFill/>
        <a:ln w="9525">
          <a:noFill/>
          <a:miter lim="800000"/>
          <a:headEnd/>
          <a:tailEnd/>
        </a:ln>
      </xdr:spPr>
      <xdr:txBody>
        <a:bodyPr vertOverflow="clip" wrap="square" lIns="27432" tIns="22860" rIns="0" bIns="0" anchor="ctr" upright="1"/>
        <a:lstStyle/>
        <a:p>
          <a:pPr algn="r" rtl="0">
            <a:defRPr sz="1000"/>
          </a:pPr>
          <a:fld id="{DEF62FD0-959B-4627-B7E8-61CA1688D174}" type="TxLink">
            <a:rPr lang="en-US" sz="1000" b="0" i="0" u="none" strike="noStrike" baseline="0">
              <a:solidFill>
                <a:srgbClr val="000000"/>
              </a:solidFill>
              <a:latin typeface="Arial" pitchFamily="34" charset="0"/>
              <a:cs typeface="Arial" pitchFamily="34" charset="0"/>
            </a:rPr>
            <a:pPr algn="r" rtl="0">
              <a:defRPr sz="1000"/>
            </a:pPr>
            <a:t>102µF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943743</xdr:colOff>
      <xdr:row>11</xdr:row>
      <xdr:rowOff>5363</xdr:rowOff>
    </xdr:from>
    <xdr:to>
      <xdr:col>2</xdr:col>
      <xdr:colOff>37971</xdr:colOff>
      <xdr:row>12</xdr:row>
      <xdr:rowOff>52531</xdr:rowOff>
    </xdr:to>
    <xdr:sp macro="" textlink="'Variable Management'!B339">
      <xdr:nvSpPr>
        <xdr:cNvPr id="18" name="Text Box 275">
          <a:extLst>
            <a:ext uri="{FF2B5EF4-FFF2-40B4-BE49-F238E27FC236}">
              <a16:creationId xmlns:a16="http://schemas.microsoft.com/office/drawing/2014/main" id="{00000000-0008-0000-0100-000012000000}"/>
            </a:ext>
          </a:extLst>
        </xdr:cNvPr>
        <xdr:cNvSpPr txBox="1">
          <a:spLocks noChangeArrowheads="1" noTextEdit="1"/>
        </xdr:cNvSpPr>
      </xdr:nvSpPr>
      <xdr:spPr bwMode="auto">
        <a:xfrm>
          <a:off x="1581918" y="1786538"/>
          <a:ext cx="446778" cy="209093"/>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10µH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876850</xdr:colOff>
      <xdr:row>4</xdr:row>
      <xdr:rowOff>95130</xdr:rowOff>
    </xdr:from>
    <xdr:to>
      <xdr:col>1</xdr:col>
      <xdr:colOff>1352510</xdr:colOff>
      <xdr:row>5</xdr:row>
      <xdr:rowOff>156921</xdr:rowOff>
    </xdr:to>
    <xdr:sp macro="" textlink="'Variable Management'!B349">
      <xdr:nvSpPr>
        <xdr:cNvPr id="19" name="Text Box 276">
          <a:extLst>
            <a:ext uri="{FF2B5EF4-FFF2-40B4-BE49-F238E27FC236}">
              <a16:creationId xmlns:a16="http://schemas.microsoft.com/office/drawing/2014/main" id="{00000000-0008-0000-0100-000013000000}"/>
            </a:ext>
          </a:extLst>
        </xdr:cNvPr>
        <xdr:cNvSpPr txBox="1">
          <a:spLocks noChangeArrowheads="1" noTextEdit="1"/>
        </xdr:cNvSpPr>
      </xdr:nvSpPr>
      <xdr:spPr bwMode="auto">
        <a:xfrm>
          <a:off x="1515025" y="742830"/>
          <a:ext cx="475660" cy="223716"/>
        </a:xfrm>
        <a:prstGeom prst="rect">
          <a:avLst/>
        </a:prstGeom>
        <a:noFill/>
        <a:ln w="9525">
          <a:noFill/>
          <a:miter lim="800000"/>
          <a:headEnd/>
          <a:tailEnd/>
        </a:ln>
      </xdr:spPr>
      <xdr:txBody>
        <a:bodyPr vertOverflow="clip" wrap="square" lIns="27432" tIns="22860" rIns="0" bIns="0" anchor="ctr" upright="1"/>
        <a:lstStyle/>
        <a:p>
          <a:pPr algn="l" rtl="0">
            <a:defRPr sz="1000"/>
          </a:pPr>
          <a:fld id="{7E8F3901-1453-4951-8E28-510E65401D4C}" type="TxLink">
            <a:rPr lang="en-US" sz="1000" b="0" i="0" u="none" strike="noStrike" baseline="0">
              <a:solidFill>
                <a:srgbClr val="000000"/>
              </a:solidFill>
              <a:latin typeface="Arial" pitchFamily="34" charset="0"/>
              <a:cs typeface="Arial" pitchFamily="34" charset="0"/>
            </a:rPr>
            <a:pPr algn="l" rtl="0">
              <a:defRPr sz="1000"/>
            </a:pPr>
            <a:t>1328µF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3</xdr:col>
      <xdr:colOff>870011</xdr:colOff>
      <xdr:row>32</xdr:row>
      <xdr:rowOff>86651</xdr:rowOff>
    </xdr:from>
    <xdr:to>
      <xdr:col>3</xdr:col>
      <xdr:colOff>1307654</xdr:colOff>
      <xdr:row>33</xdr:row>
      <xdr:rowOff>158938</xdr:rowOff>
    </xdr:to>
    <xdr:sp macro="" textlink="'Variable Management'!B381">
      <xdr:nvSpPr>
        <xdr:cNvPr id="20" name="Text Box 281">
          <a:extLst>
            <a:ext uri="{FF2B5EF4-FFF2-40B4-BE49-F238E27FC236}">
              <a16:creationId xmlns:a16="http://schemas.microsoft.com/office/drawing/2014/main" id="{00000000-0008-0000-0100-000014000000}"/>
            </a:ext>
          </a:extLst>
        </xdr:cNvPr>
        <xdr:cNvSpPr txBox="1">
          <a:spLocks noChangeArrowheads="1" noTextEdit="1"/>
        </xdr:cNvSpPr>
      </xdr:nvSpPr>
      <xdr:spPr bwMode="auto">
        <a:xfrm>
          <a:off x="3937061" y="5268251"/>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77460045-3ADA-4E36-A50B-8C5C548E137C}" type="TxLink">
            <a:rPr lang="en-US" sz="1000" b="0" i="0" u="none" strike="noStrike">
              <a:solidFill>
                <a:srgbClr val="000000"/>
              </a:solidFill>
              <a:latin typeface="Arial" pitchFamily="34" charset="0"/>
              <a:cs typeface="Arial" pitchFamily="34" charset="0"/>
            </a:rPr>
            <a:pPr algn="ctr" rtl="0">
              <a:defRPr sz="1000"/>
            </a:pPr>
            <a:t> </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0</xdr:col>
      <xdr:colOff>0</xdr:colOff>
      <xdr:row>10</xdr:row>
      <xdr:rowOff>19036</xdr:rowOff>
    </xdr:from>
    <xdr:to>
      <xdr:col>0</xdr:col>
      <xdr:colOff>482804</xdr:colOff>
      <xdr:row>11</xdr:row>
      <xdr:rowOff>101723</xdr:rowOff>
    </xdr:to>
    <xdr:sp macro="" textlink="'Variable Management'!B343">
      <xdr:nvSpPr>
        <xdr:cNvPr id="21" name="Text Box 285">
          <a:extLst>
            <a:ext uri="{FF2B5EF4-FFF2-40B4-BE49-F238E27FC236}">
              <a16:creationId xmlns:a16="http://schemas.microsoft.com/office/drawing/2014/main" id="{00000000-0008-0000-0100-000015000000}"/>
            </a:ext>
          </a:extLst>
        </xdr:cNvPr>
        <xdr:cNvSpPr txBox="1">
          <a:spLocks noChangeArrowheads="1" noTextEdit="1"/>
        </xdr:cNvSpPr>
      </xdr:nvSpPr>
      <xdr:spPr bwMode="auto">
        <a:xfrm>
          <a:off x="0" y="1638286"/>
          <a:ext cx="482804" cy="244612"/>
        </a:xfrm>
        <a:prstGeom prst="rect">
          <a:avLst/>
        </a:prstGeom>
        <a:noFill/>
        <a:ln w="9525">
          <a:noFill/>
          <a:miter lim="800000"/>
          <a:headEnd/>
          <a:tailEnd/>
        </a:ln>
      </xdr:spPr>
      <xdr:txBody>
        <a:bodyPr vertOverflow="clip" wrap="square" lIns="27432" tIns="22860" rIns="0" bIns="0" anchor="ctr" upright="1"/>
        <a:lstStyle/>
        <a:p>
          <a:pPr algn="r" rtl="0">
            <a:defRPr sz="1000"/>
          </a:pPr>
          <a:fld id="{702C2B8A-7C4B-4FDB-B229-3170089D9686}" type="TxLink">
            <a:rPr lang="en-US" sz="1000" b="1" i="0" u="none" strike="noStrike" baseline="0">
              <a:solidFill>
                <a:srgbClr val="FF0000"/>
              </a:solidFill>
              <a:latin typeface="Arial" pitchFamily="34" charset="0"/>
              <a:cs typeface="Arial" pitchFamily="34" charset="0"/>
            </a:rPr>
            <a:pPr algn="r" rtl="0">
              <a:defRPr sz="1000"/>
            </a:pPr>
            <a:t>24V</a:t>
          </a:fld>
          <a:endParaRPr lang="en-US" sz="1000" b="1" i="0" u="none" strike="noStrike" baseline="0">
            <a:solidFill>
              <a:srgbClr val="FF0000"/>
            </a:solidFill>
            <a:latin typeface="Arial" pitchFamily="34" charset="0"/>
            <a:cs typeface="Arial" pitchFamily="34" charset="0"/>
          </a:endParaRPr>
        </a:p>
      </xdr:txBody>
    </xdr:sp>
    <xdr:clientData/>
  </xdr:twoCellAnchor>
  <xdr:twoCellAnchor editAs="absolute">
    <xdr:from>
      <xdr:col>0</xdr:col>
      <xdr:colOff>10795</xdr:colOff>
      <xdr:row>11</xdr:row>
      <xdr:rowOff>64131</xdr:rowOff>
    </xdr:from>
    <xdr:to>
      <xdr:col>0</xdr:col>
      <xdr:colOff>467973</xdr:colOff>
      <xdr:row>12</xdr:row>
      <xdr:rowOff>144760</xdr:rowOff>
    </xdr:to>
    <xdr:sp macro="" textlink="'Variable Management'!B386">
      <xdr:nvSpPr>
        <xdr:cNvPr id="22" name="Text Box 286">
          <a:extLst>
            <a:ext uri="{FF2B5EF4-FFF2-40B4-BE49-F238E27FC236}">
              <a16:creationId xmlns:a16="http://schemas.microsoft.com/office/drawing/2014/main" id="{00000000-0008-0000-0100-000016000000}"/>
            </a:ext>
          </a:extLst>
        </xdr:cNvPr>
        <xdr:cNvSpPr txBox="1">
          <a:spLocks noChangeArrowheads="1" noTextEdit="1"/>
        </xdr:cNvSpPr>
      </xdr:nvSpPr>
      <xdr:spPr bwMode="auto">
        <a:xfrm>
          <a:off x="10795" y="1845306"/>
          <a:ext cx="457178" cy="242554"/>
        </a:xfrm>
        <a:prstGeom prst="rect">
          <a:avLst/>
        </a:prstGeom>
        <a:noFill/>
        <a:ln w="9525">
          <a:noFill/>
          <a:miter lim="800000"/>
          <a:headEnd/>
          <a:tailEnd/>
        </a:ln>
      </xdr:spPr>
      <xdr:txBody>
        <a:bodyPr vertOverflow="clip" wrap="square" lIns="27432" tIns="22860" rIns="0" bIns="0" anchor="t" upright="1"/>
        <a:lstStyle/>
        <a:p>
          <a:pPr algn="r" rtl="0">
            <a:defRPr sz="1000"/>
          </a:pPr>
          <a:fld id="{E0FB88FA-F39E-4ACF-AB5E-DCB628763AAE}" type="TxLink">
            <a:rPr lang="en-US" sz="1000" b="1" i="0" u="none" strike="noStrike">
              <a:solidFill>
                <a:srgbClr val="FF0000"/>
              </a:solidFill>
              <a:latin typeface="Arial" pitchFamily="34" charset="0"/>
              <a:cs typeface="Arial" pitchFamily="34" charset="0"/>
            </a:rPr>
            <a:pPr algn="r" rtl="0">
              <a:defRPr sz="1000"/>
            </a:pPr>
            <a:t>60A</a:t>
          </a:fld>
          <a:endParaRPr lang="en-US" sz="1000" b="1" i="0" strike="noStrike">
            <a:solidFill>
              <a:srgbClr val="FF0000"/>
            </a:solidFill>
            <a:latin typeface="Arial" pitchFamily="34" charset="0"/>
            <a:cs typeface="Arial" pitchFamily="34" charset="0"/>
          </a:endParaRPr>
        </a:p>
      </xdr:txBody>
    </xdr:sp>
    <xdr:clientData/>
  </xdr:twoCellAnchor>
  <xdr:twoCellAnchor editAs="absolute">
    <xdr:from>
      <xdr:col>2</xdr:col>
      <xdr:colOff>658119</xdr:colOff>
      <xdr:row>17</xdr:row>
      <xdr:rowOff>92548</xdr:rowOff>
    </xdr:from>
    <xdr:to>
      <xdr:col>2</xdr:col>
      <xdr:colOff>924041</xdr:colOff>
      <xdr:row>18</xdr:row>
      <xdr:rowOff>122438</xdr:rowOff>
    </xdr:to>
    <xdr:sp macro="" textlink="">
      <xdr:nvSpPr>
        <xdr:cNvPr id="23" name="Text Box 251">
          <a:extLst>
            <a:ext uri="{FF2B5EF4-FFF2-40B4-BE49-F238E27FC236}">
              <a16:creationId xmlns:a16="http://schemas.microsoft.com/office/drawing/2014/main" id="{00000000-0008-0000-0100-000017000000}"/>
            </a:ext>
          </a:extLst>
        </xdr:cNvPr>
        <xdr:cNvSpPr txBox="1">
          <a:spLocks noChangeArrowheads="1"/>
        </xdr:cNvSpPr>
      </xdr:nvSpPr>
      <xdr:spPr bwMode="auto">
        <a:xfrm>
          <a:off x="2648844" y="2845273"/>
          <a:ext cx="265922" cy="191815"/>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T</a:t>
          </a:r>
        </a:p>
      </xdr:txBody>
    </xdr:sp>
    <xdr:clientData/>
  </xdr:twoCellAnchor>
  <xdr:twoCellAnchor editAs="absolute">
    <xdr:from>
      <xdr:col>5</xdr:col>
      <xdr:colOff>891111</xdr:colOff>
      <xdr:row>7</xdr:row>
      <xdr:rowOff>51329</xdr:rowOff>
    </xdr:from>
    <xdr:to>
      <xdr:col>5</xdr:col>
      <xdr:colOff>1353903</xdr:colOff>
      <xdr:row>8</xdr:row>
      <xdr:rowOff>112679</xdr:rowOff>
    </xdr:to>
    <xdr:sp macro="" textlink="">
      <xdr:nvSpPr>
        <xdr:cNvPr id="24" name="Text Box 247">
          <a:extLst>
            <a:ext uri="{FF2B5EF4-FFF2-40B4-BE49-F238E27FC236}">
              <a16:creationId xmlns:a16="http://schemas.microsoft.com/office/drawing/2014/main" id="{00000000-0008-0000-0100-000018000000}"/>
            </a:ext>
          </a:extLst>
        </xdr:cNvPr>
        <xdr:cNvSpPr txBox="1">
          <a:spLocks noChangeArrowheads="1"/>
        </xdr:cNvSpPr>
      </xdr:nvSpPr>
      <xdr:spPr bwMode="auto">
        <a:xfrm>
          <a:off x="6453711" y="1184804"/>
          <a:ext cx="462792" cy="223275"/>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1</xdr:col>
      <xdr:colOff>1199239</xdr:colOff>
      <xdr:row>12</xdr:row>
      <xdr:rowOff>117699</xdr:rowOff>
    </xdr:from>
    <xdr:to>
      <xdr:col>2</xdr:col>
      <xdr:colOff>169074</xdr:colOff>
      <xdr:row>14</xdr:row>
      <xdr:rowOff>39099</xdr:rowOff>
    </xdr:to>
    <xdr:sp macro="" textlink="">
      <xdr:nvSpPr>
        <xdr:cNvPr id="25" name="Text Box 244">
          <a:extLst>
            <a:ext uri="{FF2B5EF4-FFF2-40B4-BE49-F238E27FC236}">
              <a16:creationId xmlns:a16="http://schemas.microsoft.com/office/drawing/2014/main" id="{00000000-0008-0000-0100-000019000000}"/>
            </a:ext>
          </a:extLst>
        </xdr:cNvPr>
        <xdr:cNvSpPr txBox="1">
          <a:spLocks noChangeArrowheads="1"/>
        </xdr:cNvSpPr>
      </xdr:nvSpPr>
      <xdr:spPr bwMode="auto">
        <a:xfrm>
          <a:off x="1837414" y="2060799"/>
          <a:ext cx="322385" cy="245250"/>
        </a:xfrm>
        <a:prstGeom prst="rect">
          <a:avLst/>
        </a:prstGeom>
        <a:noFill/>
        <a:ln w="9525">
          <a:noFill/>
          <a:miter lim="800000"/>
          <a:headEnd/>
          <a:tailEnd/>
        </a:ln>
      </xdr:spPr>
      <xdr:txBody>
        <a:bodyPr vertOverflow="clip" wrap="square" lIns="27432" tIns="27432" rIns="0" bIns="0" anchor="ctr" upright="1"/>
        <a:lstStyle/>
        <a:p>
          <a:pPr algn="r"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editAs="absolute">
    <xdr:from>
      <xdr:col>2</xdr:col>
      <xdr:colOff>10173</xdr:colOff>
      <xdr:row>8</xdr:row>
      <xdr:rowOff>65261</xdr:rowOff>
    </xdr:from>
    <xdr:to>
      <xdr:col>2</xdr:col>
      <xdr:colOff>329779</xdr:colOff>
      <xdr:row>10</xdr:row>
      <xdr:rowOff>10533</xdr:rowOff>
    </xdr:to>
    <xdr:sp macro="" textlink="">
      <xdr:nvSpPr>
        <xdr:cNvPr id="26" name="Text Box 244">
          <a:extLst>
            <a:ext uri="{FF2B5EF4-FFF2-40B4-BE49-F238E27FC236}">
              <a16:creationId xmlns:a16="http://schemas.microsoft.com/office/drawing/2014/main" id="{00000000-0008-0000-0100-00001A000000}"/>
            </a:ext>
          </a:extLst>
        </xdr:cNvPr>
        <xdr:cNvSpPr txBox="1">
          <a:spLocks noChangeArrowheads="1"/>
        </xdr:cNvSpPr>
      </xdr:nvSpPr>
      <xdr:spPr bwMode="auto">
        <a:xfrm>
          <a:off x="2000898" y="1360661"/>
          <a:ext cx="319606" cy="26912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editAs="absolute">
    <xdr:from>
      <xdr:col>1</xdr:col>
      <xdr:colOff>428508</xdr:colOff>
      <xdr:row>8</xdr:row>
      <xdr:rowOff>133037</xdr:rowOff>
    </xdr:from>
    <xdr:to>
      <xdr:col>1</xdr:col>
      <xdr:colOff>909453</xdr:colOff>
      <xdr:row>10</xdr:row>
      <xdr:rowOff>80249</xdr:rowOff>
    </xdr:to>
    <xdr:sp macro="" textlink="'Variable Management'!B341">
      <xdr:nvSpPr>
        <xdr:cNvPr id="27" name="Text Box 275">
          <a:extLst>
            <a:ext uri="{FF2B5EF4-FFF2-40B4-BE49-F238E27FC236}">
              <a16:creationId xmlns:a16="http://schemas.microsoft.com/office/drawing/2014/main" id="{00000000-0008-0000-0100-00001B000000}"/>
            </a:ext>
          </a:extLst>
        </xdr:cNvPr>
        <xdr:cNvSpPr txBox="1">
          <a:spLocks noChangeArrowheads="1" noTextEdit="1"/>
        </xdr:cNvSpPr>
      </xdr:nvSpPr>
      <xdr:spPr bwMode="auto">
        <a:xfrm>
          <a:off x="1066683" y="1428437"/>
          <a:ext cx="480945" cy="271062"/>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2.2mΩ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1234493</xdr:colOff>
      <xdr:row>5</xdr:row>
      <xdr:rowOff>4688</xdr:rowOff>
    </xdr:from>
    <xdr:to>
      <xdr:col>6</xdr:col>
      <xdr:colOff>313486</xdr:colOff>
      <xdr:row>6</xdr:row>
      <xdr:rowOff>75670</xdr:rowOff>
    </xdr:to>
    <xdr:sp macro="" textlink="">
      <xdr:nvSpPr>
        <xdr:cNvPr id="28" name="Text Box 279">
          <a:extLst>
            <a:ext uri="{FF2B5EF4-FFF2-40B4-BE49-F238E27FC236}">
              <a16:creationId xmlns:a16="http://schemas.microsoft.com/office/drawing/2014/main" id="{00000000-0008-0000-0100-00001C000000}"/>
            </a:ext>
          </a:extLst>
        </xdr:cNvPr>
        <xdr:cNvSpPr txBox="1">
          <a:spLocks noChangeArrowheads="1"/>
        </xdr:cNvSpPr>
      </xdr:nvSpPr>
      <xdr:spPr bwMode="auto">
        <a:xfrm>
          <a:off x="6797093" y="814313"/>
          <a:ext cx="450593" cy="232907"/>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6</xdr:col>
      <xdr:colOff>285960</xdr:colOff>
      <xdr:row>12</xdr:row>
      <xdr:rowOff>83920</xdr:rowOff>
    </xdr:from>
    <xdr:to>
      <xdr:col>6</xdr:col>
      <xdr:colOff>561742</xdr:colOff>
      <xdr:row>14</xdr:row>
      <xdr:rowOff>51172</xdr:rowOff>
    </xdr:to>
    <xdr:sp macro="" textlink="">
      <xdr:nvSpPr>
        <xdr:cNvPr id="29" name="Text Box 244">
          <a:extLst>
            <a:ext uri="{FF2B5EF4-FFF2-40B4-BE49-F238E27FC236}">
              <a16:creationId xmlns:a16="http://schemas.microsoft.com/office/drawing/2014/main" id="{00000000-0008-0000-0100-00001D000000}"/>
            </a:ext>
          </a:extLst>
        </xdr:cNvPr>
        <xdr:cNvSpPr txBox="1">
          <a:spLocks noChangeArrowheads="1"/>
        </xdr:cNvSpPr>
      </xdr:nvSpPr>
      <xdr:spPr bwMode="auto">
        <a:xfrm>
          <a:off x="7220160" y="2027020"/>
          <a:ext cx="275782" cy="29110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4</a:t>
          </a:r>
        </a:p>
      </xdr:txBody>
    </xdr:sp>
    <xdr:clientData/>
  </xdr:twoCellAnchor>
  <xdr:twoCellAnchor editAs="absolute">
    <xdr:from>
      <xdr:col>6</xdr:col>
      <xdr:colOff>292065</xdr:colOff>
      <xdr:row>8</xdr:row>
      <xdr:rowOff>56469</xdr:rowOff>
    </xdr:from>
    <xdr:to>
      <xdr:col>6</xdr:col>
      <xdr:colOff>569068</xdr:colOff>
      <xdr:row>9</xdr:row>
      <xdr:rowOff>161392</xdr:rowOff>
    </xdr:to>
    <xdr:sp macro="" textlink="">
      <xdr:nvSpPr>
        <xdr:cNvPr id="30" name="Text Box 244">
          <a:extLst>
            <a:ext uri="{FF2B5EF4-FFF2-40B4-BE49-F238E27FC236}">
              <a16:creationId xmlns:a16="http://schemas.microsoft.com/office/drawing/2014/main" id="{00000000-0008-0000-0100-00001E000000}"/>
            </a:ext>
          </a:extLst>
        </xdr:cNvPr>
        <xdr:cNvSpPr txBox="1">
          <a:spLocks noChangeArrowheads="1"/>
        </xdr:cNvSpPr>
      </xdr:nvSpPr>
      <xdr:spPr bwMode="auto">
        <a:xfrm>
          <a:off x="7226265" y="1351869"/>
          <a:ext cx="277003" cy="26684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3</a:t>
          </a:r>
        </a:p>
      </xdr:txBody>
    </xdr:sp>
    <xdr:clientData/>
  </xdr:twoCellAnchor>
  <xdr:twoCellAnchor editAs="absolute">
    <xdr:from>
      <xdr:col>2</xdr:col>
      <xdr:colOff>118463</xdr:colOff>
      <xdr:row>24</xdr:row>
      <xdr:rowOff>154077</xdr:rowOff>
    </xdr:from>
    <xdr:to>
      <xdr:col>2</xdr:col>
      <xdr:colOff>623979</xdr:colOff>
      <xdr:row>26</xdr:row>
      <xdr:rowOff>73629</xdr:rowOff>
    </xdr:to>
    <xdr:sp macro="" textlink="'Variable Management'!B354">
      <xdr:nvSpPr>
        <xdr:cNvPr id="31" name="Text Box 261">
          <a:extLst>
            <a:ext uri="{FF2B5EF4-FFF2-40B4-BE49-F238E27FC236}">
              <a16:creationId xmlns:a16="http://schemas.microsoft.com/office/drawing/2014/main" id="{00000000-0008-0000-0100-00001F000000}"/>
            </a:ext>
          </a:extLst>
        </xdr:cNvPr>
        <xdr:cNvSpPr txBox="1">
          <a:spLocks noChangeArrowheads="1" noTextEdit="1"/>
        </xdr:cNvSpPr>
      </xdr:nvSpPr>
      <xdr:spPr bwMode="auto">
        <a:xfrm>
          <a:off x="2109188" y="4040277"/>
          <a:ext cx="505516" cy="243402"/>
        </a:xfrm>
        <a:prstGeom prst="rect">
          <a:avLst/>
        </a:prstGeom>
        <a:noFill/>
        <a:ln w="9525">
          <a:noFill/>
          <a:miter lim="800000"/>
          <a:headEnd/>
          <a:tailEnd/>
        </a:ln>
      </xdr:spPr>
      <xdr:txBody>
        <a:bodyPr vertOverflow="clip" wrap="square" lIns="27432" tIns="22860" rIns="0" bIns="0" anchor="t" upright="1"/>
        <a:lstStyle/>
        <a:p>
          <a:pPr algn="r" rtl="0">
            <a:defRPr sz="1000"/>
          </a:pPr>
          <a:fld id="{B9060F6D-CAA3-48E6-BAE7-37C16D6980D0}" type="TxLink">
            <a:rPr lang="en-US" sz="900" b="0" i="0" u="none" strike="noStrike" baseline="0">
              <a:solidFill>
                <a:srgbClr val="000000"/>
              </a:solidFill>
              <a:latin typeface="Arialri"/>
              <a:cs typeface="Arial" pitchFamily="34" charset="0"/>
            </a:rPr>
            <a:pPr algn="r" rtl="0">
              <a:defRPr sz="1000"/>
            </a:pPr>
            <a:t>3.3nF</a:t>
          </a:fld>
          <a:endParaRPr lang="en-US" sz="9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389074</xdr:colOff>
      <xdr:row>2</xdr:row>
      <xdr:rowOff>90854</xdr:rowOff>
    </xdr:from>
    <xdr:to>
      <xdr:col>2</xdr:col>
      <xdr:colOff>33752</xdr:colOff>
      <xdr:row>4</xdr:row>
      <xdr:rowOff>30183</xdr:rowOff>
    </xdr:to>
    <xdr:sp macro="" textlink="'Variable Management'!B388">
      <xdr:nvSpPr>
        <xdr:cNvPr id="32" name="Text Box 283">
          <a:extLst>
            <a:ext uri="{FF2B5EF4-FFF2-40B4-BE49-F238E27FC236}">
              <a16:creationId xmlns:a16="http://schemas.microsoft.com/office/drawing/2014/main" id="{00000000-0008-0000-0100-000020000000}"/>
            </a:ext>
          </a:extLst>
        </xdr:cNvPr>
        <xdr:cNvSpPr txBox="1">
          <a:spLocks noChangeArrowheads="1" noTextEdit="1"/>
        </xdr:cNvSpPr>
      </xdr:nvSpPr>
      <xdr:spPr bwMode="auto">
        <a:xfrm>
          <a:off x="1027249" y="414704"/>
          <a:ext cx="997228" cy="263179"/>
        </a:xfrm>
        <a:prstGeom prst="rect">
          <a:avLst/>
        </a:prstGeom>
        <a:noFill/>
        <a:ln w="9525">
          <a:noFill/>
          <a:miter lim="800000"/>
          <a:headEnd/>
          <a:tailEnd/>
        </a:ln>
      </xdr:spPr>
      <xdr:txBody>
        <a:bodyPr vertOverflow="clip" wrap="square" lIns="27432" tIns="22860" rIns="0" bIns="0" anchor="t" upright="1"/>
        <a:lstStyle/>
        <a:p>
          <a:pPr algn="l" rtl="0">
            <a:defRPr sz="1000"/>
          </a:pPr>
          <a:fld id="{B114F7CE-60BB-40BD-BD7F-B22E7592FFCF}" type="TxLink">
            <a:rPr lang="en-US" sz="1050" b="1" i="0" u="none" strike="noStrike">
              <a:solidFill>
                <a:srgbClr val="FF0000"/>
              </a:solidFill>
              <a:latin typeface="Arial"/>
              <a:cs typeface="Arial"/>
            </a:rPr>
            <a:pPr algn="l" rtl="0">
              <a:defRPr sz="1000"/>
            </a:pPr>
            <a:t>36V...51V</a:t>
          </a:fld>
          <a:endParaRPr lang="en-US" sz="1050" b="1" i="0" strike="noStrike">
            <a:solidFill>
              <a:srgbClr val="FF0000"/>
            </a:solidFill>
            <a:latin typeface="Arial" pitchFamily="34" charset="0"/>
            <a:cs typeface="Arial" pitchFamily="34" charset="0"/>
          </a:endParaRPr>
        </a:p>
      </xdr:txBody>
    </xdr:sp>
    <xdr:clientData/>
  </xdr:twoCellAnchor>
  <xdr:twoCellAnchor editAs="absolute">
    <xdr:from>
      <xdr:col>3</xdr:col>
      <xdr:colOff>82930</xdr:colOff>
      <xdr:row>3</xdr:row>
      <xdr:rowOff>74154</xdr:rowOff>
    </xdr:from>
    <xdr:to>
      <xdr:col>3</xdr:col>
      <xdr:colOff>493087</xdr:colOff>
      <xdr:row>4</xdr:row>
      <xdr:rowOff>153873</xdr:rowOff>
    </xdr:to>
    <xdr:sp macro="" textlink="">
      <xdr:nvSpPr>
        <xdr:cNvPr id="33" name="Text Box 248">
          <a:extLst>
            <a:ext uri="{FF2B5EF4-FFF2-40B4-BE49-F238E27FC236}">
              <a16:creationId xmlns:a16="http://schemas.microsoft.com/office/drawing/2014/main" id="{00000000-0008-0000-0100-000021000000}"/>
            </a:ext>
          </a:extLst>
        </xdr:cNvPr>
        <xdr:cNvSpPr txBox="1">
          <a:spLocks noChangeArrowheads="1"/>
        </xdr:cNvSpPr>
      </xdr:nvSpPr>
      <xdr:spPr bwMode="auto">
        <a:xfrm>
          <a:off x="3149980" y="559929"/>
          <a:ext cx="410157" cy="24164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4</xdr:col>
      <xdr:colOff>786366</xdr:colOff>
      <xdr:row>32</xdr:row>
      <xdr:rowOff>51348</xdr:rowOff>
    </xdr:from>
    <xdr:to>
      <xdr:col>5</xdr:col>
      <xdr:colOff>61458</xdr:colOff>
      <xdr:row>33</xdr:row>
      <xdr:rowOff>125538</xdr:rowOff>
    </xdr:to>
    <xdr:sp macro="" textlink="">
      <xdr:nvSpPr>
        <xdr:cNvPr id="34" name="Text Box 279">
          <a:extLst>
            <a:ext uri="{FF2B5EF4-FFF2-40B4-BE49-F238E27FC236}">
              <a16:creationId xmlns:a16="http://schemas.microsoft.com/office/drawing/2014/main" id="{00000000-0008-0000-0100-000022000000}"/>
            </a:ext>
          </a:extLst>
        </xdr:cNvPr>
        <xdr:cNvSpPr txBox="1">
          <a:spLocks noChangeArrowheads="1"/>
        </xdr:cNvSpPr>
      </xdr:nvSpPr>
      <xdr:spPr bwMode="auto">
        <a:xfrm>
          <a:off x="5196441" y="5232948"/>
          <a:ext cx="427617" cy="236115"/>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470nF</a:t>
          </a:r>
          <a:endParaRPr lang="en-US" sz="1000">
            <a:latin typeface="Arial" pitchFamily="34" charset="0"/>
            <a:cs typeface="Arial" pitchFamily="34" charset="0"/>
          </a:endParaRPr>
        </a:p>
      </xdr:txBody>
    </xdr:sp>
    <xdr:clientData/>
  </xdr:twoCellAnchor>
  <xdr:twoCellAnchor editAs="absolute">
    <xdr:from>
      <xdr:col>2</xdr:col>
      <xdr:colOff>551311</xdr:colOff>
      <xdr:row>7</xdr:row>
      <xdr:rowOff>49455</xdr:rowOff>
    </xdr:from>
    <xdr:to>
      <xdr:col>2</xdr:col>
      <xdr:colOff>1014103</xdr:colOff>
      <xdr:row>8</xdr:row>
      <xdr:rowOff>110805</xdr:rowOff>
    </xdr:to>
    <xdr:sp macro="" textlink="">
      <xdr:nvSpPr>
        <xdr:cNvPr id="35" name="Text Box 247">
          <a:extLst>
            <a:ext uri="{FF2B5EF4-FFF2-40B4-BE49-F238E27FC236}">
              <a16:creationId xmlns:a16="http://schemas.microsoft.com/office/drawing/2014/main" id="{00000000-0008-0000-0100-000023000000}"/>
            </a:ext>
          </a:extLst>
        </xdr:cNvPr>
        <xdr:cNvSpPr txBox="1">
          <a:spLocks noChangeArrowheads="1"/>
        </xdr:cNvSpPr>
      </xdr:nvSpPr>
      <xdr:spPr bwMode="auto">
        <a:xfrm>
          <a:off x="2542036" y="1182930"/>
          <a:ext cx="462792" cy="223275"/>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2</xdr:col>
      <xdr:colOff>335584</xdr:colOff>
      <xdr:row>3</xdr:row>
      <xdr:rowOff>102202</xdr:rowOff>
    </xdr:from>
    <xdr:to>
      <xdr:col>2</xdr:col>
      <xdr:colOff>711593</xdr:colOff>
      <xdr:row>5</xdr:row>
      <xdr:rowOff>31554</xdr:rowOff>
    </xdr:to>
    <xdr:sp macro="" textlink="">
      <xdr:nvSpPr>
        <xdr:cNvPr id="36" name="Text Box 249">
          <a:extLst>
            <a:ext uri="{FF2B5EF4-FFF2-40B4-BE49-F238E27FC236}">
              <a16:creationId xmlns:a16="http://schemas.microsoft.com/office/drawing/2014/main" id="{00000000-0008-0000-0100-000024000000}"/>
            </a:ext>
          </a:extLst>
        </xdr:cNvPr>
        <xdr:cNvSpPr txBox="1">
          <a:spLocks noChangeArrowheads="1"/>
        </xdr:cNvSpPr>
      </xdr:nvSpPr>
      <xdr:spPr bwMode="auto">
        <a:xfrm>
          <a:off x="2326309" y="587977"/>
          <a:ext cx="376009" cy="25320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VCC1</a:t>
          </a:r>
        </a:p>
      </xdr:txBody>
    </xdr:sp>
    <xdr:clientData/>
  </xdr:twoCellAnchor>
  <xdr:twoCellAnchor editAs="absolute">
    <xdr:from>
      <xdr:col>2</xdr:col>
      <xdr:colOff>358133</xdr:colOff>
      <xdr:row>5</xdr:row>
      <xdr:rowOff>25459</xdr:rowOff>
    </xdr:from>
    <xdr:to>
      <xdr:col>2</xdr:col>
      <xdr:colOff>810191</xdr:colOff>
      <xdr:row>6</xdr:row>
      <xdr:rowOff>97632</xdr:rowOff>
    </xdr:to>
    <xdr:sp macro="" textlink="">
      <xdr:nvSpPr>
        <xdr:cNvPr id="37" name="Text Box 279">
          <a:extLst>
            <a:ext uri="{FF2B5EF4-FFF2-40B4-BE49-F238E27FC236}">
              <a16:creationId xmlns:a16="http://schemas.microsoft.com/office/drawing/2014/main" id="{00000000-0008-0000-0100-000025000000}"/>
            </a:ext>
          </a:extLst>
        </xdr:cNvPr>
        <xdr:cNvSpPr txBox="1">
          <a:spLocks noChangeArrowheads="1"/>
        </xdr:cNvSpPr>
      </xdr:nvSpPr>
      <xdr:spPr bwMode="auto">
        <a:xfrm>
          <a:off x="2348858" y="835084"/>
          <a:ext cx="452058" cy="234098"/>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6</xdr:col>
      <xdr:colOff>542992</xdr:colOff>
      <xdr:row>8</xdr:row>
      <xdr:rowOff>130514</xdr:rowOff>
    </xdr:from>
    <xdr:to>
      <xdr:col>7</xdr:col>
      <xdr:colOff>232513</xdr:colOff>
      <xdr:row>10</xdr:row>
      <xdr:rowOff>82171</xdr:rowOff>
    </xdr:to>
    <xdr:sp macro="" textlink="">
      <xdr:nvSpPr>
        <xdr:cNvPr id="38" name="Text Box 235">
          <a:extLst>
            <a:ext uri="{FF2B5EF4-FFF2-40B4-BE49-F238E27FC236}">
              <a16:creationId xmlns:a16="http://schemas.microsoft.com/office/drawing/2014/main" id="{00000000-0008-0000-0100-000026000000}"/>
            </a:ext>
          </a:extLst>
        </xdr:cNvPr>
        <xdr:cNvSpPr txBox="1">
          <a:spLocks noChangeArrowheads="1"/>
        </xdr:cNvSpPr>
      </xdr:nvSpPr>
      <xdr:spPr bwMode="auto">
        <a:xfrm>
          <a:off x="7477192" y="1425914"/>
          <a:ext cx="337221" cy="27550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O2</a:t>
          </a:r>
        </a:p>
      </xdr:txBody>
    </xdr:sp>
    <xdr:clientData/>
  </xdr:twoCellAnchor>
  <xdr:twoCellAnchor editAs="absolute">
    <xdr:from>
      <xdr:col>6</xdr:col>
      <xdr:colOff>493138</xdr:colOff>
      <xdr:row>11</xdr:row>
      <xdr:rowOff>33204</xdr:rowOff>
    </xdr:from>
    <xdr:to>
      <xdr:col>7</xdr:col>
      <xdr:colOff>292216</xdr:colOff>
      <xdr:row>12</xdr:row>
      <xdr:rowOff>79640</xdr:rowOff>
    </xdr:to>
    <xdr:sp macro="" textlink="'Variable Management'!D339">
      <xdr:nvSpPr>
        <xdr:cNvPr id="39" name="Text Box 275">
          <a:extLst>
            <a:ext uri="{FF2B5EF4-FFF2-40B4-BE49-F238E27FC236}">
              <a16:creationId xmlns:a16="http://schemas.microsoft.com/office/drawing/2014/main" id="{00000000-0008-0000-0100-000027000000}"/>
            </a:ext>
          </a:extLst>
        </xdr:cNvPr>
        <xdr:cNvSpPr txBox="1">
          <a:spLocks noChangeArrowheads="1" noTextEdit="1"/>
        </xdr:cNvSpPr>
      </xdr:nvSpPr>
      <xdr:spPr bwMode="auto">
        <a:xfrm>
          <a:off x="7427338" y="1814379"/>
          <a:ext cx="446778" cy="208361"/>
        </a:xfrm>
        <a:prstGeom prst="rect">
          <a:avLst/>
        </a:prstGeom>
        <a:noFill/>
        <a:ln w="9525">
          <a:noFill/>
          <a:miter lim="800000"/>
          <a:headEnd/>
          <a:tailEnd/>
        </a:ln>
      </xdr:spPr>
      <xdr:txBody>
        <a:bodyPr vertOverflow="clip" wrap="square" lIns="27432" tIns="22860" rIns="0" bIns="0" anchor="ctr" upright="1"/>
        <a:lstStyle/>
        <a:p>
          <a:pPr algn="ctr" rtl="0">
            <a:defRPr sz="1000"/>
          </a:pPr>
          <a:fld id="{2F63E7DC-2453-4724-968B-35D106402735}" type="TxLink">
            <a:rPr lang="en-US" sz="1000" b="0" i="0" u="none" strike="noStrike" baseline="0">
              <a:solidFill>
                <a:srgbClr val="000000"/>
              </a:solidFill>
              <a:latin typeface="Arial"/>
              <a:cs typeface="Arial"/>
            </a:rPr>
            <a:pPr algn="ctr" rtl="0">
              <a:defRPr sz="1000"/>
            </a:pPr>
            <a:t>10µH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7</xdr:col>
      <xdr:colOff>442930</xdr:colOff>
      <xdr:row>7</xdr:row>
      <xdr:rowOff>145281</xdr:rowOff>
    </xdr:from>
    <xdr:to>
      <xdr:col>7</xdr:col>
      <xdr:colOff>686791</xdr:colOff>
      <xdr:row>9</xdr:row>
      <xdr:rowOff>42727</xdr:rowOff>
    </xdr:to>
    <xdr:sp macro="" textlink="">
      <xdr:nvSpPr>
        <xdr:cNvPr id="40" name="Text Box 234">
          <a:extLst>
            <a:ext uri="{FF2B5EF4-FFF2-40B4-BE49-F238E27FC236}">
              <a16:creationId xmlns:a16="http://schemas.microsoft.com/office/drawing/2014/main" id="{00000000-0008-0000-0100-000028000000}"/>
            </a:ext>
          </a:extLst>
        </xdr:cNvPr>
        <xdr:cNvSpPr txBox="1">
          <a:spLocks noChangeArrowheads="1"/>
        </xdr:cNvSpPr>
      </xdr:nvSpPr>
      <xdr:spPr bwMode="auto">
        <a:xfrm>
          <a:off x="8024830" y="1278756"/>
          <a:ext cx="243861" cy="22129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S2</a:t>
          </a:r>
        </a:p>
      </xdr:txBody>
    </xdr:sp>
    <xdr:clientData/>
  </xdr:twoCellAnchor>
  <xdr:twoCellAnchor editAs="absolute">
    <xdr:from>
      <xdr:col>7</xdr:col>
      <xdr:colOff>333992</xdr:colOff>
      <xdr:row>9</xdr:row>
      <xdr:rowOff>5547</xdr:rowOff>
    </xdr:from>
    <xdr:to>
      <xdr:col>7</xdr:col>
      <xdr:colOff>814937</xdr:colOff>
      <xdr:row>10</xdr:row>
      <xdr:rowOff>117614</xdr:rowOff>
    </xdr:to>
    <xdr:sp macro="" textlink="'Variable Management'!D341">
      <xdr:nvSpPr>
        <xdr:cNvPr id="41" name="Text Box 275">
          <a:extLst>
            <a:ext uri="{FF2B5EF4-FFF2-40B4-BE49-F238E27FC236}">
              <a16:creationId xmlns:a16="http://schemas.microsoft.com/office/drawing/2014/main" id="{00000000-0008-0000-0100-000029000000}"/>
            </a:ext>
          </a:extLst>
        </xdr:cNvPr>
        <xdr:cNvSpPr txBox="1">
          <a:spLocks noChangeArrowheads="1" noTextEdit="1"/>
        </xdr:cNvSpPr>
      </xdr:nvSpPr>
      <xdr:spPr bwMode="auto">
        <a:xfrm>
          <a:off x="7915892" y="1462872"/>
          <a:ext cx="480945" cy="273992"/>
        </a:xfrm>
        <a:prstGeom prst="rect">
          <a:avLst/>
        </a:prstGeom>
        <a:noFill/>
        <a:ln w="9525">
          <a:noFill/>
          <a:miter lim="800000"/>
          <a:headEnd/>
          <a:tailEnd/>
        </a:ln>
      </xdr:spPr>
      <xdr:txBody>
        <a:bodyPr vertOverflow="clip" wrap="square" lIns="27432" tIns="22860" rIns="0" bIns="0" anchor="ctr" upright="1"/>
        <a:lstStyle/>
        <a:p>
          <a:pPr algn="ctr" rtl="0">
            <a:defRPr sz="1000"/>
          </a:pPr>
          <a:fld id="{60FAD3C8-B2D7-499A-BD55-279D7DCA2E93}" type="TxLink">
            <a:rPr lang="en-US" sz="1000" b="0" i="0" u="none" strike="noStrike" baseline="0">
              <a:solidFill>
                <a:srgbClr val="000000"/>
              </a:solidFill>
              <a:latin typeface="Arial"/>
              <a:cs typeface="Arial"/>
            </a:rPr>
            <a:pPr algn="ctr" rtl="0">
              <a:defRPr sz="1000"/>
            </a:pPr>
            <a:t>2.2mΩ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7</xdr:col>
      <xdr:colOff>699873</xdr:colOff>
      <xdr:row>11</xdr:row>
      <xdr:rowOff>119100</xdr:rowOff>
    </xdr:from>
    <xdr:to>
      <xdr:col>8</xdr:col>
      <xdr:colOff>8795</xdr:colOff>
      <xdr:row>13</xdr:row>
      <xdr:rowOff>26530</xdr:rowOff>
    </xdr:to>
    <xdr:sp macro="" textlink="">
      <xdr:nvSpPr>
        <xdr:cNvPr id="42" name="Text Box 228">
          <a:extLst>
            <a:ext uri="{FF2B5EF4-FFF2-40B4-BE49-F238E27FC236}">
              <a16:creationId xmlns:a16="http://schemas.microsoft.com/office/drawing/2014/main" id="{00000000-0008-0000-0100-00002A000000}"/>
            </a:ext>
          </a:extLst>
        </xdr:cNvPr>
        <xdr:cNvSpPr txBox="1">
          <a:spLocks noChangeArrowheads="1"/>
        </xdr:cNvSpPr>
      </xdr:nvSpPr>
      <xdr:spPr bwMode="auto">
        <a:xfrm>
          <a:off x="8281773" y="1900275"/>
          <a:ext cx="385247" cy="231280"/>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O2</a:t>
          </a:r>
        </a:p>
      </xdr:txBody>
    </xdr:sp>
    <xdr:clientData/>
  </xdr:twoCellAnchor>
  <xdr:twoCellAnchor editAs="absolute">
    <xdr:from>
      <xdr:col>7</xdr:col>
      <xdr:colOff>673381</xdr:colOff>
      <xdr:row>13</xdr:row>
      <xdr:rowOff>4119</xdr:rowOff>
    </xdr:from>
    <xdr:to>
      <xdr:col>8</xdr:col>
      <xdr:colOff>37004</xdr:colOff>
      <xdr:row>14</xdr:row>
      <xdr:rowOff>47211</xdr:rowOff>
    </xdr:to>
    <xdr:sp macro="" textlink="'Variable Management'!D345">
      <xdr:nvSpPr>
        <xdr:cNvPr id="43" name="Text Box 267">
          <a:extLst>
            <a:ext uri="{FF2B5EF4-FFF2-40B4-BE49-F238E27FC236}">
              <a16:creationId xmlns:a16="http://schemas.microsoft.com/office/drawing/2014/main" id="{00000000-0008-0000-0100-00002B000000}"/>
            </a:ext>
          </a:extLst>
        </xdr:cNvPr>
        <xdr:cNvSpPr txBox="1">
          <a:spLocks noChangeArrowheads="1" noTextEdit="1"/>
        </xdr:cNvSpPr>
      </xdr:nvSpPr>
      <xdr:spPr bwMode="auto">
        <a:xfrm>
          <a:off x="8255281" y="2109144"/>
          <a:ext cx="439948" cy="205017"/>
        </a:xfrm>
        <a:prstGeom prst="rect">
          <a:avLst/>
        </a:prstGeom>
        <a:noFill/>
        <a:ln w="9525">
          <a:noFill/>
          <a:miter lim="800000"/>
          <a:headEnd/>
          <a:tailEnd/>
        </a:ln>
      </xdr:spPr>
      <xdr:txBody>
        <a:bodyPr vertOverflow="clip" wrap="square" lIns="27432" tIns="22860" rIns="0" bIns="0" anchor="ctr" upright="1"/>
        <a:lstStyle/>
        <a:p>
          <a:pPr algn="l" rtl="0">
            <a:defRPr sz="1000"/>
          </a:pPr>
          <a:fld id="{B2AFD63C-308B-40D8-9608-99758D799EB5}" type="TxLink">
            <a:rPr lang="en-US" sz="1000" b="0" i="0" u="none" strike="noStrike" baseline="0">
              <a:solidFill>
                <a:srgbClr val="000000"/>
              </a:solidFill>
              <a:latin typeface="Arial"/>
              <a:cs typeface="Arial"/>
            </a:rPr>
            <a:pPr algn="l" rtl="0">
              <a:defRPr sz="1000"/>
            </a:pPr>
            <a:t>102µF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3</xdr:col>
      <xdr:colOff>1286322</xdr:colOff>
      <xdr:row>32</xdr:row>
      <xdr:rowOff>88557</xdr:rowOff>
    </xdr:from>
    <xdr:to>
      <xdr:col>4</xdr:col>
      <xdr:colOff>380940</xdr:colOff>
      <xdr:row>33</xdr:row>
      <xdr:rowOff>160844</xdr:rowOff>
    </xdr:to>
    <xdr:sp macro="" textlink="'Variable Management'!B382">
      <xdr:nvSpPr>
        <xdr:cNvPr id="44" name="Text Box 281">
          <a:extLst>
            <a:ext uri="{FF2B5EF4-FFF2-40B4-BE49-F238E27FC236}">
              <a16:creationId xmlns:a16="http://schemas.microsoft.com/office/drawing/2014/main" id="{00000000-0008-0000-0100-00002C000000}"/>
            </a:ext>
          </a:extLst>
        </xdr:cNvPr>
        <xdr:cNvSpPr txBox="1">
          <a:spLocks noChangeArrowheads="1" noTextEdit="1"/>
        </xdr:cNvSpPr>
      </xdr:nvSpPr>
      <xdr:spPr bwMode="auto">
        <a:xfrm>
          <a:off x="4353372" y="5270157"/>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322769A2-A935-402D-A6FA-E206A769B9F2}" type="TxLink">
            <a:rPr lang="en-US" sz="1000" b="0" i="0" u="none" strike="noStrike">
              <a:solidFill>
                <a:srgbClr val="000000"/>
              </a:solidFill>
              <a:latin typeface="Arial"/>
              <a:cs typeface="Arial"/>
            </a:rPr>
            <a:pPr algn="ctr"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8</xdr:col>
      <xdr:colOff>317575</xdr:colOff>
      <xdr:row>10</xdr:row>
      <xdr:rowOff>5781</xdr:rowOff>
    </xdr:from>
    <xdr:to>
      <xdr:col>8</xdr:col>
      <xdr:colOff>796749</xdr:colOff>
      <xdr:row>11</xdr:row>
      <xdr:rowOff>88468</xdr:rowOff>
    </xdr:to>
    <xdr:sp macro="" textlink="'Variable Management'!D343">
      <xdr:nvSpPr>
        <xdr:cNvPr id="45" name="Text Box 285">
          <a:extLst>
            <a:ext uri="{FF2B5EF4-FFF2-40B4-BE49-F238E27FC236}">
              <a16:creationId xmlns:a16="http://schemas.microsoft.com/office/drawing/2014/main" id="{00000000-0008-0000-0100-00002D000000}"/>
            </a:ext>
          </a:extLst>
        </xdr:cNvPr>
        <xdr:cNvSpPr txBox="1">
          <a:spLocks noChangeArrowheads="1" noTextEdit="1"/>
        </xdr:cNvSpPr>
      </xdr:nvSpPr>
      <xdr:spPr bwMode="auto">
        <a:xfrm>
          <a:off x="8975800" y="1625031"/>
          <a:ext cx="479174" cy="244612"/>
        </a:xfrm>
        <a:prstGeom prst="rect">
          <a:avLst/>
        </a:prstGeom>
        <a:noFill/>
        <a:ln w="9525">
          <a:noFill/>
          <a:miter lim="800000"/>
          <a:headEnd/>
          <a:tailEnd/>
        </a:ln>
      </xdr:spPr>
      <xdr:txBody>
        <a:bodyPr vertOverflow="clip" wrap="square" lIns="27432" tIns="22860" rIns="0" bIns="0" anchor="ctr" upright="1"/>
        <a:lstStyle/>
        <a:p>
          <a:pPr algn="l" rtl="0">
            <a:defRPr sz="1000"/>
          </a:pPr>
          <a:fld id="{AE313110-4AE9-4356-BA49-88A0938F85FF}" type="TxLink">
            <a:rPr lang="en-US" sz="1000" b="1" i="0" u="none" strike="noStrike" baseline="0">
              <a:solidFill>
                <a:srgbClr val="FF0000"/>
              </a:solidFill>
              <a:latin typeface="Arial"/>
              <a:cs typeface="Arial"/>
            </a:rPr>
            <a:pPr algn="l" rtl="0">
              <a:defRPr sz="1000"/>
            </a:pPr>
            <a:t> </a:t>
          </a:fld>
          <a:endParaRPr lang="en-US" sz="1050" b="1" i="0" u="none" strike="noStrike" baseline="0">
            <a:solidFill>
              <a:srgbClr val="FF0000"/>
            </a:solidFill>
            <a:latin typeface="Arial" pitchFamily="34" charset="0"/>
            <a:cs typeface="Arial" pitchFamily="34" charset="0"/>
          </a:endParaRPr>
        </a:p>
      </xdr:txBody>
    </xdr:sp>
    <xdr:clientData/>
  </xdr:twoCellAnchor>
  <xdr:twoCellAnchor editAs="absolute">
    <xdr:from>
      <xdr:col>8</xdr:col>
      <xdr:colOff>327414</xdr:colOff>
      <xdr:row>11</xdr:row>
      <xdr:rowOff>58203</xdr:rowOff>
    </xdr:from>
    <xdr:to>
      <xdr:col>8</xdr:col>
      <xdr:colOff>780962</xdr:colOff>
      <xdr:row>12</xdr:row>
      <xdr:rowOff>138832</xdr:rowOff>
    </xdr:to>
    <xdr:sp macro="" textlink="'Variable Management'!D386">
      <xdr:nvSpPr>
        <xdr:cNvPr id="46" name="Text Box 286">
          <a:extLst>
            <a:ext uri="{FF2B5EF4-FFF2-40B4-BE49-F238E27FC236}">
              <a16:creationId xmlns:a16="http://schemas.microsoft.com/office/drawing/2014/main" id="{00000000-0008-0000-0100-00002E000000}"/>
            </a:ext>
          </a:extLst>
        </xdr:cNvPr>
        <xdr:cNvSpPr txBox="1">
          <a:spLocks noChangeArrowheads="1" noTextEdit="1"/>
        </xdr:cNvSpPr>
      </xdr:nvSpPr>
      <xdr:spPr bwMode="auto">
        <a:xfrm>
          <a:off x="8985639" y="1839378"/>
          <a:ext cx="453548" cy="242554"/>
        </a:xfrm>
        <a:prstGeom prst="rect">
          <a:avLst/>
        </a:prstGeom>
        <a:noFill/>
        <a:ln w="9525">
          <a:noFill/>
          <a:miter lim="800000"/>
          <a:headEnd/>
          <a:tailEnd/>
        </a:ln>
      </xdr:spPr>
      <xdr:txBody>
        <a:bodyPr vertOverflow="clip" wrap="square" lIns="27432" tIns="22860" rIns="0" bIns="0" anchor="t" upright="1"/>
        <a:lstStyle/>
        <a:p>
          <a:pPr algn="l" rtl="0">
            <a:defRPr sz="1000"/>
          </a:pPr>
          <a:fld id="{00875F72-81FD-4544-A8D5-3EBFCC9D309F}" type="TxLink">
            <a:rPr lang="en-US" sz="1000" b="1" i="0" u="none" strike="noStrike">
              <a:solidFill>
                <a:srgbClr val="FF0000"/>
              </a:solidFill>
              <a:latin typeface="Arial"/>
              <a:cs typeface="Arial"/>
            </a:rPr>
            <a:pPr algn="l" rtl="0">
              <a:defRPr sz="1000"/>
            </a:pPr>
            <a:t> </a:t>
          </a:fld>
          <a:endParaRPr lang="en-US" sz="1050" b="1" i="0" strike="noStrike">
            <a:solidFill>
              <a:srgbClr val="FF0000"/>
            </a:solidFill>
            <a:latin typeface="Arial" pitchFamily="34" charset="0"/>
            <a:cs typeface="Arial" pitchFamily="34" charset="0"/>
          </a:endParaRPr>
        </a:p>
      </xdr:txBody>
    </xdr:sp>
    <xdr:clientData/>
  </xdr:twoCellAnchor>
  <xdr:twoCellAnchor editAs="absolute">
    <xdr:from>
      <xdr:col>4</xdr:col>
      <xdr:colOff>360386</xdr:colOff>
      <xdr:row>31</xdr:row>
      <xdr:rowOff>44509</xdr:rowOff>
    </xdr:from>
    <xdr:to>
      <xdr:col>4</xdr:col>
      <xdr:colOff>687542</xdr:colOff>
      <xdr:row>32</xdr:row>
      <xdr:rowOff>142603</xdr:rowOff>
    </xdr:to>
    <xdr:sp macro="" textlink="">
      <xdr:nvSpPr>
        <xdr:cNvPr id="47" name="Text Box 251">
          <a:extLst>
            <a:ext uri="{FF2B5EF4-FFF2-40B4-BE49-F238E27FC236}">
              <a16:creationId xmlns:a16="http://schemas.microsoft.com/office/drawing/2014/main" id="{00000000-0008-0000-0100-00002F000000}"/>
            </a:ext>
          </a:extLst>
        </xdr:cNvPr>
        <xdr:cNvSpPr txBox="1">
          <a:spLocks noChangeArrowheads="1"/>
        </xdr:cNvSpPr>
      </xdr:nvSpPr>
      <xdr:spPr bwMode="auto">
        <a:xfrm>
          <a:off x="4770461" y="5064184"/>
          <a:ext cx="327156" cy="26001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RES</a:t>
          </a:r>
        </a:p>
      </xdr:txBody>
    </xdr:sp>
    <xdr:clientData/>
  </xdr:twoCellAnchor>
  <xdr:twoCellAnchor editAs="absolute">
    <xdr:from>
      <xdr:col>4</xdr:col>
      <xdr:colOff>333830</xdr:colOff>
      <xdr:row>32</xdr:row>
      <xdr:rowOff>89315</xdr:rowOff>
    </xdr:from>
    <xdr:to>
      <xdr:col>4</xdr:col>
      <xdr:colOff>771473</xdr:colOff>
      <xdr:row>33</xdr:row>
      <xdr:rowOff>161602</xdr:rowOff>
    </xdr:to>
    <xdr:sp macro="" textlink="'Variable Management'!B383">
      <xdr:nvSpPr>
        <xdr:cNvPr id="48" name="Text Box 281">
          <a:extLst>
            <a:ext uri="{FF2B5EF4-FFF2-40B4-BE49-F238E27FC236}">
              <a16:creationId xmlns:a16="http://schemas.microsoft.com/office/drawing/2014/main" id="{00000000-0008-0000-0100-000030000000}"/>
            </a:ext>
          </a:extLst>
        </xdr:cNvPr>
        <xdr:cNvSpPr txBox="1">
          <a:spLocks noChangeArrowheads="1" noTextEdit="1"/>
        </xdr:cNvSpPr>
      </xdr:nvSpPr>
      <xdr:spPr bwMode="auto">
        <a:xfrm>
          <a:off x="4743905" y="5270915"/>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7EB4F7F9-CE77-410B-B4F3-251CFE7816F2}" type="TxLink">
            <a:rPr lang="en-US" sz="1000" b="0" i="0" u="none" strike="noStrike">
              <a:solidFill>
                <a:srgbClr val="000000"/>
              </a:solidFill>
              <a:latin typeface="Arial"/>
              <a:cs typeface="Arial"/>
            </a:rPr>
            <a:pPr algn="ctr" rtl="0">
              <a:defRPr sz="1000"/>
            </a:pPr>
            <a:t>470nF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5</xdr:col>
      <xdr:colOff>1306355</xdr:colOff>
      <xdr:row>24</xdr:row>
      <xdr:rowOff>132056</xdr:rowOff>
    </xdr:from>
    <xdr:to>
      <xdr:col>6</xdr:col>
      <xdr:colOff>440271</xdr:colOff>
      <xdr:row>26</xdr:row>
      <xdr:rowOff>54540</xdr:rowOff>
    </xdr:to>
    <xdr:sp macro="" textlink="'Variable Management'!D354">
      <xdr:nvSpPr>
        <xdr:cNvPr id="49" name="Text Box 261">
          <a:extLst>
            <a:ext uri="{FF2B5EF4-FFF2-40B4-BE49-F238E27FC236}">
              <a16:creationId xmlns:a16="http://schemas.microsoft.com/office/drawing/2014/main" id="{00000000-0008-0000-0100-000031000000}"/>
            </a:ext>
          </a:extLst>
        </xdr:cNvPr>
        <xdr:cNvSpPr txBox="1">
          <a:spLocks noChangeArrowheads="1" noTextEdit="1"/>
        </xdr:cNvSpPr>
      </xdr:nvSpPr>
      <xdr:spPr bwMode="auto">
        <a:xfrm>
          <a:off x="6868955" y="4018256"/>
          <a:ext cx="505516" cy="246334"/>
        </a:xfrm>
        <a:prstGeom prst="rect">
          <a:avLst/>
        </a:prstGeom>
        <a:noFill/>
        <a:ln w="9525">
          <a:noFill/>
          <a:miter lim="800000"/>
          <a:headEnd/>
          <a:tailEnd/>
        </a:ln>
      </xdr:spPr>
      <xdr:txBody>
        <a:bodyPr vertOverflow="clip" wrap="square" lIns="27432" tIns="22860" rIns="0" bIns="0" anchor="ctr" upright="1"/>
        <a:lstStyle/>
        <a:p>
          <a:pPr algn="l" rtl="0">
            <a:defRPr sz="1000"/>
          </a:pPr>
          <a:fld id="{4DC9070C-4611-4454-862F-8BF8F515B22E}" type="TxLink">
            <a:rPr lang="en-US" sz="1000" b="0" i="0" u="none" strike="noStrike" baseline="0">
              <a:solidFill>
                <a:srgbClr val="000000"/>
              </a:solidFill>
              <a:latin typeface="Arial"/>
              <a:cs typeface="Arial"/>
            </a:rPr>
            <a:pPr algn="l" rtl="0">
              <a:defRPr sz="1000"/>
            </a:pPr>
            <a:t> </a:t>
          </a:fld>
          <a:endParaRPr lang="en-US" sz="9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812466</xdr:colOff>
      <xdr:row>25</xdr:row>
      <xdr:rowOff>4768</xdr:rowOff>
    </xdr:from>
    <xdr:to>
      <xdr:col>5</xdr:col>
      <xdr:colOff>1273227</xdr:colOff>
      <xdr:row>26</xdr:row>
      <xdr:rowOff>82260</xdr:rowOff>
    </xdr:to>
    <xdr:sp macro="" textlink="'Variable Management'!D353">
      <xdr:nvSpPr>
        <xdr:cNvPr id="50" name="Text Box 263">
          <a:extLst>
            <a:ext uri="{FF2B5EF4-FFF2-40B4-BE49-F238E27FC236}">
              <a16:creationId xmlns:a16="http://schemas.microsoft.com/office/drawing/2014/main" id="{00000000-0008-0000-0100-000032000000}"/>
            </a:ext>
          </a:extLst>
        </xdr:cNvPr>
        <xdr:cNvSpPr txBox="1">
          <a:spLocks noChangeArrowheads="1" noTextEdit="1"/>
        </xdr:cNvSpPr>
      </xdr:nvSpPr>
      <xdr:spPr bwMode="auto">
        <a:xfrm>
          <a:off x="6375066" y="4052893"/>
          <a:ext cx="460761" cy="239417"/>
        </a:xfrm>
        <a:prstGeom prst="rect">
          <a:avLst/>
        </a:prstGeom>
        <a:noFill/>
        <a:ln w="9525">
          <a:noFill/>
          <a:miter lim="800000"/>
          <a:headEnd/>
          <a:tailEnd/>
        </a:ln>
      </xdr:spPr>
      <xdr:txBody>
        <a:bodyPr vertOverflow="clip" wrap="square" lIns="27432" tIns="22860" rIns="0" bIns="0" anchor="ctr" upright="1"/>
        <a:lstStyle/>
        <a:p>
          <a:pPr algn="l" rtl="0">
            <a:defRPr sz="1000"/>
          </a:pPr>
          <a:fld id="{51C069D1-ABA1-4481-AAE8-8F33F807B29E}" type="TxLink">
            <a:rPr lang="en-US" sz="1000" b="0" i="0" u="none" strike="noStrike" baseline="0">
              <a:solidFill>
                <a:srgbClr val="000000"/>
              </a:solidFill>
              <a:latin typeface="Arial"/>
              <a:cs typeface="Arial"/>
            </a:rPr>
            <a:pPr algn="l" rtl="0">
              <a:defRPr sz="1000"/>
            </a:pPr>
            <a:t> </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1061260</xdr:colOff>
      <xdr:row>30</xdr:row>
      <xdr:rowOff>10588</xdr:rowOff>
    </xdr:from>
    <xdr:to>
      <xdr:col>6</xdr:col>
      <xdr:colOff>109866</xdr:colOff>
      <xdr:row>31</xdr:row>
      <xdr:rowOff>67162</xdr:rowOff>
    </xdr:to>
    <xdr:sp macro="" textlink="'Variable Management'!D355">
      <xdr:nvSpPr>
        <xdr:cNvPr id="51" name="Text Box 262">
          <a:extLst>
            <a:ext uri="{FF2B5EF4-FFF2-40B4-BE49-F238E27FC236}">
              <a16:creationId xmlns:a16="http://schemas.microsoft.com/office/drawing/2014/main" id="{00000000-0008-0000-0100-000033000000}"/>
            </a:ext>
          </a:extLst>
        </xdr:cNvPr>
        <xdr:cNvSpPr txBox="1">
          <a:spLocks noChangeArrowheads="1" noTextEdit="1"/>
        </xdr:cNvSpPr>
      </xdr:nvSpPr>
      <xdr:spPr bwMode="auto">
        <a:xfrm>
          <a:off x="6623860" y="4868338"/>
          <a:ext cx="420206" cy="218499"/>
        </a:xfrm>
        <a:prstGeom prst="rect">
          <a:avLst/>
        </a:prstGeom>
        <a:noFill/>
        <a:ln w="9525">
          <a:noFill/>
          <a:miter lim="800000"/>
          <a:headEnd/>
          <a:tailEnd/>
        </a:ln>
      </xdr:spPr>
      <xdr:txBody>
        <a:bodyPr vertOverflow="clip" wrap="square" lIns="27432" tIns="22860" rIns="0" bIns="0" anchor="ctr" upright="1"/>
        <a:lstStyle/>
        <a:p>
          <a:pPr algn="ctr" rtl="0">
            <a:defRPr sz="1000"/>
          </a:pPr>
          <a:fld id="{B54DC493-A440-4D94-AB5A-78A72A6D12C9}" type="TxLink">
            <a:rPr lang="en-US" sz="1000" b="0" i="0" u="none" strike="noStrike" baseline="0">
              <a:solidFill>
                <a:srgbClr val="000000"/>
              </a:solidFill>
              <a:latin typeface="Arial"/>
              <a:cs typeface="Arial"/>
            </a:rPr>
            <a:pPr algn="ctr" rtl="0">
              <a:defRPr sz="1000"/>
            </a:pPr>
            <a:t> </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1336311</xdr:colOff>
      <xdr:row>21</xdr:row>
      <xdr:rowOff>5273</xdr:rowOff>
    </xdr:from>
    <xdr:to>
      <xdr:col>6</xdr:col>
      <xdr:colOff>340720</xdr:colOff>
      <xdr:row>22</xdr:row>
      <xdr:rowOff>92154</xdr:rowOff>
    </xdr:to>
    <xdr:sp macro="" textlink="">
      <xdr:nvSpPr>
        <xdr:cNvPr id="52" name="Text Box 249">
          <a:extLst>
            <a:ext uri="{FF2B5EF4-FFF2-40B4-BE49-F238E27FC236}">
              <a16:creationId xmlns:a16="http://schemas.microsoft.com/office/drawing/2014/main" id="{00000000-0008-0000-0100-000034000000}"/>
            </a:ext>
          </a:extLst>
        </xdr:cNvPr>
        <xdr:cNvSpPr txBox="1">
          <a:spLocks noChangeArrowheads="1"/>
        </xdr:cNvSpPr>
      </xdr:nvSpPr>
      <xdr:spPr bwMode="auto">
        <a:xfrm>
          <a:off x="6898911" y="3405698"/>
          <a:ext cx="376009" cy="24880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VCCX</a:t>
          </a:r>
        </a:p>
      </xdr:txBody>
    </xdr:sp>
    <xdr:clientData/>
  </xdr:twoCellAnchor>
  <xdr:twoCellAnchor editAs="absolute">
    <xdr:from>
      <xdr:col>5</xdr:col>
      <xdr:colOff>1353417</xdr:colOff>
      <xdr:row>22</xdr:row>
      <xdr:rowOff>50849</xdr:rowOff>
    </xdr:from>
    <xdr:to>
      <xdr:col>6</xdr:col>
      <xdr:colOff>432410</xdr:colOff>
      <xdr:row>23</xdr:row>
      <xdr:rowOff>125953</xdr:rowOff>
    </xdr:to>
    <xdr:sp macro="" textlink="">
      <xdr:nvSpPr>
        <xdr:cNvPr id="53" name="Text Box 279">
          <a:extLst>
            <a:ext uri="{FF2B5EF4-FFF2-40B4-BE49-F238E27FC236}">
              <a16:creationId xmlns:a16="http://schemas.microsoft.com/office/drawing/2014/main" id="{00000000-0008-0000-0100-000035000000}"/>
            </a:ext>
          </a:extLst>
        </xdr:cNvPr>
        <xdr:cNvSpPr txBox="1">
          <a:spLocks noChangeArrowheads="1"/>
        </xdr:cNvSpPr>
      </xdr:nvSpPr>
      <xdr:spPr bwMode="auto">
        <a:xfrm>
          <a:off x="6916017" y="3613199"/>
          <a:ext cx="450593" cy="23702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5</xdr:col>
      <xdr:colOff>232907</xdr:colOff>
      <xdr:row>30</xdr:row>
      <xdr:rowOff>62142</xdr:rowOff>
    </xdr:from>
    <xdr:to>
      <xdr:col>5</xdr:col>
      <xdr:colOff>720824</xdr:colOff>
      <xdr:row>31</xdr:row>
      <xdr:rowOff>85347</xdr:rowOff>
    </xdr:to>
    <xdr:sp macro="" textlink="'Variable Management'!B362">
      <xdr:nvSpPr>
        <xdr:cNvPr id="54" name="Text Box 266">
          <a:extLst>
            <a:ext uri="{FF2B5EF4-FFF2-40B4-BE49-F238E27FC236}">
              <a16:creationId xmlns:a16="http://schemas.microsoft.com/office/drawing/2014/main" id="{00000000-0008-0000-0100-000036000000}"/>
            </a:ext>
          </a:extLst>
        </xdr:cNvPr>
        <xdr:cNvSpPr txBox="1">
          <a:spLocks noChangeArrowheads="1" noTextEdit="1"/>
        </xdr:cNvSpPr>
      </xdr:nvSpPr>
      <xdr:spPr bwMode="auto">
        <a:xfrm>
          <a:off x="5795507" y="4919892"/>
          <a:ext cx="487917" cy="185130"/>
        </a:xfrm>
        <a:prstGeom prst="rect">
          <a:avLst/>
        </a:prstGeom>
        <a:noFill/>
        <a:ln w="9525">
          <a:noFill/>
          <a:miter lim="800000"/>
          <a:headEnd/>
          <a:tailEnd/>
        </a:ln>
      </xdr:spPr>
      <xdr:txBody>
        <a:bodyPr vertOverflow="clip" wrap="square" lIns="27432" tIns="22860" rIns="0" bIns="0" anchor="t" upright="1"/>
        <a:lstStyle/>
        <a:p>
          <a:pPr algn="l" rtl="0">
            <a:defRPr sz="1000"/>
          </a:pPr>
          <a:fld id="{F0D4FEFA-1BCB-42BA-B0A4-AAEA1128161F}" type="TxLink">
            <a:rPr lang="en-US" sz="1000" b="0" i="0" u="none" strike="noStrike" baseline="0">
              <a:solidFill>
                <a:srgbClr val="000000"/>
              </a:solidFill>
              <a:latin typeface="Arialri"/>
              <a:cs typeface="Arial" pitchFamily="34" charset="0"/>
            </a:rPr>
            <a:pPr algn="l" rtl="0">
              <a:defRPr sz="1000"/>
            </a:pPr>
            <a:t>10nF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254916</xdr:colOff>
      <xdr:row>28</xdr:row>
      <xdr:rowOff>156904</xdr:rowOff>
    </xdr:from>
    <xdr:to>
      <xdr:col>5</xdr:col>
      <xdr:colOff>636692</xdr:colOff>
      <xdr:row>30</xdr:row>
      <xdr:rowOff>84367</xdr:rowOff>
    </xdr:to>
    <xdr:sp macro="" textlink="">
      <xdr:nvSpPr>
        <xdr:cNvPr id="55" name="Text Box 233">
          <a:extLst>
            <a:ext uri="{FF2B5EF4-FFF2-40B4-BE49-F238E27FC236}">
              <a16:creationId xmlns:a16="http://schemas.microsoft.com/office/drawing/2014/main" id="{00000000-0008-0000-0100-000037000000}"/>
            </a:ext>
          </a:extLst>
        </xdr:cNvPr>
        <xdr:cNvSpPr txBox="1">
          <a:spLocks noChangeArrowheads="1"/>
        </xdr:cNvSpPr>
      </xdr:nvSpPr>
      <xdr:spPr bwMode="auto">
        <a:xfrm>
          <a:off x="5817516" y="4690804"/>
          <a:ext cx="381776" cy="251313"/>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D</a:t>
          </a:r>
        </a:p>
      </xdr:txBody>
    </xdr:sp>
    <xdr:clientData/>
  </xdr:twoCellAnchor>
  <xdr:twoCellAnchor editAs="absolute">
    <xdr:from>
      <xdr:col>3</xdr:col>
      <xdr:colOff>848696</xdr:colOff>
      <xdr:row>31</xdr:row>
      <xdr:rowOff>59142</xdr:rowOff>
    </xdr:from>
    <xdr:to>
      <xdr:col>3</xdr:col>
      <xdr:colOff>1286339</xdr:colOff>
      <xdr:row>32</xdr:row>
      <xdr:rowOff>135824</xdr:rowOff>
    </xdr:to>
    <xdr:sp macro="" textlink="'Variable Management'!C381">
      <xdr:nvSpPr>
        <xdr:cNvPr id="56" name="Text Box 281">
          <a:extLst>
            <a:ext uri="{FF2B5EF4-FFF2-40B4-BE49-F238E27FC236}">
              <a16:creationId xmlns:a16="http://schemas.microsoft.com/office/drawing/2014/main" id="{00000000-0008-0000-0100-000038000000}"/>
            </a:ext>
          </a:extLst>
        </xdr:cNvPr>
        <xdr:cNvSpPr txBox="1">
          <a:spLocks noChangeArrowheads="1" noTextEdit="1"/>
        </xdr:cNvSpPr>
      </xdr:nvSpPr>
      <xdr:spPr bwMode="auto">
        <a:xfrm>
          <a:off x="3915746" y="5078817"/>
          <a:ext cx="437643" cy="238607"/>
        </a:xfrm>
        <a:prstGeom prst="rect">
          <a:avLst/>
        </a:prstGeom>
        <a:noFill/>
        <a:ln w="9525">
          <a:noFill/>
          <a:miter lim="800000"/>
          <a:headEnd/>
          <a:tailEnd/>
        </a:ln>
      </xdr:spPr>
      <xdr:txBody>
        <a:bodyPr vertOverflow="clip" wrap="square" lIns="27432" tIns="22860" rIns="0" bIns="0" anchor="t" upright="1"/>
        <a:lstStyle/>
        <a:p>
          <a:pPr algn="ctr" rtl="0">
            <a:defRPr sz="1000"/>
          </a:pPr>
          <a:fld id="{93649659-1DBC-410C-945D-E7A8A6F21F96}" type="TxLink">
            <a:rPr lang="en-US" sz="1000" b="0" i="0" u="none" strike="noStrike">
              <a:solidFill>
                <a:srgbClr val="000000"/>
              </a:solidFill>
              <a:latin typeface="Arial"/>
              <a:cs typeface="Arial"/>
            </a:rPr>
            <a:pPr algn="ctr" rtl="0">
              <a:defRPr sz="1000"/>
            </a:pPr>
            <a:t> </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3</xdr:col>
      <xdr:colOff>1264865</xdr:colOff>
      <xdr:row>31</xdr:row>
      <xdr:rowOff>82588</xdr:rowOff>
    </xdr:from>
    <xdr:to>
      <xdr:col>4</xdr:col>
      <xdr:colOff>359483</xdr:colOff>
      <xdr:row>32</xdr:row>
      <xdr:rowOff>154875</xdr:rowOff>
    </xdr:to>
    <xdr:sp macro="" textlink="'Variable Management'!C382">
      <xdr:nvSpPr>
        <xdr:cNvPr id="57" name="Text Box 281">
          <a:extLst>
            <a:ext uri="{FF2B5EF4-FFF2-40B4-BE49-F238E27FC236}">
              <a16:creationId xmlns:a16="http://schemas.microsoft.com/office/drawing/2014/main" id="{00000000-0008-0000-0100-000039000000}"/>
            </a:ext>
          </a:extLst>
        </xdr:cNvPr>
        <xdr:cNvSpPr txBox="1">
          <a:spLocks noChangeArrowheads="1" noTextEdit="1"/>
        </xdr:cNvSpPr>
      </xdr:nvSpPr>
      <xdr:spPr bwMode="auto">
        <a:xfrm>
          <a:off x="4331915" y="5102263"/>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05B54FCB-1143-412F-B29D-22C0191403DC}" type="TxLink">
            <a:rPr lang="en-US" sz="1000" b="0" i="0" u="none" strike="noStrike">
              <a:solidFill>
                <a:srgbClr val="000000"/>
              </a:solidFill>
              <a:latin typeface="Arial"/>
              <a:cs typeface="Arial"/>
            </a:rPr>
            <a:pPr algn="ctr" rtl="0">
              <a:defRPr sz="1000"/>
            </a:pPr>
            <a:t>Css</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5</xdr:col>
      <xdr:colOff>857342</xdr:colOff>
      <xdr:row>23</xdr:row>
      <xdr:rowOff>153688</xdr:rowOff>
    </xdr:from>
    <xdr:to>
      <xdr:col>5</xdr:col>
      <xdr:colOff>1318103</xdr:colOff>
      <xdr:row>25</xdr:row>
      <xdr:rowOff>66325</xdr:rowOff>
    </xdr:to>
    <xdr:sp macro="" textlink="'Variable Management'!C353">
      <xdr:nvSpPr>
        <xdr:cNvPr id="58" name="Text Box 263">
          <a:extLst>
            <a:ext uri="{FF2B5EF4-FFF2-40B4-BE49-F238E27FC236}">
              <a16:creationId xmlns:a16="http://schemas.microsoft.com/office/drawing/2014/main" id="{00000000-0008-0000-0100-00003A000000}"/>
            </a:ext>
          </a:extLst>
        </xdr:cNvPr>
        <xdr:cNvSpPr txBox="1">
          <a:spLocks noChangeArrowheads="1" noTextEdit="1"/>
        </xdr:cNvSpPr>
      </xdr:nvSpPr>
      <xdr:spPr bwMode="auto">
        <a:xfrm>
          <a:off x="6419942" y="3877963"/>
          <a:ext cx="460761" cy="236487"/>
        </a:xfrm>
        <a:prstGeom prst="rect">
          <a:avLst/>
        </a:prstGeom>
        <a:noFill/>
        <a:ln w="9525">
          <a:noFill/>
          <a:miter lim="800000"/>
          <a:headEnd/>
          <a:tailEnd/>
        </a:ln>
      </xdr:spPr>
      <xdr:txBody>
        <a:bodyPr vertOverflow="clip" wrap="square" lIns="27432" tIns="22860" rIns="0" bIns="0" anchor="ctr" upright="1"/>
        <a:lstStyle/>
        <a:p>
          <a:pPr algn="l" rtl="0">
            <a:defRPr sz="1000"/>
          </a:pPr>
          <a:fld id="{4C6F915B-5FDE-431D-BA20-F74B990C95E0}" type="TxLink">
            <a:rPr lang="en-US" sz="1000" b="0" i="0" u="none" strike="noStrike" baseline="0">
              <a:solidFill>
                <a:srgbClr val="000000"/>
              </a:solidFill>
              <a:latin typeface="Arial"/>
              <a:cs typeface="Arial"/>
            </a:rPr>
            <a:pPr algn="l" rtl="0">
              <a:defRPr sz="1000"/>
            </a:pPr>
            <a:t> </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1354107</xdr:colOff>
      <xdr:row>23</xdr:row>
      <xdr:rowOff>122915</xdr:rowOff>
    </xdr:from>
    <xdr:to>
      <xdr:col>6</xdr:col>
      <xdr:colOff>443268</xdr:colOff>
      <xdr:row>25</xdr:row>
      <xdr:rowOff>35552</xdr:rowOff>
    </xdr:to>
    <xdr:sp macro="" textlink="'Variable Management'!C354">
      <xdr:nvSpPr>
        <xdr:cNvPr id="59" name="Text Box 263">
          <a:extLst>
            <a:ext uri="{FF2B5EF4-FFF2-40B4-BE49-F238E27FC236}">
              <a16:creationId xmlns:a16="http://schemas.microsoft.com/office/drawing/2014/main" id="{00000000-0008-0000-0100-00003B000000}"/>
            </a:ext>
          </a:extLst>
        </xdr:cNvPr>
        <xdr:cNvSpPr txBox="1">
          <a:spLocks noChangeArrowheads="1" noTextEdit="1"/>
        </xdr:cNvSpPr>
      </xdr:nvSpPr>
      <xdr:spPr bwMode="auto">
        <a:xfrm>
          <a:off x="6916707" y="3847190"/>
          <a:ext cx="460761" cy="236487"/>
        </a:xfrm>
        <a:prstGeom prst="rect">
          <a:avLst/>
        </a:prstGeom>
        <a:noFill/>
        <a:ln w="9525">
          <a:noFill/>
          <a:miter lim="800000"/>
          <a:headEnd/>
          <a:tailEnd/>
        </a:ln>
      </xdr:spPr>
      <xdr:txBody>
        <a:bodyPr vertOverflow="clip" wrap="square" lIns="27432" tIns="22860" rIns="0" bIns="0" anchor="ctr" upright="1"/>
        <a:lstStyle/>
        <a:p>
          <a:pPr algn="l" rtl="0">
            <a:defRPr sz="1000"/>
          </a:pPr>
          <a:fld id="{169239A1-A17E-4F82-8427-F411D64B50BA}" type="TxLink">
            <a:rPr lang="en-US" sz="1000" b="0" i="0" u="none" strike="noStrike" baseline="0">
              <a:solidFill>
                <a:srgbClr val="000000"/>
              </a:solidFill>
              <a:latin typeface="Arial"/>
              <a:cs typeface="Arial"/>
            </a:rPr>
            <a:pPr algn="l" rtl="0">
              <a:defRPr sz="1000"/>
            </a:pPr>
            <a:t> </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1147488</xdr:colOff>
      <xdr:row>28</xdr:row>
      <xdr:rowOff>136836</xdr:rowOff>
    </xdr:from>
    <xdr:to>
      <xdr:col>6</xdr:col>
      <xdr:colOff>236649</xdr:colOff>
      <xdr:row>30</xdr:row>
      <xdr:rowOff>49473</xdr:rowOff>
    </xdr:to>
    <xdr:sp macro="" textlink="'Variable Management'!C355">
      <xdr:nvSpPr>
        <xdr:cNvPr id="60" name="Text Box 263">
          <a:extLst>
            <a:ext uri="{FF2B5EF4-FFF2-40B4-BE49-F238E27FC236}">
              <a16:creationId xmlns:a16="http://schemas.microsoft.com/office/drawing/2014/main" id="{00000000-0008-0000-0100-00003C000000}"/>
            </a:ext>
          </a:extLst>
        </xdr:cNvPr>
        <xdr:cNvSpPr txBox="1">
          <a:spLocks noChangeArrowheads="1" noTextEdit="1"/>
        </xdr:cNvSpPr>
      </xdr:nvSpPr>
      <xdr:spPr bwMode="auto">
        <a:xfrm>
          <a:off x="6710088" y="4670736"/>
          <a:ext cx="460761" cy="236487"/>
        </a:xfrm>
        <a:prstGeom prst="rect">
          <a:avLst/>
        </a:prstGeom>
        <a:noFill/>
        <a:ln w="9525">
          <a:noFill/>
          <a:miter lim="800000"/>
          <a:headEnd/>
          <a:tailEnd/>
        </a:ln>
      </xdr:spPr>
      <xdr:txBody>
        <a:bodyPr vertOverflow="clip" wrap="square" lIns="27432" tIns="22860" rIns="0" bIns="0" anchor="ctr" upright="1"/>
        <a:lstStyle/>
        <a:p>
          <a:pPr algn="l" rtl="0">
            <a:defRPr sz="1000"/>
          </a:pPr>
          <a:fld id="{B132B3F4-179D-4706-9653-4E2B9688EBF6}" type="TxLink">
            <a:rPr lang="en-US" sz="1000" b="0" i="0" u="none" strike="noStrike" baseline="0">
              <a:solidFill>
                <a:srgbClr val="000000"/>
              </a:solidFill>
              <a:latin typeface="Arial"/>
              <a:cs typeface="Arial"/>
            </a:rPr>
            <a:pPr algn="l" rtl="0">
              <a:defRPr sz="1000"/>
            </a:pPr>
            <a:t> </a:t>
          </a:fld>
          <a:endParaRPr lang="el-GR" sz="800" b="0" i="0" u="none" strike="noStrike" baseline="0">
            <a:solidFill>
              <a:srgbClr val="000000"/>
            </a:solidFill>
            <a:latin typeface="Arial" pitchFamily="34" charset="0"/>
            <a:cs typeface="Arial" pitchFamily="34" charset="0"/>
          </a:endParaRPr>
        </a:p>
      </xdr:txBody>
    </xdr:sp>
    <xdr:clientData/>
  </xdr:twoCellAnchor>
  <xdr:twoCellAnchor>
    <xdr:from>
      <xdr:col>3</xdr:col>
      <xdr:colOff>1047750</xdr:colOff>
      <xdr:row>14</xdr:row>
      <xdr:rowOff>38100</xdr:rowOff>
    </xdr:from>
    <xdr:to>
      <xdr:col>4</xdr:col>
      <xdr:colOff>928321</xdr:colOff>
      <xdr:row>20</xdr:row>
      <xdr:rowOff>19050</xdr:rowOff>
    </xdr:to>
    <xdr:sp macro="" textlink="'Variable Management'!X25">
      <xdr:nvSpPr>
        <xdr:cNvPr id="61" name="Text Box 24">
          <a:extLst>
            <a:ext uri="{FF2B5EF4-FFF2-40B4-BE49-F238E27FC236}">
              <a16:creationId xmlns:a16="http://schemas.microsoft.com/office/drawing/2014/main" id="{00000000-0008-0000-0100-00003D000000}"/>
            </a:ext>
          </a:extLst>
        </xdr:cNvPr>
        <xdr:cNvSpPr txBox="1">
          <a:spLocks noChangeArrowheads="1" noTextEdit="1"/>
        </xdr:cNvSpPr>
      </xdr:nvSpPr>
      <xdr:spPr bwMode="auto">
        <a:xfrm>
          <a:off x="4114800" y="2305050"/>
          <a:ext cx="1223596" cy="952500"/>
        </a:xfrm>
        <a:prstGeom prst="rect">
          <a:avLst/>
        </a:prstGeom>
        <a:solidFill>
          <a:srgbClr val="D1FFFF"/>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C5C27CF7-D706-47E0-A45D-5E0BE790EDB6}" type="TxLink">
            <a:rPr lang="en-US" sz="1400" b="1" i="0" u="none" strike="noStrike" baseline="0">
              <a:solidFill>
                <a:srgbClr val="FF0000"/>
              </a:solidFill>
              <a:latin typeface="Arial"/>
              <a:cs typeface="Arial"/>
            </a:rPr>
            <a:pPr algn="ctr" rtl="0">
              <a:defRPr sz="1000"/>
            </a:pPr>
            <a:t>LM5143</a:t>
          </a:fld>
          <a:endParaRPr lang="en-US" sz="2000" b="1" i="0" u="none" strike="noStrike" baseline="0">
            <a:solidFill>
              <a:srgbClr val="FF0000"/>
            </a:solidFill>
            <a:latin typeface="Arial" pitchFamily="34" charset="0"/>
            <a:cs typeface="Arial"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257175</xdr:colOff>
      <xdr:row>6</xdr:row>
      <xdr:rowOff>114300</xdr:rowOff>
    </xdr:from>
    <xdr:to>
      <xdr:col>12</xdr:col>
      <xdr:colOff>369105</xdr:colOff>
      <xdr:row>43</xdr:row>
      <xdr:rowOff>66675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7175" y="1619250"/>
          <a:ext cx="7427130" cy="5943600"/>
        </a:xfrm>
        <a:prstGeom prst="rect">
          <a:avLst/>
        </a:prstGeom>
      </xdr:spPr>
    </xdr:pic>
    <xdr:clientData/>
  </xdr:twoCellAnchor>
  <xdr:twoCellAnchor editAs="oneCell">
    <xdr:from>
      <xdr:col>12</xdr:col>
      <xdr:colOff>542925</xdr:colOff>
      <xdr:row>6</xdr:row>
      <xdr:rowOff>114299</xdr:rowOff>
    </xdr:from>
    <xdr:to>
      <xdr:col>24</xdr:col>
      <xdr:colOff>17043</xdr:colOff>
      <xdr:row>43</xdr:row>
      <xdr:rowOff>66674</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858125" y="1619249"/>
          <a:ext cx="7408443" cy="59436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352425</xdr:colOff>
      <xdr:row>23</xdr:row>
      <xdr:rowOff>104775</xdr:rowOff>
    </xdr:from>
    <xdr:to>
      <xdr:col>19</xdr:col>
      <xdr:colOff>561975</xdr:colOff>
      <xdr:row>54</xdr:row>
      <xdr:rowOff>152400</xdr:rowOff>
    </xdr:to>
    <xdr:grpSp>
      <xdr:nvGrpSpPr>
        <xdr:cNvPr id="2" name="Group 14">
          <a:extLst>
            <a:ext uri="{FF2B5EF4-FFF2-40B4-BE49-F238E27FC236}">
              <a16:creationId xmlns:a16="http://schemas.microsoft.com/office/drawing/2014/main" id="{00000000-0008-0000-0300-000002000000}"/>
            </a:ext>
          </a:extLst>
        </xdr:cNvPr>
        <xdr:cNvGrpSpPr>
          <a:grpSpLocks/>
        </xdr:cNvGrpSpPr>
      </xdr:nvGrpSpPr>
      <xdr:grpSpPr bwMode="auto">
        <a:xfrm>
          <a:off x="12461875" y="4073525"/>
          <a:ext cx="6432550" cy="5172075"/>
          <a:chOff x="3209925" y="19650076"/>
          <a:chExt cx="5619750" cy="5910101"/>
        </a:xfrm>
      </xdr:grpSpPr>
      <xdr:pic>
        <xdr:nvPicPr>
          <xdr:cNvPr id="3" name="Picture 11" descr="Error amp - no ref des.tif">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3209925" y="19659867"/>
            <a:ext cx="5619750" cy="5900310"/>
          </a:xfrm>
          <a:prstGeom prst="rect">
            <a:avLst/>
          </a:prstGeom>
          <a:noFill/>
          <a:ln w="9525">
            <a:noFill/>
            <a:miter lim="800000"/>
            <a:headEnd/>
            <a:tailEnd/>
          </a:ln>
        </xdr:spPr>
      </xdr:pic>
      <xdr:sp macro="" textlink="$A$354">
        <xdr:nvSpPr>
          <xdr:cNvPr id="4" name="Text Box 5">
            <a:extLst>
              <a:ext uri="{FF2B5EF4-FFF2-40B4-BE49-F238E27FC236}">
                <a16:creationId xmlns:a16="http://schemas.microsoft.com/office/drawing/2014/main" id="{00000000-0008-0000-0300-000004000000}"/>
              </a:ext>
            </a:extLst>
          </xdr:cNvPr>
          <xdr:cNvSpPr txBox="1">
            <a:spLocks noChangeArrowheads="1" noTextEdit="1"/>
          </xdr:cNvSpPr>
        </xdr:nvSpPr>
        <xdr:spPr bwMode="auto">
          <a:xfrm>
            <a:off x="5400675" y="23797353"/>
            <a:ext cx="961159" cy="287619"/>
          </a:xfrm>
          <a:prstGeom prst="rect">
            <a:avLst/>
          </a:prstGeom>
          <a:noFill/>
          <a:ln w="9525">
            <a:noFill/>
            <a:miter lim="800000"/>
            <a:headEnd/>
            <a:tailEnd/>
          </a:ln>
        </xdr:spPr>
        <xdr:txBody>
          <a:bodyPr vertOverflow="clip" wrap="square" lIns="27432" tIns="22860" rIns="0" bIns="0" anchor="t" upright="1"/>
          <a:lstStyle/>
          <a:p>
            <a:pPr algn="l" rtl="0">
              <a:defRPr sz="1000"/>
            </a:pPr>
            <a:fld id="{646744A9-B6E0-4B97-A665-5D50832E7F13}" type="TxLink">
              <a:rPr lang="en-US" sz="1000" b="1" i="0" u="none" strike="noStrike" baseline="0">
                <a:solidFill>
                  <a:srgbClr val="000000"/>
                </a:solidFill>
                <a:latin typeface="Arialri"/>
                <a:cs typeface="Arial"/>
              </a:rPr>
              <a:pPr algn="l" rtl="0">
                <a:defRPr sz="1000"/>
              </a:pPr>
              <a:t>CC1 = 3.3nF</a:t>
            </a:fld>
            <a:endParaRPr lang="en-US" sz="1000" b="1" i="0" u="none" strike="noStrike" baseline="0">
              <a:solidFill>
                <a:srgbClr val="000000"/>
              </a:solidFill>
              <a:latin typeface="Arial"/>
              <a:cs typeface="Arial"/>
            </a:endParaRPr>
          </a:p>
        </xdr:txBody>
      </xdr:sp>
      <xdr:sp macro="" textlink="#REF!">
        <xdr:nvSpPr>
          <xdr:cNvPr id="5" name="Text Box 6">
            <a:extLst>
              <a:ext uri="{FF2B5EF4-FFF2-40B4-BE49-F238E27FC236}">
                <a16:creationId xmlns:a16="http://schemas.microsoft.com/office/drawing/2014/main" id="{00000000-0008-0000-0300-000005000000}"/>
              </a:ext>
            </a:extLst>
          </xdr:cNvPr>
          <xdr:cNvSpPr txBox="1">
            <a:spLocks noChangeArrowheads="1" noTextEdit="1"/>
          </xdr:cNvSpPr>
        </xdr:nvSpPr>
        <xdr:spPr bwMode="auto">
          <a:xfrm>
            <a:off x="3322493" y="23862299"/>
            <a:ext cx="805295" cy="556681"/>
          </a:xfrm>
          <a:prstGeom prst="rect">
            <a:avLst/>
          </a:prstGeom>
          <a:noFill/>
          <a:ln w="9525">
            <a:noFill/>
            <a:miter lim="800000"/>
            <a:headEnd/>
            <a:tailEnd/>
          </a:ln>
        </xdr:spPr>
        <xdr:txBody>
          <a:bodyPr vertOverflow="clip" wrap="square" lIns="27432" tIns="22860" rIns="0" bIns="0" anchor="t" upright="1"/>
          <a:lstStyle/>
          <a:p>
            <a:pPr algn="r" rtl="0">
              <a:defRPr sz="1000"/>
            </a:pPr>
            <a:fld id="{872494E3-3BCB-4B8A-8556-319E6FBD4F6C}" type="TxLink">
              <a:rPr lang="en-US" sz="1000" b="1" i="0" u="none" strike="noStrike" baseline="0">
                <a:solidFill>
                  <a:srgbClr val="000000"/>
                </a:solidFill>
                <a:latin typeface="Arialri"/>
                <a:cs typeface="Arial"/>
              </a:rPr>
              <a:pPr algn="r" rtl="0">
                <a:defRPr sz="1000"/>
              </a:pPr>
              <a:t> </a:t>
            </a:fld>
            <a:endParaRPr lang="en-US" sz="1000" b="1" i="0" u="none" strike="noStrike" baseline="0">
              <a:solidFill>
                <a:srgbClr val="000000"/>
              </a:solidFill>
              <a:latin typeface="Arial"/>
              <a:cs typeface="Arial"/>
            </a:endParaRPr>
          </a:p>
        </xdr:txBody>
      </xdr:sp>
      <xdr:sp macro="" textlink="$A$363">
        <xdr:nvSpPr>
          <xdr:cNvPr id="6" name="Text Box 9">
            <a:extLst>
              <a:ext uri="{FF2B5EF4-FFF2-40B4-BE49-F238E27FC236}">
                <a16:creationId xmlns:a16="http://schemas.microsoft.com/office/drawing/2014/main" id="{00000000-0008-0000-0300-000006000000}"/>
              </a:ext>
            </a:extLst>
          </xdr:cNvPr>
          <xdr:cNvSpPr txBox="1">
            <a:spLocks noChangeArrowheads="1" noTextEdit="1"/>
          </xdr:cNvSpPr>
        </xdr:nvSpPr>
        <xdr:spPr bwMode="auto">
          <a:xfrm>
            <a:off x="7539470" y="20865497"/>
            <a:ext cx="909205" cy="528847"/>
          </a:xfrm>
          <a:prstGeom prst="rect">
            <a:avLst/>
          </a:prstGeom>
          <a:noFill/>
          <a:ln w="9525">
            <a:noFill/>
            <a:miter lim="800000"/>
            <a:headEnd/>
            <a:tailEnd/>
          </a:ln>
        </xdr:spPr>
        <xdr:txBody>
          <a:bodyPr vertOverflow="clip" wrap="square" lIns="27432" tIns="22860" rIns="0" bIns="0" anchor="t" upright="1"/>
          <a:lstStyle/>
          <a:p>
            <a:pPr algn="r" rtl="0">
              <a:defRPr sz="1000"/>
            </a:pPr>
            <a:fld id="{52D31661-C732-4DB5-B625-AC6B80EEA28C}" type="TxLink">
              <a:rPr lang="en-US" sz="1000" b="1" i="0" u="none" strike="noStrike" baseline="0">
                <a:solidFill>
                  <a:srgbClr val="000000"/>
                </a:solidFill>
                <a:latin typeface="Arialri"/>
                <a:cs typeface="Arial"/>
              </a:rPr>
              <a:pPr algn="r" rtl="0">
                <a:defRPr sz="1000"/>
              </a:pPr>
              <a:t>RFB1 = 390kΩ</a:t>
            </a:fld>
            <a:endParaRPr lang="el-GR" sz="1000" b="1" i="0" u="none" strike="noStrike" baseline="0">
              <a:solidFill>
                <a:srgbClr val="000000"/>
              </a:solidFill>
              <a:latin typeface="Arial"/>
              <a:cs typeface="Arial"/>
            </a:endParaRPr>
          </a:p>
        </xdr:txBody>
      </xdr:sp>
      <xdr:sp macro="" textlink="$A$364">
        <xdr:nvSpPr>
          <xdr:cNvPr id="7" name="Text Box 10">
            <a:extLst>
              <a:ext uri="{FF2B5EF4-FFF2-40B4-BE49-F238E27FC236}">
                <a16:creationId xmlns:a16="http://schemas.microsoft.com/office/drawing/2014/main" id="{00000000-0008-0000-0300-000007000000}"/>
              </a:ext>
            </a:extLst>
          </xdr:cNvPr>
          <xdr:cNvSpPr txBox="1">
            <a:spLocks noChangeArrowheads="1" noTextEdit="1"/>
          </xdr:cNvSpPr>
        </xdr:nvSpPr>
        <xdr:spPr bwMode="auto">
          <a:xfrm>
            <a:off x="7565449" y="22257201"/>
            <a:ext cx="917864" cy="324731"/>
          </a:xfrm>
          <a:prstGeom prst="rect">
            <a:avLst/>
          </a:prstGeom>
          <a:noFill/>
          <a:ln w="9525">
            <a:noFill/>
            <a:miter lim="800000"/>
            <a:headEnd/>
            <a:tailEnd/>
          </a:ln>
        </xdr:spPr>
        <xdr:txBody>
          <a:bodyPr vertOverflow="clip" wrap="square" lIns="27432" tIns="22860" rIns="0" bIns="0" anchor="t" upright="1"/>
          <a:lstStyle/>
          <a:p>
            <a:pPr algn="r" rtl="0">
              <a:defRPr sz="1000"/>
            </a:pPr>
            <a:fld id="{49F0D989-1BAE-4B3F-9979-B5F5B92776AD}" type="TxLink">
              <a:rPr lang="en-US" sz="1000" b="1" i="0" u="none" strike="noStrike" baseline="0">
                <a:solidFill>
                  <a:srgbClr val="000000"/>
                </a:solidFill>
                <a:latin typeface="Arialri"/>
                <a:cs typeface="Arial"/>
              </a:rPr>
              <a:pPr algn="r" rtl="0">
                <a:defRPr sz="1000"/>
              </a:pPr>
              <a:t>RFB2 = 10kΩ</a:t>
            </a:fld>
            <a:endParaRPr lang="el-GR" sz="1000" b="1" i="0" u="none" strike="noStrike" baseline="0">
              <a:solidFill>
                <a:srgbClr val="000000"/>
              </a:solidFill>
              <a:latin typeface="Arial"/>
              <a:cs typeface="Arial"/>
            </a:endParaRPr>
          </a:p>
        </xdr:txBody>
      </xdr:sp>
      <xdr:sp macro="" textlink="$A$353">
        <xdr:nvSpPr>
          <xdr:cNvPr id="8" name="Text Box 4">
            <a:extLst>
              <a:ext uri="{FF2B5EF4-FFF2-40B4-BE49-F238E27FC236}">
                <a16:creationId xmlns:a16="http://schemas.microsoft.com/office/drawing/2014/main" id="{00000000-0008-0000-0300-000008000000}"/>
              </a:ext>
            </a:extLst>
          </xdr:cNvPr>
          <xdr:cNvSpPr txBox="1">
            <a:spLocks noChangeArrowheads="1" noTextEdit="1"/>
          </xdr:cNvSpPr>
        </xdr:nvSpPr>
        <xdr:spPr bwMode="auto">
          <a:xfrm>
            <a:off x="5314083" y="22860271"/>
            <a:ext cx="874568" cy="417511"/>
          </a:xfrm>
          <a:prstGeom prst="rect">
            <a:avLst/>
          </a:prstGeom>
          <a:noFill/>
          <a:ln w="9525">
            <a:noFill/>
            <a:miter lim="800000"/>
            <a:headEnd/>
            <a:tailEnd/>
          </a:ln>
        </xdr:spPr>
        <xdr:txBody>
          <a:bodyPr vertOverflow="clip" wrap="square" lIns="27432" tIns="22860" rIns="0" bIns="0" anchor="t" upright="1"/>
          <a:lstStyle/>
          <a:p>
            <a:pPr algn="l" rtl="0">
              <a:defRPr sz="1000"/>
            </a:pPr>
            <a:fld id="{899FBA2F-0000-4A1A-AACB-0C4C45759FAE}" type="TxLink">
              <a:rPr lang="en-US" sz="1000" b="1" i="0" u="none" strike="noStrike" baseline="0">
                <a:solidFill>
                  <a:srgbClr val="000000"/>
                </a:solidFill>
                <a:latin typeface="Arialri"/>
                <a:cs typeface="Arial"/>
              </a:rPr>
              <a:pPr algn="l" rtl="0">
                <a:defRPr sz="1000"/>
              </a:pPr>
              <a:t>RC1 = 18kΩ</a:t>
            </a:fld>
            <a:endParaRPr lang="el-GR" sz="1000" b="1" i="0" u="none" strike="noStrike" baseline="0">
              <a:solidFill>
                <a:srgbClr val="000000"/>
              </a:solidFill>
              <a:latin typeface="Arial"/>
              <a:cs typeface="Arial"/>
            </a:endParaRPr>
          </a:p>
        </xdr:txBody>
      </xdr:sp>
      <xdr:sp macro="" textlink="$A$343">
        <xdr:nvSpPr>
          <xdr:cNvPr id="9" name="Text Box 9">
            <a:extLst>
              <a:ext uri="{FF2B5EF4-FFF2-40B4-BE49-F238E27FC236}">
                <a16:creationId xmlns:a16="http://schemas.microsoft.com/office/drawing/2014/main" id="{00000000-0008-0000-0300-000009000000}"/>
              </a:ext>
            </a:extLst>
          </xdr:cNvPr>
          <xdr:cNvSpPr txBox="1">
            <a:spLocks noChangeArrowheads="1" noTextEdit="1"/>
          </xdr:cNvSpPr>
        </xdr:nvSpPr>
        <xdr:spPr bwMode="auto">
          <a:xfrm>
            <a:off x="7452880" y="19650076"/>
            <a:ext cx="1082386" cy="315453"/>
          </a:xfrm>
          <a:prstGeom prst="rect">
            <a:avLst/>
          </a:prstGeom>
          <a:noFill/>
          <a:ln w="9525">
            <a:noFill/>
            <a:miter lim="800000"/>
            <a:headEnd/>
            <a:tailEnd/>
          </a:ln>
        </xdr:spPr>
        <xdr:txBody>
          <a:bodyPr vertOverflow="clip" wrap="square" lIns="27432" tIns="22860" rIns="0" bIns="0" anchor="t" upright="1"/>
          <a:lstStyle/>
          <a:p>
            <a:pPr algn="r" rtl="0">
              <a:defRPr sz="1000"/>
            </a:pPr>
            <a:fld id="{97BF0309-416E-405E-B585-4983CCA02D3E}" type="TxLink">
              <a:rPr lang="en-US" sz="1000" b="1" i="0" u="none" strike="noStrike" baseline="0">
                <a:solidFill>
                  <a:srgbClr val="000000"/>
                </a:solidFill>
                <a:latin typeface="Arialri"/>
                <a:cs typeface="Arial"/>
              </a:rPr>
              <a:pPr algn="r" rtl="0">
                <a:defRPr sz="1000"/>
              </a:pPr>
              <a:t>VOUT = 24V</a:t>
            </a:fld>
            <a:endParaRPr lang="el-GR" sz="1000" b="1" i="0" u="none" strike="noStrike" baseline="0">
              <a:solidFill>
                <a:srgbClr val="000000"/>
              </a:solidFill>
              <a:latin typeface="Arial"/>
              <a:cs typeface="Arial"/>
            </a:endParaRPr>
          </a:p>
        </xdr:txBody>
      </xdr:sp>
    </xdr:grpSp>
    <xdr:clientData/>
  </xdr:twoCellAnchor>
  <xdr:twoCellAnchor>
    <xdr:from>
      <xdr:col>15</xdr:col>
      <xdr:colOff>209550</xdr:colOff>
      <xdr:row>18</xdr:row>
      <xdr:rowOff>76201</xdr:rowOff>
    </xdr:from>
    <xdr:to>
      <xdr:col>17</xdr:col>
      <xdr:colOff>9525</xdr:colOff>
      <xdr:row>21</xdr:row>
      <xdr:rowOff>19051</xdr:rowOff>
    </xdr:to>
    <xdr:sp macro="" textlink="$A$357">
      <xdr:nvSpPr>
        <xdr:cNvPr id="10" name="Text Box 4">
          <a:extLst>
            <a:ext uri="{FF2B5EF4-FFF2-40B4-BE49-F238E27FC236}">
              <a16:creationId xmlns:a16="http://schemas.microsoft.com/office/drawing/2014/main" id="{00000000-0008-0000-0300-00000A000000}"/>
            </a:ext>
          </a:extLst>
        </xdr:cNvPr>
        <xdr:cNvSpPr txBox="1">
          <a:spLocks noChangeArrowheads="1" noTextEdit="1"/>
        </xdr:cNvSpPr>
      </xdr:nvSpPr>
      <xdr:spPr bwMode="auto">
        <a:xfrm>
          <a:off x="15259050" y="3219451"/>
          <a:ext cx="962025" cy="428625"/>
        </a:xfrm>
        <a:prstGeom prst="rect">
          <a:avLst/>
        </a:prstGeom>
        <a:noFill/>
        <a:ln w="9525">
          <a:noFill/>
          <a:miter lim="800000"/>
          <a:headEnd/>
          <a:tailEnd/>
        </a:ln>
      </xdr:spPr>
      <xdr:txBody>
        <a:bodyPr vertOverflow="clip" wrap="square" lIns="27432" tIns="22860" rIns="0" bIns="0" anchor="t" upright="1"/>
        <a:lstStyle/>
        <a:p>
          <a:pPr algn="r" rtl="0">
            <a:defRPr sz="1000"/>
          </a:pPr>
          <a:fld id="{DCFBE156-977E-4C45-9B24-0A2E6E91FFAB}" type="TxLink">
            <a:rPr lang="en-US" sz="1000" b="1" i="0" u="none" strike="noStrike" baseline="0">
              <a:solidFill>
                <a:srgbClr val="000000"/>
              </a:solidFill>
              <a:latin typeface="Arialri"/>
              <a:cs typeface="Arial"/>
            </a:rPr>
            <a:pPr algn="r" rtl="0">
              <a:defRPr sz="1000"/>
            </a:pPr>
            <a:t>gm = 1.2mS</a:t>
          </a:fld>
          <a:endParaRPr lang="el-GR" sz="1000" b="1" i="0" u="none" strike="noStrike" baseline="0">
            <a:solidFill>
              <a:srgbClr val="000000"/>
            </a:solidFill>
            <a:latin typeface="Arial"/>
            <a:cs typeface="Arial"/>
          </a:endParaRPr>
        </a:p>
      </xdr:txBody>
    </xdr:sp>
    <xdr:clientData/>
  </xdr:twoCellAnchor>
  <xdr:twoCellAnchor>
    <xdr:from>
      <xdr:col>13</xdr:col>
      <xdr:colOff>266700</xdr:colOff>
      <xdr:row>20</xdr:row>
      <xdr:rowOff>0</xdr:rowOff>
    </xdr:from>
    <xdr:to>
      <xdr:col>15</xdr:col>
      <xdr:colOff>38100</xdr:colOff>
      <xdr:row>22</xdr:row>
      <xdr:rowOff>104775</xdr:rowOff>
    </xdr:to>
    <xdr:sp macro="" textlink="$A$358">
      <xdr:nvSpPr>
        <xdr:cNvPr id="11" name="Text Box 4">
          <a:extLst>
            <a:ext uri="{FF2B5EF4-FFF2-40B4-BE49-F238E27FC236}">
              <a16:creationId xmlns:a16="http://schemas.microsoft.com/office/drawing/2014/main" id="{00000000-0008-0000-0300-00000B000000}"/>
            </a:ext>
          </a:extLst>
        </xdr:cNvPr>
        <xdr:cNvSpPr txBox="1">
          <a:spLocks noChangeArrowheads="1" noTextEdit="1"/>
        </xdr:cNvSpPr>
      </xdr:nvSpPr>
      <xdr:spPr bwMode="auto">
        <a:xfrm>
          <a:off x="14125575" y="3467100"/>
          <a:ext cx="962025" cy="428625"/>
        </a:xfrm>
        <a:prstGeom prst="rect">
          <a:avLst/>
        </a:prstGeom>
        <a:noFill/>
        <a:ln w="9525">
          <a:noFill/>
          <a:miter lim="800000"/>
          <a:headEnd/>
          <a:tailEnd/>
        </a:ln>
      </xdr:spPr>
      <xdr:txBody>
        <a:bodyPr vertOverflow="clip" wrap="square" lIns="27432" tIns="22860" rIns="0" bIns="0" anchor="t" upright="1"/>
        <a:lstStyle/>
        <a:p>
          <a:pPr algn="r" rtl="0">
            <a:defRPr sz="1000"/>
          </a:pPr>
          <a:fld id="{4772262A-5BC4-4AF8-A8E2-DF3959B443C1}" type="TxLink">
            <a:rPr lang="en-US" sz="1000" b="1" i="0" u="none" strike="noStrike" baseline="0">
              <a:solidFill>
                <a:srgbClr val="000000"/>
              </a:solidFill>
              <a:latin typeface="Arialri"/>
              <a:cs typeface="Arial"/>
            </a:rPr>
            <a:pPr algn="r" rtl="0">
              <a:defRPr sz="1000"/>
            </a:pPr>
            <a:t>RoEA = 64MΩ</a:t>
          </a:fld>
          <a:endParaRPr lang="el-GR" sz="1000" b="1" i="0" u="none" strike="noStrike" baseline="0">
            <a:solidFill>
              <a:srgbClr val="000000"/>
            </a:solidFill>
            <a:latin typeface="Arial"/>
            <a:cs typeface="Arial"/>
          </a:endParaRPr>
        </a:p>
      </xdr:txBody>
    </xdr:sp>
    <xdr:clientData/>
  </xdr:twoCellAnchor>
  <xdr:twoCellAnchor>
    <xdr:from>
      <xdr:col>13</xdr:col>
      <xdr:colOff>238125</xdr:colOff>
      <xdr:row>18</xdr:row>
      <xdr:rowOff>95250</xdr:rowOff>
    </xdr:from>
    <xdr:to>
      <xdr:col>15</xdr:col>
      <xdr:colOff>9525</xdr:colOff>
      <xdr:row>20</xdr:row>
      <xdr:rowOff>38100</xdr:rowOff>
    </xdr:to>
    <xdr:sp macro="" textlink="$A$359">
      <xdr:nvSpPr>
        <xdr:cNvPr id="12" name="Text Box 4">
          <a:extLst>
            <a:ext uri="{FF2B5EF4-FFF2-40B4-BE49-F238E27FC236}">
              <a16:creationId xmlns:a16="http://schemas.microsoft.com/office/drawing/2014/main" id="{00000000-0008-0000-0300-00000C000000}"/>
            </a:ext>
          </a:extLst>
        </xdr:cNvPr>
        <xdr:cNvSpPr txBox="1">
          <a:spLocks noChangeArrowheads="1" noTextEdit="1"/>
        </xdr:cNvSpPr>
      </xdr:nvSpPr>
      <xdr:spPr bwMode="auto">
        <a:xfrm>
          <a:off x="14097000" y="3238500"/>
          <a:ext cx="962025" cy="266700"/>
        </a:xfrm>
        <a:prstGeom prst="rect">
          <a:avLst/>
        </a:prstGeom>
        <a:noFill/>
        <a:ln w="9525">
          <a:noFill/>
          <a:miter lim="800000"/>
          <a:headEnd/>
          <a:tailEnd/>
        </a:ln>
      </xdr:spPr>
      <xdr:txBody>
        <a:bodyPr vertOverflow="clip" wrap="square" lIns="27432" tIns="22860" rIns="0" bIns="0" anchor="t" upright="1"/>
        <a:lstStyle/>
        <a:p>
          <a:pPr algn="r" rtl="0">
            <a:defRPr sz="1000"/>
          </a:pPr>
          <a:fld id="{6540ECFD-AAA0-44C8-8BEA-3C65071BF767}" type="TxLink">
            <a:rPr lang="en-US" sz="1000" b="1" i="0" u="none" strike="noStrike" baseline="0">
              <a:solidFill>
                <a:srgbClr val="000000"/>
              </a:solidFill>
              <a:latin typeface="Arialri"/>
              <a:cs typeface="Arial"/>
            </a:rPr>
            <a:pPr algn="r" rtl="0">
              <a:defRPr sz="1000"/>
            </a:pPr>
            <a:t>GBW = 30MHz</a:t>
          </a:fld>
          <a:endParaRPr lang="el-GR" sz="1000" b="1" i="0" u="none" strike="noStrike" baseline="0">
            <a:solidFill>
              <a:srgbClr val="000000"/>
            </a:solidFill>
            <a:latin typeface="Arial"/>
            <a:cs typeface="Arial"/>
          </a:endParaRPr>
        </a:p>
      </xdr:txBody>
    </xdr:sp>
    <xdr:clientData/>
  </xdr:twoCellAnchor>
  <xdr:twoCellAnchor editAs="oneCell">
    <xdr:from>
      <xdr:col>10</xdr:col>
      <xdr:colOff>476250</xdr:colOff>
      <xdr:row>0</xdr:row>
      <xdr:rowOff>104775</xdr:rowOff>
    </xdr:from>
    <xdr:to>
      <xdr:col>16</xdr:col>
      <xdr:colOff>381000</xdr:colOff>
      <xdr:row>3</xdr:row>
      <xdr:rowOff>1960</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830050" y="104775"/>
          <a:ext cx="4152900" cy="57727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3</xdr:col>
      <xdr:colOff>55244</xdr:colOff>
      <xdr:row>14</xdr:row>
      <xdr:rowOff>163829</xdr:rowOff>
    </xdr:from>
    <xdr:to>
      <xdr:col>12</xdr:col>
      <xdr:colOff>443864</xdr:colOff>
      <xdr:row>43</xdr:row>
      <xdr:rowOff>106679</xdr:rowOff>
    </xdr:to>
    <xdr:graphicFrame macro="">
      <xdr:nvGraphicFramePr>
        <xdr:cNvPr id="2" name="Chart 1029">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942975</xdr:colOff>
      <xdr:row>14</xdr:row>
      <xdr:rowOff>142875</xdr:rowOff>
    </xdr:from>
    <xdr:to>
      <xdr:col>10</xdr:col>
      <xdr:colOff>304800</xdr:colOff>
      <xdr:row>40</xdr:row>
      <xdr:rowOff>66675</xdr:rowOff>
    </xdr:to>
    <xdr:graphicFrame macro="">
      <xdr:nvGraphicFramePr>
        <xdr:cNvPr id="2" name="Chart 1029">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19050</xdr:colOff>
      <xdr:row>4</xdr:row>
      <xdr:rowOff>38100</xdr:rowOff>
    </xdr:from>
    <xdr:to>
      <xdr:col>1</xdr:col>
      <xdr:colOff>8614410</xdr:colOff>
      <xdr:row>4</xdr:row>
      <xdr:rowOff>5158740</xdr:rowOff>
    </xdr:to>
    <xdr:graphicFrame macro="">
      <xdr:nvGraphicFramePr>
        <xdr:cNvPr id="163" name="Chart 12">
          <a:extLst>
            <a:ext uri="{FF2B5EF4-FFF2-40B4-BE49-F238E27FC236}">
              <a16:creationId xmlns:a16="http://schemas.microsoft.com/office/drawing/2014/main" id="{00000000-0008-0000-0600-0000A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19050</xdr:colOff>
      <xdr:row>7</xdr:row>
      <xdr:rowOff>47625</xdr:rowOff>
    </xdr:from>
    <xdr:to>
      <xdr:col>1</xdr:col>
      <xdr:colOff>8614410</xdr:colOff>
      <xdr:row>7</xdr:row>
      <xdr:rowOff>5168265</xdr:rowOff>
    </xdr:to>
    <xdr:graphicFrame macro="">
      <xdr:nvGraphicFramePr>
        <xdr:cNvPr id="164" name="Chart 12">
          <a:extLst>
            <a:ext uri="{FF2B5EF4-FFF2-40B4-BE49-F238E27FC236}">
              <a16:creationId xmlns:a16="http://schemas.microsoft.com/office/drawing/2014/main" id="{00000000-0008-0000-0600-0000A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0.08469</cdr:x>
      <cdr:y>0.61907</cdr:y>
    </cdr:from>
    <cdr:to>
      <cdr:x>0.9187</cdr:x>
      <cdr:y>0.62078</cdr:y>
    </cdr:to>
    <cdr:sp macro="" textlink="">
      <cdr:nvSpPr>
        <cdr:cNvPr id="8195" name="Line 3"/>
        <cdr:cNvSpPr>
          <a:spLocks xmlns:a="http://schemas.openxmlformats.org/drawingml/2006/main" noChangeShapeType="1"/>
        </cdr:cNvSpPr>
      </cdr:nvSpPr>
      <cdr:spPr bwMode="auto">
        <a:xfrm xmlns:a="http://schemas.openxmlformats.org/drawingml/2006/main">
          <a:off x="766339" y="3331338"/>
          <a:ext cx="7546748" cy="920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0.92497</cdr:x>
      <cdr:y>0.41585</cdr:y>
    </cdr:from>
    <cdr:to>
      <cdr:x>0.9716</cdr:x>
      <cdr:y>0.47175</cdr:y>
    </cdr:to>
    <cdr:sp macro="" textlink="'Variable Management'!$B$366">
      <cdr:nvSpPr>
        <cdr:cNvPr id="3" name="Text Box 24"/>
        <cdr:cNvSpPr txBox="1">
          <a:spLocks xmlns:a="http://schemas.openxmlformats.org/drawingml/2006/main" noChangeArrowheads="1" noTextEdit="1"/>
        </cdr:cNvSpPr>
      </cdr:nvSpPr>
      <cdr:spPr bwMode="auto">
        <a:xfrm xmlns:a="http://schemas.openxmlformats.org/drawingml/2006/main">
          <a:off x="8369846" y="2237779"/>
          <a:ext cx="421943" cy="30080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52°</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9.xml><?xml version="1.0" encoding="utf-8"?>
<c:userShapes xmlns:c="http://schemas.openxmlformats.org/drawingml/2006/chart">
  <cdr:relSizeAnchor xmlns:cdr="http://schemas.openxmlformats.org/drawingml/2006/chartDrawing">
    <cdr:from>
      <cdr:x>0.08469</cdr:x>
      <cdr:y>0.61907</cdr:y>
    </cdr:from>
    <cdr:to>
      <cdr:x>0.9187</cdr:x>
      <cdr:y>0.62078</cdr:y>
    </cdr:to>
    <cdr:sp macro="" textlink="">
      <cdr:nvSpPr>
        <cdr:cNvPr id="8195" name="Line 3"/>
        <cdr:cNvSpPr>
          <a:spLocks xmlns:a="http://schemas.openxmlformats.org/drawingml/2006/main" noChangeShapeType="1"/>
        </cdr:cNvSpPr>
      </cdr:nvSpPr>
      <cdr:spPr bwMode="auto">
        <a:xfrm xmlns:a="http://schemas.openxmlformats.org/drawingml/2006/main">
          <a:off x="766339" y="3331338"/>
          <a:ext cx="7546748" cy="920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0.92497</cdr:x>
      <cdr:y>0.41585</cdr:y>
    </cdr:from>
    <cdr:to>
      <cdr:x>0.9716</cdr:x>
      <cdr:y>0.47175</cdr:y>
    </cdr:to>
    <cdr:sp macro="" textlink="'Variable Management'!$B$366">
      <cdr:nvSpPr>
        <cdr:cNvPr id="3" name="Text Box 24"/>
        <cdr:cNvSpPr txBox="1">
          <a:spLocks xmlns:a="http://schemas.openxmlformats.org/drawingml/2006/main" noChangeArrowheads="1" noTextEdit="1"/>
        </cdr:cNvSpPr>
      </cdr:nvSpPr>
      <cdr:spPr bwMode="auto">
        <a:xfrm xmlns:a="http://schemas.openxmlformats.org/drawingml/2006/main">
          <a:off x="8369846" y="2237779"/>
          <a:ext cx="421943" cy="30080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52°</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30</xdr:col>
      <xdr:colOff>874395</xdr:colOff>
      <xdr:row>44</xdr:row>
      <xdr:rowOff>38100</xdr:rowOff>
    </xdr:from>
    <xdr:to>
      <xdr:col>41</xdr:col>
      <xdr:colOff>668655</xdr:colOff>
      <xdr:row>73</xdr:row>
      <xdr:rowOff>57150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30</xdr:col>
      <xdr:colOff>880110</xdr:colOff>
      <xdr:row>13</xdr:row>
      <xdr:rowOff>78105</xdr:rowOff>
    </xdr:from>
    <xdr:to>
      <xdr:col>40</xdr:col>
      <xdr:colOff>579120</xdr:colOff>
      <xdr:row>42</xdr:row>
      <xdr:rowOff>106680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146685</xdr:colOff>
      <xdr:row>13</xdr:row>
      <xdr:rowOff>101992</xdr:rowOff>
    </xdr:from>
    <xdr:to>
      <xdr:col>29</xdr:col>
      <xdr:colOff>578972</xdr:colOff>
      <xdr:row>42</xdr:row>
      <xdr:rowOff>130567</xdr:rowOff>
    </xdr:to>
    <xdr:graphicFrame macro="">
      <xdr:nvGraphicFramePr>
        <xdr:cNvPr id="4" name="Chart 4">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628650</xdr:colOff>
      <xdr:row>2</xdr:row>
      <xdr:rowOff>152400</xdr:rowOff>
    </xdr:from>
    <xdr:to>
      <xdr:col>13</xdr:col>
      <xdr:colOff>336218</xdr:colOff>
      <xdr:row>4</xdr:row>
      <xdr:rowOff>57150</xdr:rowOff>
    </xdr:to>
    <xdr:sp macro="" textlink="'Variable Management'!$B$368">
      <xdr:nvSpPr>
        <xdr:cNvPr id="5" name="Text Box 24">
          <a:extLst>
            <a:ext uri="{FF2B5EF4-FFF2-40B4-BE49-F238E27FC236}">
              <a16:creationId xmlns:a16="http://schemas.microsoft.com/office/drawing/2014/main" id="{00000000-0008-0000-0700-000005000000}"/>
            </a:ext>
          </a:extLst>
        </xdr:cNvPr>
        <xdr:cNvSpPr txBox="1">
          <a:spLocks noChangeArrowheads="1" noTextEdit="1"/>
        </xdr:cNvSpPr>
      </xdr:nvSpPr>
      <xdr:spPr bwMode="auto">
        <a:xfrm>
          <a:off x="12392025" y="476250"/>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F0AFB1C-0795-4024-9821-D34D86340D40}" type="TxLink">
            <a:rPr lang="en-US" sz="1000" b="0" i="0" u="none" strike="noStrike" baseline="0">
              <a:solidFill>
                <a:srgbClr val="000000"/>
              </a:solidFill>
              <a:latin typeface="Arial"/>
              <a:cs typeface="Arial"/>
            </a:rPr>
            <a:pPr algn="l" rtl="0">
              <a:defRPr sz="1000"/>
            </a:pPr>
            <a:t>98.9%</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30480</xdr:colOff>
      <xdr:row>1</xdr:row>
      <xdr:rowOff>95250</xdr:rowOff>
    </xdr:from>
    <xdr:to>
      <xdr:col>12</xdr:col>
      <xdr:colOff>452423</xdr:colOff>
      <xdr:row>3</xdr:row>
      <xdr:rowOff>0</xdr:rowOff>
    </xdr:to>
    <xdr:sp macro="" textlink="'Variable Management'!$B$369">
      <xdr:nvSpPr>
        <xdr:cNvPr id="6" name="Text Box 24">
          <a:extLst>
            <a:ext uri="{FF2B5EF4-FFF2-40B4-BE49-F238E27FC236}">
              <a16:creationId xmlns:a16="http://schemas.microsoft.com/office/drawing/2014/main" id="{00000000-0008-0000-0700-000006000000}"/>
            </a:ext>
          </a:extLst>
        </xdr:cNvPr>
        <xdr:cNvSpPr txBox="1">
          <a:spLocks noChangeArrowheads="1" noTextEdit="1"/>
        </xdr:cNvSpPr>
      </xdr:nvSpPr>
      <xdr:spPr bwMode="auto">
        <a:xfrm>
          <a:off x="11793855" y="257175"/>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7D4567B-D519-4FF8-A1F3-102CF08055AD}" type="TxLink">
            <a:rPr lang="en-US" sz="1000" b="0" i="0" u="none" strike="noStrike" baseline="0">
              <a:solidFill>
                <a:srgbClr val="000000"/>
              </a:solidFill>
              <a:latin typeface="Arial"/>
              <a:cs typeface="Arial"/>
            </a:rPr>
            <a:pPr algn="l" rtl="0">
              <a:defRPr sz="1000"/>
            </a:pPr>
            <a:t>99.2%</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18</xdr:col>
      <xdr:colOff>586740</xdr:colOff>
      <xdr:row>44</xdr:row>
      <xdr:rowOff>7620</xdr:rowOff>
    </xdr:from>
    <xdr:to>
      <xdr:col>29</xdr:col>
      <xdr:colOff>575310</xdr:colOff>
      <xdr:row>72</xdr:row>
      <xdr:rowOff>112395</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29</xdr:col>
      <xdr:colOff>647700</xdr:colOff>
      <xdr:row>40</xdr:row>
      <xdr:rowOff>38100</xdr:rowOff>
    </xdr:from>
    <xdr:to>
      <xdr:col>40</xdr:col>
      <xdr:colOff>438150</xdr:colOff>
      <xdr:row>69</xdr:row>
      <xdr:rowOff>57150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619125</xdr:colOff>
      <xdr:row>10</xdr:row>
      <xdr:rowOff>19050</xdr:rowOff>
    </xdr:from>
    <xdr:to>
      <xdr:col>39</xdr:col>
      <xdr:colOff>466725</xdr:colOff>
      <xdr:row>39</xdr:row>
      <xdr:rowOff>47625</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104775</xdr:colOff>
      <xdr:row>10</xdr:row>
      <xdr:rowOff>2932</xdr:rowOff>
    </xdr:from>
    <xdr:to>
      <xdr:col>29</xdr:col>
      <xdr:colOff>479912</xdr:colOff>
      <xdr:row>39</xdr:row>
      <xdr:rowOff>31507</xdr:rowOff>
    </xdr:to>
    <xdr:graphicFrame macro="">
      <xdr:nvGraphicFramePr>
        <xdr:cNvPr id="4" name="Chart 4">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4</xdr:row>
      <xdr:rowOff>12700</xdr:rowOff>
    </xdr:from>
    <xdr:to>
      <xdr:col>1</xdr:col>
      <xdr:colOff>8124825</xdr:colOff>
      <xdr:row>4</xdr:row>
      <xdr:rowOff>5165725</xdr:rowOff>
    </xdr:to>
    <xdr:graphicFrame macro="">
      <xdr:nvGraphicFramePr>
        <xdr:cNvPr id="8" name="Chart 253">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6</xdr:row>
      <xdr:rowOff>0</xdr:rowOff>
    </xdr:from>
    <xdr:to>
      <xdr:col>1</xdr:col>
      <xdr:colOff>8124825</xdr:colOff>
      <xdr:row>6</xdr:row>
      <xdr:rowOff>5153025</xdr:rowOff>
    </xdr:to>
    <xdr:graphicFrame macro="">
      <xdr:nvGraphicFramePr>
        <xdr:cNvPr id="6" name="Chart 253">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4</xdr:col>
      <xdr:colOff>174994</xdr:colOff>
      <xdr:row>4</xdr:row>
      <xdr:rowOff>1021934</xdr:rowOff>
    </xdr:from>
    <xdr:to>
      <xdr:col>4</xdr:col>
      <xdr:colOff>519382</xdr:colOff>
      <xdr:row>4</xdr:row>
      <xdr:rowOff>1280181</xdr:rowOff>
    </xdr:to>
    <xdr:sp macro="" textlink="">
      <xdr:nvSpPr>
        <xdr:cNvPr id="6" name="Text Box 225">
          <a:extLst>
            <a:ext uri="{FF2B5EF4-FFF2-40B4-BE49-F238E27FC236}">
              <a16:creationId xmlns:a16="http://schemas.microsoft.com/office/drawing/2014/main" id="{00000000-0008-0000-0A00-000006000000}"/>
            </a:ext>
          </a:extLst>
        </xdr:cNvPr>
        <xdr:cNvSpPr txBox="1">
          <a:spLocks noChangeArrowheads="1"/>
        </xdr:cNvSpPr>
      </xdr:nvSpPr>
      <xdr:spPr bwMode="auto">
        <a:xfrm>
          <a:off x="10727037" y="1684543"/>
          <a:ext cx="344388" cy="25824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editAs="absolute">
    <xdr:from>
      <xdr:col>4</xdr:col>
      <xdr:colOff>138496</xdr:colOff>
      <xdr:row>4</xdr:row>
      <xdr:rowOff>1612609</xdr:rowOff>
    </xdr:from>
    <xdr:to>
      <xdr:col>4</xdr:col>
      <xdr:colOff>535387</xdr:colOff>
      <xdr:row>4</xdr:row>
      <xdr:rowOff>1813486</xdr:rowOff>
    </xdr:to>
    <xdr:sp macro="" textlink="">
      <xdr:nvSpPr>
        <xdr:cNvPr id="19" name="Text Box 255">
          <a:extLst>
            <a:ext uri="{FF2B5EF4-FFF2-40B4-BE49-F238E27FC236}">
              <a16:creationId xmlns:a16="http://schemas.microsoft.com/office/drawing/2014/main" id="{00000000-0008-0000-0A00-000013000000}"/>
            </a:ext>
          </a:extLst>
        </xdr:cNvPr>
        <xdr:cNvSpPr txBox="1">
          <a:spLocks noChangeArrowheads="1"/>
        </xdr:cNvSpPr>
      </xdr:nvSpPr>
      <xdr:spPr bwMode="auto">
        <a:xfrm>
          <a:off x="10690539" y="2275218"/>
          <a:ext cx="396891" cy="200877"/>
        </a:xfrm>
        <a:prstGeom prst="rect">
          <a:avLst/>
        </a:prstGeom>
        <a:noFill/>
        <a:ln w="9525">
          <a:noFill/>
          <a:miter lim="800000"/>
          <a:headEnd/>
          <a:tailEnd/>
        </a:ln>
      </xdr:spPr>
      <xdr:txBody>
        <a:bodyPr vertOverflow="clip" wrap="square" lIns="27432" tIns="27432" rIns="0" bIns="0" anchor="ctr"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editAs="absolute">
    <xdr:from>
      <xdr:col>4</xdr:col>
      <xdr:colOff>75295</xdr:colOff>
      <xdr:row>4</xdr:row>
      <xdr:rowOff>1815109</xdr:rowOff>
    </xdr:from>
    <xdr:to>
      <xdr:col>4</xdr:col>
      <xdr:colOff>593447</xdr:colOff>
      <xdr:row>4</xdr:row>
      <xdr:rowOff>1990573</xdr:rowOff>
    </xdr:to>
    <xdr:sp macro="" textlink="'Variable Management'!B364">
      <xdr:nvSpPr>
        <xdr:cNvPr id="26" name="Text Box 264">
          <a:extLst>
            <a:ext uri="{FF2B5EF4-FFF2-40B4-BE49-F238E27FC236}">
              <a16:creationId xmlns:a16="http://schemas.microsoft.com/office/drawing/2014/main" id="{00000000-0008-0000-0A00-00001A000000}"/>
            </a:ext>
          </a:extLst>
        </xdr:cNvPr>
        <xdr:cNvSpPr txBox="1">
          <a:spLocks noChangeArrowheads="1" noTextEdit="1"/>
        </xdr:cNvSpPr>
      </xdr:nvSpPr>
      <xdr:spPr bwMode="auto">
        <a:xfrm>
          <a:off x="10627338" y="2477718"/>
          <a:ext cx="518152" cy="175464"/>
        </a:xfrm>
        <a:prstGeom prst="rect">
          <a:avLst/>
        </a:prstGeom>
        <a:noFill/>
        <a:ln w="9525">
          <a:noFill/>
          <a:miter lim="800000"/>
          <a:headEnd/>
          <a:tailEnd/>
        </a:ln>
      </xdr:spPr>
      <xdr:txBody>
        <a:bodyPr vertOverflow="clip" wrap="square" lIns="27432" tIns="22860" rIns="0" bIns="0" anchor="ctr"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10kΩ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4</xdr:col>
      <xdr:colOff>183706</xdr:colOff>
      <xdr:row>4</xdr:row>
      <xdr:rowOff>1194204</xdr:rowOff>
    </xdr:from>
    <xdr:to>
      <xdr:col>5</xdr:col>
      <xdr:colOff>96224</xdr:colOff>
      <xdr:row>4</xdr:row>
      <xdr:rowOff>1487293</xdr:rowOff>
    </xdr:to>
    <xdr:sp macro="" textlink="'Variable Management'!B363">
      <xdr:nvSpPr>
        <xdr:cNvPr id="30" name="Text Box 268">
          <a:extLst>
            <a:ext uri="{FF2B5EF4-FFF2-40B4-BE49-F238E27FC236}">
              <a16:creationId xmlns:a16="http://schemas.microsoft.com/office/drawing/2014/main" id="{00000000-0008-0000-0A00-00001E000000}"/>
            </a:ext>
          </a:extLst>
        </xdr:cNvPr>
        <xdr:cNvSpPr txBox="1">
          <a:spLocks noChangeArrowheads="1" noTextEdit="1"/>
        </xdr:cNvSpPr>
      </xdr:nvSpPr>
      <xdr:spPr bwMode="auto">
        <a:xfrm>
          <a:off x="10735749" y="1856813"/>
          <a:ext cx="525432" cy="293089"/>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390kΩ</a:t>
          </a:fld>
          <a:endParaRPr lang="el-GR" sz="1000" b="0" i="0" strike="noStrike">
            <a:solidFill>
              <a:srgbClr val="000000"/>
            </a:solidFill>
            <a:latin typeface="Arial" pitchFamily="34" charset="0"/>
            <a:cs typeface="Arial" pitchFamily="34" charset="0"/>
          </a:endParaRPr>
        </a:p>
      </xdr:txBody>
    </xdr:sp>
    <xdr:clientData/>
  </xdr:twoCellAnchor>
  <xdr:twoCellAnchor editAs="oneCell">
    <xdr:from>
      <xdr:col>0</xdr:col>
      <xdr:colOff>704849</xdr:colOff>
      <xdr:row>7</xdr:row>
      <xdr:rowOff>3810</xdr:rowOff>
    </xdr:from>
    <xdr:to>
      <xdr:col>2</xdr:col>
      <xdr:colOff>8381</xdr:colOff>
      <xdr:row>8</xdr:row>
      <xdr:rowOff>62623</xdr:rowOff>
    </xdr:to>
    <xdr:pic>
      <xdr:nvPicPr>
        <xdr:cNvPr id="248" name="Picture 247">
          <a:extLst>
            <a:ext uri="{FF2B5EF4-FFF2-40B4-BE49-F238E27FC236}">
              <a16:creationId xmlns:a16="http://schemas.microsoft.com/office/drawing/2014/main" id="{00000000-0008-0000-0A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49" y="6457950"/>
          <a:ext cx="8897112" cy="525565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704849</xdr:colOff>
      <xdr:row>3</xdr:row>
      <xdr:rowOff>161924</xdr:rowOff>
    </xdr:from>
    <xdr:to>
      <xdr:col>2</xdr:col>
      <xdr:colOff>20954</xdr:colOff>
      <xdr:row>5</xdr:row>
      <xdr:rowOff>70049</xdr:rowOff>
    </xdr:to>
    <xdr:pic>
      <xdr:nvPicPr>
        <xdr:cNvPr id="249" name="Picture 248">
          <a:extLst>
            <a:ext uri="{FF2B5EF4-FFF2-40B4-BE49-F238E27FC236}">
              <a16:creationId xmlns:a16="http://schemas.microsoft.com/office/drawing/2014/main" id="{00000000-0008-0000-0A00-0000F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49" y="647699"/>
          <a:ext cx="8641080" cy="5270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704849</xdr:colOff>
      <xdr:row>8</xdr:row>
      <xdr:rowOff>161924</xdr:rowOff>
    </xdr:from>
    <xdr:to>
      <xdr:col>2</xdr:col>
      <xdr:colOff>20954</xdr:colOff>
      <xdr:row>10</xdr:row>
      <xdr:rowOff>70049</xdr:rowOff>
    </xdr:to>
    <xdr:pic>
      <xdr:nvPicPr>
        <xdr:cNvPr id="12" name="Picture 11">
          <a:extLst>
            <a:ext uri="{FF2B5EF4-FFF2-40B4-BE49-F238E27FC236}">
              <a16:creationId xmlns:a16="http://schemas.microsoft.com/office/drawing/2014/main" id="{00000000-0008-0000-0A00-00000C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04849" y="11801474"/>
          <a:ext cx="8641080" cy="5270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w="9525">
          <a:noFill/>
          <a:miter lim="800000"/>
          <a:headEnd/>
          <a:tailEnd/>
        </a:ln>
      </a:spPr>
      <a:bodyPr vertOverflow="clip" wrap="square" lIns="27432" tIns="27432" rIns="0" bIns="0" anchor="t" upright="1"/>
      <a:lstStyle>
        <a:defPPr algn="l" rtl="0">
          <a:defRPr sz="1100" b="0" i="0" strike="noStrike">
            <a:solidFill>
              <a:srgbClr val="000000"/>
            </a:solidFill>
            <a:latin typeface="Calibri"/>
          </a:defRPr>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trlProp" Target="../ctrlProps/ctrlProp12.xml"/><Relationship Id="rId3" Type="http://schemas.openxmlformats.org/officeDocument/2006/relationships/printerSettings" Target="../printerSettings/printerSettings1.bin"/><Relationship Id="rId21" Type="http://schemas.openxmlformats.org/officeDocument/2006/relationships/comments" Target="../comments1.xml"/><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 Type="http://schemas.openxmlformats.org/officeDocument/2006/relationships/hyperlink" Target="http://www.ti.com/pol" TargetMode="External"/><Relationship Id="rId16" Type="http://schemas.openxmlformats.org/officeDocument/2006/relationships/ctrlProp" Target="../ctrlProps/ctrlProp10.xml"/><Relationship Id="rId20" Type="http://schemas.openxmlformats.org/officeDocument/2006/relationships/ctrlProp" Target="../ctrlProps/ctrlProp14.xml"/><Relationship Id="rId1" Type="http://schemas.openxmlformats.org/officeDocument/2006/relationships/hyperlink" Target="http://www.ti.com/product/lm5175" TargetMode="External"/><Relationship Id="rId6" Type="http://schemas.openxmlformats.org/officeDocument/2006/relationships/vmlDrawing" Target="../drawings/vmlDrawing2.vml"/><Relationship Id="rId11" Type="http://schemas.openxmlformats.org/officeDocument/2006/relationships/ctrlProp" Target="../ctrlProps/ctrlProp5.xml"/><Relationship Id="rId5" Type="http://schemas.openxmlformats.org/officeDocument/2006/relationships/vmlDrawing" Target="../drawings/vmlDrawing1.vml"/><Relationship Id="rId15" Type="http://schemas.openxmlformats.org/officeDocument/2006/relationships/ctrlProp" Target="../ctrlProps/ctrlProp9.xml"/><Relationship Id="rId10" Type="http://schemas.openxmlformats.org/officeDocument/2006/relationships/ctrlProp" Target="../ctrlProps/ctrlProp4.xml"/><Relationship Id="rId19" Type="http://schemas.openxmlformats.org/officeDocument/2006/relationships/ctrlProp" Target="../ctrlProps/ctrlProp13.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ti.com/nexfet" TargetMode="Externa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pageSetUpPr fitToPage="1"/>
  </sheetPr>
  <dimension ref="A1:AI457"/>
  <sheetViews>
    <sheetView tabSelected="1" topLeftCell="A89" zoomScaleNormal="100" zoomScaleSheetLayoutView="100" workbookViewId="0">
      <selection activeCell="E97" sqref="E97"/>
    </sheetView>
  </sheetViews>
  <sheetFormatPr defaultColWidth="9.08984375" defaultRowHeight="13" x14ac:dyDescent="0.3"/>
  <cols>
    <col min="1" max="1" width="8.36328125" style="189" customWidth="1"/>
    <col min="2" max="2" width="8.36328125" style="79" customWidth="1"/>
    <col min="3" max="3" width="13.54296875" style="79" customWidth="1"/>
    <col min="4" max="4" width="8.36328125" style="79" customWidth="1"/>
    <col min="5" max="5" width="6.90625" style="79" customWidth="1"/>
    <col min="6" max="6" width="7.54296875" style="79" customWidth="1"/>
    <col min="7" max="7" width="12.54296875" style="79" customWidth="1"/>
    <col min="8" max="8" width="11.90625" style="79" customWidth="1"/>
    <col min="9" max="9" width="9.08984375" style="79" customWidth="1"/>
    <col min="10" max="10" width="6.90625" style="79" customWidth="1"/>
    <col min="11" max="11" width="7.54296875" style="79" customWidth="1"/>
    <col min="12" max="12" width="12.453125" style="79" bestFit="1" customWidth="1"/>
    <col min="13" max="15" width="9.08984375" style="79"/>
    <col min="16" max="16" width="10.08984375" style="79" customWidth="1"/>
    <col min="17" max="17" width="89" style="79" customWidth="1"/>
    <col min="18" max="18" width="3.08984375" style="79" customWidth="1"/>
    <col min="19" max="19" width="10" style="79" bestFit="1" customWidth="1"/>
    <col min="20" max="16384" width="9.08984375" style="79"/>
  </cols>
  <sheetData>
    <row r="1" spans="1:18" ht="47.25" customHeight="1" x14ac:dyDescent="0.3">
      <c r="A1" s="669" t="s">
        <v>850</v>
      </c>
      <c r="B1" s="670"/>
      <c r="C1" s="670"/>
      <c r="D1" s="670"/>
      <c r="E1" s="670"/>
      <c r="F1" s="670"/>
      <c r="G1" s="670"/>
      <c r="H1" s="670"/>
      <c r="I1" s="670"/>
      <c r="J1" s="670"/>
      <c r="K1" s="670"/>
      <c r="L1" s="670"/>
      <c r="M1" s="670"/>
      <c r="N1" s="670"/>
      <c r="O1" s="670"/>
      <c r="P1" s="670"/>
      <c r="Q1" s="670"/>
      <c r="R1" s="500"/>
    </row>
    <row r="2" spans="1:18" ht="14.15" customHeight="1" x14ac:dyDescent="0.65">
      <c r="A2" s="503"/>
      <c r="B2" s="504"/>
      <c r="C2" s="504"/>
      <c r="D2" s="504"/>
      <c r="E2" s="504"/>
      <c r="F2" s="504"/>
      <c r="G2" s="504"/>
      <c r="H2" s="504"/>
      <c r="I2" s="504"/>
      <c r="J2" s="504"/>
      <c r="K2" s="504"/>
      <c r="L2" s="504"/>
      <c r="M2" s="504"/>
      <c r="N2" s="504"/>
      <c r="O2" s="518" t="s">
        <v>614</v>
      </c>
      <c r="P2" s="504"/>
      <c r="Q2" s="504"/>
      <c r="R2" s="500"/>
    </row>
    <row r="3" spans="1:18" ht="15.9" customHeight="1" x14ac:dyDescent="0.65">
      <c r="A3" s="505" t="s">
        <v>237</v>
      </c>
      <c r="B3" s="506"/>
      <c r="C3" s="517" t="s">
        <v>238</v>
      </c>
      <c r="D3" s="507"/>
      <c r="E3" s="120"/>
      <c r="F3" s="511" t="s">
        <v>146</v>
      </c>
      <c r="G3" s="512"/>
      <c r="H3" s="504"/>
      <c r="I3" s="504"/>
      <c r="J3" s="512"/>
      <c r="K3" s="513"/>
      <c r="L3" s="514"/>
      <c r="M3" s="500"/>
      <c r="N3" s="500"/>
      <c r="O3" s="668" t="s">
        <v>51</v>
      </c>
      <c r="P3" s="668"/>
      <c r="Q3" s="500" t="s">
        <v>168</v>
      </c>
      <c r="R3" s="500"/>
    </row>
    <row r="4" spans="1:18" ht="13.5" customHeight="1" thickBot="1" x14ac:dyDescent="0.5">
      <c r="A4" s="508"/>
      <c r="B4" s="509"/>
      <c r="C4" s="510"/>
      <c r="D4" s="510"/>
      <c r="E4" s="510"/>
      <c r="F4" s="510"/>
      <c r="G4" s="510"/>
      <c r="H4" s="510"/>
      <c r="I4" s="510"/>
      <c r="J4" s="510"/>
      <c r="K4" s="510"/>
      <c r="L4" s="510"/>
      <c r="M4" s="515"/>
      <c r="N4" s="515"/>
      <c r="O4" s="515"/>
      <c r="P4" s="515"/>
      <c r="Q4" s="516"/>
      <c r="R4" s="500"/>
    </row>
    <row r="5" spans="1:18" ht="20.149999999999999" customHeight="1" thickBot="1" x14ac:dyDescent="0.5">
      <c r="A5" s="184" t="s">
        <v>225</v>
      </c>
      <c r="B5" s="119"/>
      <c r="C5" s="80"/>
      <c r="D5" s="80"/>
      <c r="E5" s="82"/>
      <c r="F5" s="80"/>
      <c r="G5" s="108"/>
      <c r="H5" s="83"/>
      <c r="I5" s="83"/>
      <c r="J5" s="83"/>
      <c r="K5" s="83"/>
      <c r="L5" s="83"/>
      <c r="M5" s="83"/>
      <c r="N5" s="83"/>
      <c r="O5" s="83"/>
      <c r="P5" s="83"/>
      <c r="Q5" s="107"/>
      <c r="R5" s="500"/>
    </row>
    <row r="6" spans="1:18" ht="15.75" customHeight="1" x14ac:dyDescent="0.3">
      <c r="A6" s="267"/>
      <c r="B6" s="268"/>
      <c r="C6" s="561"/>
      <c r="D6" s="561"/>
      <c r="E6" s="561"/>
      <c r="F6" s="562"/>
      <c r="G6" s="130"/>
      <c r="H6" s="128"/>
      <c r="I6" s="83"/>
      <c r="J6" s="83"/>
      <c r="K6" s="83"/>
      <c r="L6" s="83"/>
      <c r="M6" s="83"/>
      <c r="N6" s="83"/>
      <c r="O6" s="83"/>
      <c r="P6" s="83"/>
      <c r="Q6" s="107"/>
      <c r="R6" s="500"/>
    </row>
    <row r="7" spans="1:18" ht="13.5" customHeight="1" x14ac:dyDescent="0.3">
      <c r="A7" s="258"/>
      <c r="B7" s="257"/>
      <c r="C7" s="259"/>
      <c r="D7" s="271" t="s">
        <v>791</v>
      </c>
      <c r="E7" s="272">
        <v>36</v>
      </c>
      <c r="F7" s="273" t="s">
        <v>0</v>
      </c>
      <c r="G7" s="130"/>
      <c r="H7" s="128"/>
      <c r="I7" s="83"/>
      <c r="J7" s="83"/>
      <c r="K7" s="83"/>
      <c r="L7" s="83"/>
      <c r="M7" s="83"/>
      <c r="N7" s="83"/>
      <c r="O7" s="83"/>
      <c r="P7" s="83"/>
      <c r="Q7" s="107"/>
      <c r="R7" s="500"/>
    </row>
    <row r="8" spans="1:18" ht="13.5" customHeight="1" x14ac:dyDescent="0.3">
      <c r="A8" s="258"/>
      <c r="B8" s="257"/>
      <c r="C8" s="259"/>
      <c r="D8" s="271" t="s">
        <v>792</v>
      </c>
      <c r="E8" s="272">
        <v>45</v>
      </c>
      <c r="F8" s="287" t="s">
        <v>0</v>
      </c>
      <c r="G8" s="130"/>
      <c r="H8" s="128"/>
      <c r="I8" s="83"/>
      <c r="J8" s="83"/>
      <c r="K8" s="83"/>
      <c r="L8" s="83"/>
      <c r="M8" s="83"/>
      <c r="N8" s="83"/>
      <c r="O8" s="83"/>
      <c r="P8" s="83"/>
      <c r="Q8" s="107"/>
      <c r="R8" s="500"/>
    </row>
    <row r="9" spans="1:18" ht="13.5" customHeight="1" thickBot="1" x14ac:dyDescent="0.35">
      <c r="A9" s="258"/>
      <c r="B9" s="257"/>
      <c r="C9" s="259"/>
      <c r="D9" s="271" t="s">
        <v>793</v>
      </c>
      <c r="E9" s="272">
        <v>51</v>
      </c>
      <c r="F9" s="273" t="s">
        <v>0</v>
      </c>
      <c r="G9" s="130"/>
      <c r="H9" s="128"/>
      <c r="I9" s="83"/>
      <c r="J9" s="83"/>
      <c r="K9" s="83"/>
      <c r="L9" s="83"/>
      <c r="M9" s="83"/>
      <c r="N9" s="83"/>
      <c r="O9" s="83"/>
      <c r="P9" s="83"/>
      <c r="Q9" s="107"/>
      <c r="R9" s="500"/>
    </row>
    <row r="10" spans="1:18" ht="13.5" customHeight="1" x14ac:dyDescent="0.3">
      <c r="A10" s="258"/>
      <c r="B10" s="257"/>
      <c r="C10" s="259"/>
      <c r="D10" s="271" t="s">
        <v>803</v>
      </c>
      <c r="E10" s="272">
        <v>24</v>
      </c>
      <c r="F10" s="273" t="s">
        <v>0</v>
      </c>
      <c r="G10" s="566"/>
      <c r="H10" s="561"/>
      <c r="I10" s="567" t="s">
        <v>637</v>
      </c>
      <c r="J10" s="568">
        <v>5</v>
      </c>
      <c r="K10" s="569" t="s">
        <v>0</v>
      </c>
      <c r="L10" s="83"/>
      <c r="M10" s="83"/>
      <c r="N10" s="83"/>
      <c r="O10" s="83"/>
      <c r="P10" s="83"/>
      <c r="Q10" s="107"/>
      <c r="R10" s="500"/>
    </row>
    <row r="11" spans="1:18" ht="15.75" customHeight="1" thickBot="1" x14ac:dyDescent="0.35">
      <c r="A11" s="258"/>
      <c r="B11" s="257"/>
      <c r="C11" s="259"/>
      <c r="D11" s="271" t="s">
        <v>804</v>
      </c>
      <c r="E11" s="272">
        <v>60</v>
      </c>
      <c r="F11" s="273" t="s">
        <v>1</v>
      </c>
      <c r="G11" s="564"/>
      <c r="H11" s="570"/>
      <c r="I11" s="571" t="s">
        <v>638</v>
      </c>
      <c r="J11" s="572">
        <v>12</v>
      </c>
      <c r="K11" s="573" t="s">
        <v>1</v>
      </c>
      <c r="L11" s="83"/>
      <c r="M11" s="83"/>
      <c r="N11" s="83"/>
      <c r="O11" s="83"/>
      <c r="P11" s="83"/>
      <c r="Q11" s="107"/>
      <c r="R11" s="500"/>
    </row>
    <row r="12" spans="1:18" ht="13.5" customHeight="1" x14ac:dyDescent="0.3">
      <c r="A12" s="258"/>
      <c r="B12" s="257"/>
      <c r="C12" s="259"/>
      <c r="D12" s="271" t="s">
        <v>794</v>
      </c>
      <c r="E12" s="274">
        <v>220</v>
      </c>
      <c r="F12" s="273" t="s">
        <v>2</v>
      </c>
      <c r="G12" s="130"/>
      <c r="H12" s="128"/>
      <c r="I12" s="83"/>
      <c r="J12" s="83"/>
      <c r="K12" s="83"/>
      <c r="L12" s="83"/>
      <c r="M12" s="83"/>
      <c r="N12" s="83"/>
      <c r="O12" s="83"/>
      <c r="P12" s="83"/>
      <c r="Q12" s="107"/>
      <c r="R12" s="500"/>
    </row>
    <row r="13" spans="1:18" ht="13.5" customHeight="1" x14ac:dyDescent="0.3">
      <c r="A13" s="609"/>
      <c r="B13" s="257"/>
      <c r="C13" s="259"/>
      <c r="D13" s="259" t="s">
        <v>281</v>
      </c>
      <c r="E13" s="259">
        <f>IF('Standard Value Calculator'!O4/1000&gt;288, "N/A",'Standard Value Calculator'!O4/1000)</f>
        <v>100</v>
      </c>
      <c r="F13" s="261" t="s">
        <v>50</v>
      </c>
      <c r="G13" s="130"/>
      <c r="H13" s="128"/>
      <c r="I13" s="83"/>
      <c r="J13" s="83"/>
      <c r="K13" s="83"/>
      <c r="L13" s="83"/>
      <c r="M13" s="83"/>
      <c r="N13" s="83"/>
      <c r="O13" s="83"/>
      <c r="P13" s="83"/>
      <c r="Q13" s="107"/>
      <c r="R13" s="500"/>
    </row>
    <row r="14" spans="1:18" ht="17.25" customHeight="1" thickBot="1" x14ac:dyDescent="0.35">
      <c r="A14" s="263"/>
      <c r="B14" s="264"/>
      <c r="C14" s="265"/>
      <c r="D14" s="611" t="s">
        <v>790</v>
      </c>
      <c r="E14" s="646">
        <v>25</v>
      </c>
      <c r="F14" s="610" t="s">
        <v>226</v>
      </c>
      <c r="G14" s="130"/>
      <c r="H14" s="128"/>
      <c r="I14" s="83"/>
      <c r="J14" s="83"/>
      <c r="K14" s="83"/>
      <c r="L14" s="83"/>
      <c r="M14" s="83"/>
      <c r="N14" s="83"/>
      <c r="O14" s="83"/>
      <c r="P14" s="83"/>
      <c r="Q14" s="107"/>
      <c r="R14" s="500"/>
    </row>
    <row r="15" spans="1:18" ht="17.25" customHeight="1" x14ac:dyDescent="0.3">
      <c r="A15" s="609"/>
      <c r="B15" s="257"/>
      <c r="C15" s="259"/>
      <c r="D15" s="647"/>
      <c r="E15" s="650"/>
      <c r="F15" s="649"/>
      <c r="G15" s="130"/>
      <c r="H15" s="128"/>
      <c r="I15" s="83"/>
      <c r="J15" s="83"/>
      <c r="K15" s="83"/>
      <c r="L15" s="83"/>
      <c r="M15" s="83"/>
      <c r="N15" s="83"/>
      <c r="O15" s="83"/>
      <c r="P15" s="83"/>
      <c r="Q15" s="107"/>
      <c r="R15" s="500"/>
    </row>
    <row r="16" spans="1:18" ht="20.149999999999999" customHeight="1" thickBot="1" x14ac:dyDescent="0.4">
      <c r="A16" s="184" t="s">
        <v>818</v>
      </c>
      <c r="B16" s="132"/>
      <c r="C16" s="128"/>
      <c r="D16" s="128"/>
      <c r="E16" s="128"/>
      <c r="F16" s="128"/>
      <c r="G16" s="130"/>
      <c r="H16" s="128"/>
      <c r="I16" s="83"/>
      <c r="J16" s="83"/>
      <c r="K16" s="83"/>
      <c r="L16" s="83"/>
      <c r="M16" s="83"/>
      <c r="N16" s="83"/>
      <c r="O16" s="83"/>
      <c r="P16" s="83"/>
      <c r="Q16" s="107"/>
      <c r="R16" s="500"/>
    </row>
    <row r="17" spans="1:18" ht="15" customHeight="1" x14ac:dyDescent="0.4">
      <c r="A17" s="267"/>
      <c r="B17" s="154"/>
      <c r="C17" s="154"/>
      <c r="D17" s="156" t="s">
        <v>653</v>
      </c>
      <c r="E17" s="302">
        <v>60</v>
      </c>
      <c r="F17" s="157" t="s">
        <v>1</v>
      </c>
      <c r="G17" s="566"/>
      <c r="H17" s="175"/>
      <c r="I17" s="156" t="s">
        <v>653</v>
      </c>
      <c r="J17" s="302">
        <v>16</v>
      </c>
      <c r="K17" s="157" t="s">
        <v>1</v>
      </c>
      <c r="L17" s="83"/>
      <c r="M17" s="83"/>
      <c r="N17" s="83"/>
      <c r="O17" s="83"/>
      <c r="P17" s="83"/>
      <c r="Q17" s="107"/>
      <c r="R17" s="500"/>
    </row>
    <row r="18" spans="1:18" ht="15" customHeight="1" x14ac:dyDescent="0.3">
      <c r="A18" s="258"/>
      <c r="B18" s="128"/>
      <c r="C18" s="128"/>
      <c r="D18" s="125" t="s">
        <v>308</v>
      </c>
      <c r="E18" s="304">
        <f>Rs_ideal*1000</f>
        <v>2.2423848496618994</v>
      </c>
      <c r="F18" s="163" t="s">
        <v>49</v>
      </c>
      <c r="G18" s="130"/>
      <c r="H18" s="128"/>
      <c r="I18" s="125" t="s">
        <v>308</v>
      </c>
      <c r="J18" s="304">
        <f>Rs2_ideal*1000</f>
        <v>3.5290345985516227</v>
      </c>
      <c r="K18" s="163" t="s">
        <v>49</v>
      </c>
      <c r="L18" s="83"/>
      <c r="M18" s="83"/>
      <c r="N18" s="83"/>
      <c r="O18" s="83"/>
      <c r="P18" s="83"/>
      <c r="Q18" s="107"/>
      <c r="R18" s="500"/>
    </row>
    <row r="19" spans="1:18" ht="13.65" customHeight="1" x14ac:dyDescent="0.4">
      <c r="A19" s="258"/>
      <c r="B19" s="128"/>
      <c r="C19" s="128"/>
      <c r="D19" s="153" t="s">
        <v>307</v>
      </c>
      <c r="E19" s="129">
        <v>2.2000000000000002</v>
      </c>
      <c r="F19" s="158" t="s">
        <v>49</v>
      </c>
      <c r="G19" s="130"/>
      <c r="H19" s="128"/>
      <c r="I19" s="153" t="s">
        <v>676</v>
      </c>
      <c r="J19" s="129">
        <v>4</v>
      </c>
      <c r="K19" s="158" t="s">
        <v>49</v>
      </c>
      <c r="L19" s="83"/>
      <c r="M19" s="83"/>
      <c r="N19" s="83"/>
      <c r="O19" s="83"/>
      <c r="P19" s="83"/>
      <c r="Q19" s="107"/>
      <c r="R19" s="500"/>
    </row>
    <row r="20" spans="1:18" ht="13.5" customHeight="1" x14ac:dyDescent="0.4">
      <c r="A20" s="258"/>
      <c r="B20" s="128"/>
      <c r="C20" s="128"/>
      <c r="D20" s="529" t="s">
        <v>693</v>
      </c>
      <c r="E20" s="555">
        <f>'Variable Management'!B95</f>
        <v>33.18181818181818</v>
      </c>
      <c r="F20" s="163" t="s">
        <v>1</v>
      </c>
      <c r="G20" s="130"/>
      <c r="H20" s="128"/>
      <c r="I20" s="529" t="s">
        <v>673</v>
      </c>
      <c r="J20" s="555">
        <f>'Variable Management'!D95</f>
        <v>18.25</v>
      </c>
      <c r="K20" s="163" t="s">
        <v>1</v>
      </c>
      <c r="L20" s="83"/>
      <c r="M20" s="83"/>
      <c r="N20" s="83"/>
      <c r="O20" s="83"/>
      <c r="P20" s="83"/>
      <c r="Q20" s="107"/>
      <c r="R20" s="500"/>
    </row>
    <row r="21" spans="1:18" ht="13.65" customHeight="1" x14ac:dyDescent="0.4">
      <c r="A21" s="258"/>
      <c r="B21" s="128"/>
      <c r="C21" s="128"/>
      <c r="D21" s="529" t="s">
        <v>668</v>
      </c>
      <c r="E21" s="530">
        <f>'Variable Management'!B105</f>
        <v>2.1657190662533412</v>
      </c>
      <c r="F21" s="163" t="s">
        <v>116</v>
      </c>
      <c r="G21" s="130"/>
      <c r="H21" s="128"/>
      <c r="I21" s="529" t="s">
        <v>674</v>
      </c>
      <c r="J21" s="530">
        <f>'Variable Management'!D105</f>
        <v>0.77954230905737953</v>
      </c>
      <c r="K21" s="163" t="s">
        <v>116</v>
      </c>
      <c r="L21" s="83"/>
      <c r="M21" s="83"/>
      <c r="N21" s="83"/>
      <c r="O21" s="83"/>
      <c r="P21" s="83"/>
      <c r="Q21" s="107"/>
      <c r="R21" s="500"/>
    </row>
    <row r="22" spans="1:18" ht="13.65" customHeight="1" x14ac:dyDescent="0.4">
      <c r="A22" s="258"/>
      <c r="B22" s="128"/>
      <c r="C22" s="113"/>
      <c r="D22" s="303" t="s">
        <v>285</v>
      </c>
      <c r="E22" s="260">
        <f>'Variable Management'!B97</f>
        <v>62.715506420048094</v>
      </c>
      <c r="F22" s="261" t="s">
        <v>1</v>
      </c>
      <c r="G22" s="130"/>
      <c r="H22" s="128"/>
      <c r="I22" s="303" t="s">
        <v>285</v>
      </c>
      <c r="J22" s="260">
        <f>'Variable Management'!D97</f>
        <v>13.712088198288416</v>
      </c>
      <c r="K22" s="261" t="s">
        <v>1</v>
      </c>
      <c r="L22" s="83"/>
      <c r="M22" s="83"/>
      <c r="N22" s="83"/>
      <c r="O22" s="83"/>
      <c r="P22" s="83"/>
      <c r="Q22" s="107"/>
      <c r="R22" s="500"/>
    </row>
    <row r="23" spans="1:18" ht="13.65" customHeight="1" x14ac:dyDescent="0.4">
      <c r="A23" s="258"/>
      <c r="B23" s="128"/>
      <c r="C23" s="125" t="s">
        <v>517</v>
      </c>
      <c r="D23" s="303" t="s">
        <v>286</v>
      </c>
      <c r="E23" s="260">
        <f>'Variable Management'!B98</f>
        <v>61.254384478522411</v>
      </c>
      <c r="F23" s="261" t="s">
        <v>1</v>
      </c>
      <c r="G23" s="130"/>
      <c r="H23" s="125" t="s">
        <v>672</v>
      </c>
      <c r="I23" s="303" t="s">
        <v>286</v>
      </c>
      <c r="J23" s="260">
        <f>'Variable Management'!D98</f>
        <v>13.564456132008321</v>
      </c>
      <c r="K23" s="261" t="s">
        <v>1</v>
      </c>
      <c r="L23" s="83"/>
      <c r="M23" s="83"/>
      <c r="N23" s="83"/>
      <c r="O23" s="83"/>
      <c r="P23" s="83"/>
      <c r="Q23" s="107"/>
      <c r="R23" s="500"/>
    </row>
    <row r="24" spans="1:18" ht="13.5" customHeight="1" thickBot="1" x14ac:dyDescent="0.45">
      <c r="A24" s="282"/>
      <c r="B24" s="176"/>
      <c r="C24" s="176"/>
      <c r="D24" s="574" t="s">
        <v>287</v>
      </c>
      <c r="E24" s="575">
        <f>'Variable Management'!B99</f>
        <v>60.566427404108047</v>
      </c>
      <c r="F24" s="284" t="s">
        <v>1</v>
      </c>
      <c r="G24" s="564"/>
      <c r="H24" s="176"/>
      <c r="I24" s="574" t="s">
        <v>287</v>
      </c>
      <c r="J24" s="575">
        <f>'Variable Management'!D99</f>
        <v>13.4949549994107</v>
      </c>
      <c r="K24" s="284" t="s">
        <v>1</v>
      </c>
      <c r="L24" s="83"/>
      <c r="M24" s="83"/>
      <c r="N24" s="83"/>
      <c r="O24" s="83"/>
      <c r="P24" s="83"/>
      <c r="Q24" s="107"/>
      <c r="R24" s="500"/>
    </row>
    <row r="25" spans="1:18" ht="17.25" customHeight="1" x14ac:dyDescent="0.3">
      <c r="A25" s="609"/>
      <c r="B25" s="257"/>
      <c r="C25" s="259"/>
      <c r="D25" s="647"/>
      <c r="E25" s="650"/>
      <c r="F25" s="649"/>
      <c r="G25" s="130"/>
      <c r="H25" s="128"/>
      <c r="I25" s="83"/>
      <c r="J25" s="83"/>
      <c r="K25" s="83"/>
      <c r="L25" s="83"/>
      <c r="M25" s="83"/>
      <c r="N25" s="83"/>
      <c r="O25" s="83"/>
      <c r="P25" s="83"/>
      <c r="Q25" s="107"/>
      <c r="R25" s="500"/>
    </row>
    <row r="26" spans="1:18" ht="19.5" customHeight="1" thickBot="1" x14ac:dyDescent="0.4">
      <c r="A26" s="184" t="s">
        <v>819</v>
      </c>
      <c r="B26" s="132"/>
      <c r="C26" s="133"/>
      <c r="D26" s="133"/>
      <c r="E26" s="134"/>
      <c r="F26" s="133"/>
      <c r="G26" s="130"/>
      <c r="H26" s="128"/>
      <c r="I26" s="83"/>
      <c r="J26" s="83"/>
      <c r="K26" s="83"/>
      <c r="L26" s="83"/>
      <c r="M26" s="83"/>
      <c r="N26" s="83"/>
      <c r="O26" s="83"/>
      <c r="P26" s="83"/>
      <c r="Q26" s="107"/>
      <c r="R26" s="500"/>
    </row>
    <row r="27" spans="1:18" ht="13.5" customHeight="1" x14ac:dyDescent="0.3">
      <c r="A27" s="185"/>
      <c r="B27" s="154"/>
      <c r="C27" s="155"/>
      <c r="D27" s="155" t="s">
        <v>702</v>
      </c>
      <c r="E27" s="560">
        <f>Lopt*1000000</f>
        <v>10</v>
      </c>
      <c r="F27" s="162" t="s">
        <v>217</v>
      </c>
      <c r="G27" s="563"/>
      <c r="H27" s="175"/>
      <c r="I27" s="155" t="s">
        <v>632</v>
      </c>
      <c r="J27" s="560">
        <f>Lopt2*1000000</f>
        <v>3.7878787878787881</v>
      </c>
      <c r="K27" s="162" t="s">
        <v>217</v>
      </c>
      <c r="L27" s="83"/>
      <c r="M27" s="83"/>
      <c r="N27" s="83"/>
      <c r="O27" s="83"/>
      <c r="P27" s="83"/>
      <c r="Q27" s="107"/>
      <c r="R27" s="500"/>
    </row>
    <row r="28" spans="1:18" ht="13.5" customHeight="1" x14ac:dyDescent="0.4">
      <c r="A28" s="127"/>
      <c r="B28" s="128"/>
      <c r="C28" s="125"/>
      <c r="D28" s="153" t="s">
        <v>634</v>
      </c>
      <c r="E28" s="129">
        <v>10</v>
      </c>
      <c r="F28" s="158" t="s">
        <v>217</v>
      </c>
      <c r="G28" s="130"/>
      <c r="H28" s="125"/>
      <c r="I28" s="153" t="s">
        <v>633</v>
      </c>
      <c r="J28" s="129">
        <v>2.2000000000000002</v>
      </c>
      <c r="K28" s="158" t="s">
        <v>217</v>
      </c>
      <c r="L28" s="83"/>
      <c r="M28" s="83"/>
      <c r="N28" s="83"/>
      <c r="O28" s="83"/>
      <c r="P28" s="83"/>
      <c r="Q28" s="107"/>
      <c r="R28" s="500"/>
    </row>
    <row r="29" spans="1:18" ht="13.5" customHeight="1" x14ac:dyDescent="0.3">
      <c r="A29" s="127"/>
      <c r="B29" s="128"/>
      <c r="C29" s="125"/>
      <c r="D29" s="153" t="s">
        <v>635</v>
      </c>
      <c r="E29" s="129">
        <v>1.86</v>
      </c>
      <c r="F29" s="158" t="s">
        <v>49</v>
      </c>
      <c r="G29" s="130"/>
      <c r="H29" s="125"/>
      <c r="I29" s="153" t="s">
        <v>636</v>
      </c>
      <c r="J29" s="129">
        <v>5</v>
      </c>
      <c r="K29" s="158" t="s">
        <v>49</v>
      </c>
      <c r="L29" s="83"/>
      <c r="M29" s="83"/>
      <c r="N29" s="83"/>
      <c r="O29" s="83"/>
      <c r="P29" s="83"/>
      <c r="Q29" s="107"/>
      <c r="R29" s="500"/>
    </row>
    <row r="30" spans="1:18" ht="16.5" customHeight="1" thickBot="1" x14ac:dyDescent="0.35">
      <c r="A30" s="282"/>
      <c r="B30" s="283"/>
      <c r="C30" s="281"/>
      <c r="D30" s="281" t="s">
        <v>306</v>
      </c>
      <c r="E30" s="565">
        <f>'Variable Management'!B68*100</f>
        <v>17.03083961704651</v>
      </c>
      <c r="F30" s="284" t="s">
        <v>156</v>
      </c>
      <c r="G30" s="564"/>
      <c r="H30" s="176"/>
      <c r="I30" s="281" t="s">
        <v>675</v>
      </c>
      <c r="J30" s="565">
        <f>'Variable Management'!D68*100</f>
        <v>78.092397799861331</v>
      </c>
      <c r="K30" s="284" t="s">
        <v>156</v>
      </c>
      <c r="L30" s="83"/>
      <c r="M30" s="83"/>
      <c r="N30" s="83"/>
      <c r="O30" s="83"/>
      <c r="P30" s="83"/>
      <c r="Q30" s="107"/>
      <c r="R30" s="500"/>
    </row>
    <row r="31" spans="1:18" ht="14.15" customHeight="1" x14ac:dyDescent="0.3">
      <c r="A31" s="127"/>
      <c r="B31" s="128"/>
      <c r="C31" s="135"/>
      <c r="D31" s="135"/>
      <c r="E31" s="135"/>
      <c r="F31" s="135"/>
      <c r="G31" s="128"/>
      <c r="H31" s="128"/>
      <c r="I31" s="83"/>
      <c r="J31" s="83"/>
      <c r="K31" s="83"/>
      <c r="L31" s="83"/>
      <c r="M31" s="83"/>
      <c r="N31" s="83"/>
      <c r="O31" s="83"/>
      <c r="P31" s="83"/>
      <c r="Q31" s="107"/>
      <c r="R31" s="500"/>
    </row>
    <row r="32" spans="1:18" ht="18" thickBot="1" x14ac:dyDescent="0.4">
      <c r="A32" s="184" t="s">
        <v>616</v>
      </c>
      <c r="B32" s="132"/>
      <c r="C32" s="133"/>
      <c r="D32" s="133"/>
      <c r="E32" s="134"/>
      <c r="F32" s="133"/>
      <c r="G32" s="128"/>
      <c r="H32" s="128"/>
      <c r="I32" s="83"/>
      <c r="J32" s="83"/>
      <c r="K32" s="83"/>
      <c r="L32" s="83"/>
      <c r="M32" s="83"/>
      <c r="N32" s="83"/>
      <c r="O32" s="83"/>
      <c r="P32" s="83"/>
      <c r="Q32" s="107"/>
      <c r="R32" s="500"/>
    </row>
    <row r="33" spans="1:18" ht="15.75" customHeight="1" x14ac:dyDescent="0.4">
      <c r="A33" s="173"/>
      <c r="B33" s="164"/>
      <c r="C33" s="155"/>
      <c r="D33" s="165" t="str">
        <f>IF(MODE=1, "Ch1 Output Voltage Ripple Spec", "Output Voltage Ripple Spec")</f>
        <v>Output Voltage Ripple Spec</v>
      </c>
      <c r="E33" s="166">
        <v>20</v>
      </c>
      <c r="F33" s="157" t="s">
        <v>230</v>
      </c>
      <c r="G33" s="585"/>
      <c r="H33" s="175"/>
      <c r="I33" s="165" t="s">
        <v>696</v>
      </c>
      <c r="J33" s="166">
        <v>50</v>
      </c>
      <c r="K33" s="157" t="s">
        <v>230</v>
      </c>
      <c r="L33" s="83"/>
      <c r="M33" s="83"/>
      <c r="N33" s="83"/>
      <c r="O33" s="83"/>
      <c r="P33" s="83"/>
      <c r="Q33" s="107"/>
      <c r="R33" s="500"/>
    </row>
    <row r="34" spans="1:18" ht="14.15" customHeight="1" x14ac:dyDescent="0.3">
      <c r="A34" s="127"/>
      <c r="B34" s="128"/>
      <c r="C34" s="125"/>
      <c r="D34" s="125" t="str">
        <f>IF(MODE=1, "Ch1 Minimum Output Capacitance", "Minimum Output Capacitance")</f>
        <v>Minimum Output Capacitance</v>
      </c>
      <c r="E34" s="527">
        <f>'Variable Management'!B121</f>
        <v>145.14920128164636</v>
      </c>
      <c r="F34" s="163" t="s">
        <v>218</v>
      </c>
      <c r="G34" s="128"/>
      <c r="H34" s="128"/>
      <c r="I34" s="125" t="s">
        <v>697</v>
      </c>
      <c r="J34" s="527">
        <f>'Variable Management'!D121</f>
        <v>106.48963336344728</v>
      </c>
      <c r="K34" s="163" t="s">
        <v>218</v>
      </c>
      <c r="L34" s="83"/>
      <c r="M34" s="83"/>
      <c r="N34" s="83"/>
      <c r="O34" s="83"/>
      <c r="P34" s="83"/>
      <c r="Q34" s="107"/>
      <c r="R34" s="500"/>
    </row>
    <row r="35" spans="1:18" ht="14.15" customHeight="1" x14ac:dyDescent="0.4">
      <c r="A35" s="127"/>
      <c r="B35" s="128"/>
      <c r="C35" s="125"/>
      <c r="D35" s="124" t="s">
        <v>848</v>
      </c>
      <c r="E35" s="131">
        <v>204</v>
      </c>
      <c r="F35" s="158" t="s">
        <v>218</v>
      </c>
      <c r="G35" s="130"/>
      <c r="H35" s="128"/>
      <c r="I35" s="124" t="s">
        <v>849</v>
      </c>
      <c r="J35" s="131">
        <v>120</v>
      </c>
      <c r="K35" s="158" t="s">
        <v>218</v>
      </c>
      <c r="L35" s="673" t="str">
        <f>CHOOSE(SCH_MODE, "", "** For Single-Output Operation in 2-Phase Mode, tie MODE to VDDA and use FB1 to set VOUT **", "** For Single-Output Operation in 3-Phase Mode, tie both MODE pins to VDDA. Use FB1 of master IC to set VOUT. Connect FB2 of master IC to AGND. Connect FB2 of slave IC to VDDA to configure it as a slave **", "** For Single-Output Operation in 4-Phase Mode, tie both MODE pins to VDDA. Use FB1 of master IC to set VOUT. Connect FB2 of master IC to AGND. Connect FB2 of slave IC to VDDA to configure it as a slave **")</f>
        <v>** For Single-Output Operation in 2-Phase Mode, tie MODE to VDDA and use FB1 to set VOUT **</v>
      </c>
      <c r="M35" s="674"/>
      <c r="N35" s="674"/>
      <c r="O35" s="674"/>
      <c r="P35" s="674"/>
      <c r="Q35" s="675"/>
      <c r="R35" s="500"/>
    </row>
    <row r="36" spans="1:18" ht="14.15" customHeight="1" x14ac:dyDescent="0.3">
      <c r="A36" s="127"/>
      <c r="B36" s="128"/>
      <c r="C36" s="125"/>
      <c r="D36" s="125" t="str">
        <f>IF(MODE=1, "Ch1 Maximum Permitted ESR", "Maximum Permitted ESR")</f>
        <v>Maximum Permitted ESR</v>
      </c>
      <c r="E36" s="595">
        <f>'Variable Management'!B125</f>
        <v>2.7505796245766838</v>
      </c>
      <c r="F36" s="163" t="s">
        <v>49</v>
      </c>
      <c r="G36" s="130"/>
      <c r="H36" s="128"/>
      <c r="I36" s="125" t="s">
        <v>695</v>
      </c>
      <c r="J36" s="595">
        <f>'Variable Management'!D125</f>
        <v>2.4595547028599096</v>
      </c>
      <c r="K36" s="163" t="s">
        <v>49</v>
      </c>
      <c r="L36" s="673"/>
      <c r="M36" s="674"/>
      <c r="N36" s="674"/>
      <c r="O36" s="674"/>
      <c r="P36" s="674"/>
      <c r="Q36" s="675"/>
      <c r="R36" s="500"/>
    </row>
    <row r="37" spans="1:18" ht="14.15" customHeight="1" x14ac:dyDescent="0.3">
      <c r="A37" s="127"/>
      <c r="B37" s="128"/>
      <c r="C37" s="125"/>
      <c r="D37" s="124" t="str">
        <f>IF(MODE=1, "Ch1 Output Capacitor ESR", "Output Capacitor ESR")</f>
        <v>Output Capacitor ESR</v>
      </c>
      <c r="E37" s="131">
        <v>2</v>
      </c>
      <c r="F37" s="158" t="s">
        <v>49</v>
      </c>
      <c r="G37" s="130"/>
      <c r="H37" s="128"/>
      <c r="I37" s="124" t="s">
        <v>694</v>
      </c>
      <c r="J37" s="131">
        <v>2</v>
      </c>
      <c r="K37" s="158" t="s">
        <v>49</v>
      </c>
      <c r="L37" s="644" t="str">
        <f>CHOOSE(SCH_MODE,  "", "** Tie VCCX to GND if not used **", "** Slave controller (CNTRL2) not shown **","** Slave controller (CNTRL2) not shown **")</f>
        <v>** Tie VCCX to GND if not used **</v>
      </c>
      <c r="M37" s="133"/>
      <c r="N37" s="83"/>
      <c r="O37" s="83"/>
      <c r="P37" s="83"/>
      <c r="Q37" s="645" t="str">
        <f>IF(SCH_MODE=1,  "** Tie VCCX to GND if not used **", "")</f>
        <v/>
      </c>
      <c r="R37" s="500"/>
    </row>
    <row r="38" spans="1:18" ht="14.15" customHeight="1" x14ac:dyDescent="0.4">
      <c r="A38" s="127"/>
      <c r="B38" s="128"/>
      <c r="C38" s="128"/>
      <c r="D38" s="125" t="s">
        <v>559</v>
      </c>
      <c r="E38" s="152">
        <f>'Variable Management'!B127*1000</f>
        <v>17.51912245531037</v>
      </c>
      <c r="F38" s="163" t="s">
        <v>233</v>
      </c>
      <c r="G38" s="130"/>
      <c r="H38" s="128"/>
      <c r="I38" s="125" t="s">
        <v>559</v>
      </c>
      <c r="J38" s="152">
        <f>'Variable Management'!D127*1000</f>
        <v>48.166652732971045</v>
      </c>
      <c r="K38" s="163" t="s">
        <v>233</v>
      </c>
      <c r="L38" s="279" t="str">
        <f>IF(OR(SCH_MODE=3, SCH_MODE=4),"** Tie VCCX to GND if not used **", "")</f>
        <v/>
      </c>
      <c r="M38" s="113"/>
      <c r="N38" s="83"/>
      <c r="O38" s="83"/>
      <c r="P38" s="83"/>
      <c r="Q38" s="107"/>
      <c r="R38" s="500"/>
    </row>
    <row r="39" spans="1:18" ht="14.15" customHeight="1" thickBot="1" x14ac:dyDescent="0.35">
      <c r="A39" s="159"/>
      <c r="B39" s="160"/>
      <c r="C39" s="160"/>
      <c r="D39" s="126" t="s">
        <v>560</v>
      </c>
      <c r="E39" s="590">
        <f>'Variable Management'!B114</f>
        <v>1.67351007666609</v>
      </c>
      <c r="F39" s="161" t="s">
        <v>145</v>
      </c>
      <c r="G39" s="586"/>
      <c r="H39" s="176"/>
      <c r="I39" s="126" t="s">
        <v>560</v>
      </c>
      <c r="J39" s="590">
        <f>'Variable Management'!D114</f>
        <v>2.7453265110990168</v>
      </c>
      <c r="K39" s="161" t="s">
        <v>145</v>
      </c>
      <c r="L39" s="113"/>
      <c r="M39" s="83"/>
      <c r="N39" s="83"/>
      <c r="O39" s="83"/>
      <c r="P39" s="83"/>
      <c r="Q39" s="607"/>
      <c r="R39" s="500"/>
    </row>
    <row r="40" spans="1:18" ht="13.5" customHeight="1" x14ac:dyDescent="0.3">
      <c r="A40" s="186"/>
      <c r="B40" s="135"/>
      <c r="C40" s="135"/>
      <c r="D40" s="135"/>
      <c r="E40" s="135"/>
      <c r="F40" s="135"/>
      <c r="G40" s="128"/>
      <c r="H40" s="128"/>
      <c r="I40" s="83"/>
      <c r="J40" s="83"/>
      <c r="K40" s="83"/>
      <c r="L40" s="83"/>
      <c r="M40" s="113"/>
      <c r="N40" s="113"/>
      <c r="O40" s="113"/>
      <c r="P40" s="113"/>
      <c r="Q40" s="107"/>
      <c r="R40" s="500"/>
    </row>
    <row r="41" spans="1:18" ht="18" thickBot="1" x14ac:dyDescent="0.4">
      <c r="A41" s="184" t="s">
        <v>617</v>
      </c>
      <c r="B41" s="132"/>
      <c r="C41" s="133"/>
      <c r="D41" s="133"/>
      <c r="E41" s="128"/>
      <c r="F41" s="128"/>
      <c r="G41" s="128"/>
      <c r="H41" s="128"/>
      <c r="I41" s="83"/>
      <c r="J41" s="83"/>
      <c r="K41" s="83"/>
      <c r="L41" s="109"/>
      <c r="M41" s="113"/>
      <c r="N41" s="113"/>
      <c r="O41" s="83"/>
      <c r="P41" s="83"/>
      <c r="Q41" s="107"/>
      <c r="R41" s="500"/>
    </row>
    <row r="42" spans="1:18" ht="14.15" customHeight="1" x14ac:dyDescent="0.4">
      <c r="A42" s="173"/>
      <c r="B42" s="164"/>
      <c r="C42" s="154"/>
      <c r="D42" s="156" t="s">
        <v>565</v>
      </c>
      <c r="E42" s="166">
        <v>100</v>
      </c>
      <c r="F42" s="157" t="s">
        <v>230</v>
      </c>
      <c r="G42" s="128"/>
      <c r="H42" s="128"/>
      <c r="I42" s="83"/>
      <c r="J42" s="110"/>
      <c r="K42" s="83"/>
      <c r="L42" s="83"/>
      <c r="M42" s="83"/>
      <c r="N42" s="83"/>
      <c r="O42" s="83"/>
      <c r="P42" s="83"/>
      <c r="Q42" s="107"/>
      <c r="R42" s="500"/>
    </row>
    <row r="43" spans="1:18" ht="14.15" customHeight="1" x14ac:dyDescent="0.3">
      <c r="A43" s="136"/>
      <c r="B43" s="133"/>
      <c r="C43" s="128"/>
      <c r="D43" s="125" t="s">
        <v>566</v>
      </c>
      <c r="E43" s="595">
        <f>'Variable Management'!B145</f>
        <v>340.90909090909093</v>
      </c>
      <c r="F43" s="163" t="s">
        <v>218</v>
      </c>
      <c r="G43" s="128"/>
      <c r="H43" s="128"/>
      <c r="I43" s="83"/>
      <c r="J43" s="110"/>
      <c r="K43" s="83"/>
      <c r="L43" s="83"/>
      <c r="M43" s="271"/>
      <c r="N43" s="299"/>
      <c r="O43" s="83"/>
      <c r="P43" s="83"/>
      <c r="Q43" s="107"/>
      <c r="R43" s="500"/>
    </row>
    <row r="44" spans="1:18" ht="14.15" customHeight="1" x14ac:dyDescent="0.4">
      <c r="A44" s="127"/>
      <c r="B44" s="128"/>
      <c r="C44" s="133"/>
      <c r="D44" s="153" t="s">
        <v>282</v>
      </c>
      <c r="E44" s="129">
        <v>1328</v>
      </c>
      <c r="F44" s="158" t="s">
        <v>218</v>
      </c>
      <c r="G44" s="128"/>
      <c r="H44" s="128"/>
      <c r="I44" s="83"/>
      <c r="J44" s="110"/>
      <c r="K44" s="83"/>
      <c r="L44" s="83"/>
      <c r="M44" s="83"/>
      <c r="N44" s="83"/>
      <c r="O44" s="83"/>
      <c r="P44" s="83"/>
      <c r="Q44" s="107"/>
      <c r="R44" s="500"/>
    </row>
    <row r="45" spans="1:18" ht="14.15" customHeight="1" x14ac:dyDescent="0.3">
      <c r="A45" s="127"/>
      <c r="B45" s="128"/>
      <c r="C45" s="133"/>
      <c r="D45" s="125" t="s">
        <v>833</v>
      </c>
      <c r="E45" s="526">
        <f>'Variable Management'!B150</f>
        <v>2.2593400509258879</v>
      </c>
      <c r="F45" s="163" t="s">
        <v>49</v>
      </c>
      <c r="G45" s="128"/>
      <c r="H45" s="128"/>
      <c r="I45" s="83"/>
      <c r="J45" s="111"/>
      <c r="K45" s="83"/>
      <c r="L45" s="83"/>
      <c r="M45" s="83"/>
      <c r="N45" s="83"/>
      <c r="O45" s="83"/>
      <c r="P45" s="83"/>
      <c r="Q45" s="107" t="s">
        <v>178</v>
      </c>
      <c r="R45" s="500"/>
    </row>
    <row r="46" spans="1:18" ht="14.15" customHeight="1" x14ac:dyDescent="0.3">
      <c r="A46" s="127"/>
      <c r="B46" s="128"/>
      <c r="C46" s="133"/>
      <c r="D46" s="153" t="s">
        <v>480</v>
      </c>
      <c r="E46" s="129">
        <v>1.5</v>
      </c>
      <c r="F46" s="158" t="s">
        <v>49</v>
      </c>
      <c r="G46" s="128"/>
      <c r="H46" s="128"/>
      <c r="I46" s="83"/>
      <c r="J46" s="111"/>
      <c r="K46" s="83"/>
      <c r="L46" s="83"/>
      <c r="M46" s="83"/>
      <c r="N46" s="83"/>
      <c r="O46" s="83"/>
      <c r="P46" s="83"/>
      <c r="Q46" s="107"/>
      <c r="R46" s="500"/>
    </row>
    <row r="47" spans="1:18" ht="14.15" customHeight="1" x14ac:dyDescent="0.4">
      <c r="A47" s="127"/>
      <c r="B47" s="128"/>
      <c r="C47" s="133"/>
      <c r="D47" s="259" t="s">
        <v>834</v>
      </c>
      <c r="E47" s="152">
        <f>'Variable Management'!B155*1000</f>
        <v>75.01877199894524</v>
      </c>
      <c r="F47" s="163" t="s">
        <v>233</v>
      </c>
      <c r="G47" s="128"/>
      <c r="H47" s="128"/>
      <c r="I47" s="83"/>
      <c r="J47" s="111"/>
      <c r="K47" s="83"/>
      <c r="L47" s="83"/>
      <c r="M47" s="83"/>
      <c r="N47" s="83"/>
      <c r="O47" s="83"/>
      <c r="P47" s="83"/>
      <c r="Q47" s="107"/>
      <c r="R47" s="500"/>
    </row>
    <row r="48" spans="1:18" ht="15.75" customHeight="1" thickBot="1" x14ac:dyDescent="0.35">
      <c r="A48" s="159"/>
      <c r="B48" s="160"/>
      <c r="C48" s="160"/>
      <c r="D48" s="265" t="s">
        <v>561</v>
      </c>
      <c r="E48" s="660">
        <f>'Variable Management'!B138</f>
        <v>15</v>
      </c>
      <c r="F48" s="266" t="s">
        <v>145</v>
      </c>
      <c r="G48" s="128"/>
      <c r="H48" s="128"/>
      <c r="I48" s="83"/>
      <c r="J48" s="83"/>
      <c r="K48" s="83"/>
      <c r="L48" s="83"/>
      <c r="M48" s="83"/>
      <c r="N48" s="83"/>
      <c r="O48" s="83"/>
      <c r="P48" s="83"/>
      <c r="Q48" s="107"/>
      <c r="R48" s="500"/>
    </row>
    <row r="49" spans="1:35" ht="14.15" customHeight="1" x14ac:dyDescent="0.3">
      <c r="A49" s="127"/>
      <c r="B49" s="128"/>
      <c r="C49" s="128"/>
      <c r="D49" s="125"/>
      <c r="E49" s="128"/>
      <c r="F49" s="128"/>
      <c r="G49" s="128"/>
      <c r="H49" s="128"/>
      <c r="I49" s="83"/>
      <c r="J49" s="83"/>
      <c r="K49" s="83"/>
      <c r="L49" s="83"/>
      <c r="M49" s="83"/>
      <c r="N49" s="83"/>
      <c r="O49" s="83"/>
      <c r="P49" s="83"/>
      <c r="Q49" s="107"/>
      <c r="R49" s="500"/>
    </row>
    <row r="50" spans="1:35" ht="18" thickBot="1" x14ac:dyDescent="0.4">
      <c r="A50" s="184" t="s">
        <v>692</v>
      </c>
      <c r="B50" s="132"/>
      <c r="C50" s="128"/>
      <c r="D50" s="125"/>
      <c r="E50" s="128"/>
      <c r="F50" s="128"/>
      <c r="G50" s="128"/>
      <c r="H50" s="137"/>
      <c r="I50" s="113"/>
      <c r="J50" s="113"/>
      <c r="K50" s="113"/>
      <c r="L50" s="113"/>
      <c r="M50" s="113"/>
      <c r="N50" s="83"/>
      <c r="O50" s="83"/>
      <c r="P50" s="83"/>
      <c r="Q50" s="107"/>
      <c r="R50" s="500"/>
    </row>
    <row r="51" spans="1:35" ht="13.65" customHeight="1" x14ac:dyDescent="0.3">
      <c r="A51" s="267"/>
      <c r="B51" s="268"/>
      <c r="C51" s="268"/>
      <c r="D51" s="275" t="s">
        <v>284</v>
      </c>
      <c r="E51" s="276">
        <v>3</v>
      </c>
      <c r="F51" s="270" t="s">
        <v>149</v>
      </c>
      <c r="G51" s="128"/>
      <c r="H51" s="135"/>
      <c r="I51" s="113"/>
      <c r="J51" s="113"/>
      <c r="K51" s="113"/>
      <c r="L51" s="113"/>
      <c r="M51" s="113"/>
      <c r="N51" s="83"/>
      <c r="O51" s="83"/>
      <c r="P51" s="83"/>
      <c r="Q51" s="107"/>
      <c r="R51" s="500"/>
    </row>
    <row r="52" spans="1:35" ht="13.65" customHeight="1" x14ac:dyDescent="0.3">
      <c r="A52" s="258"/>
      <c r="B52" s="257"/>
      <c r="C52" s="257"/>
      <c r="D52" s="259" t="s">
        <v>283</v>
      </c>
      <c r="E52" s="277">
        <f>IF(Tss&gt;0.5/1000,Css_u*1000000000,"N/A")</f>
        <v>100</v>
      </c>
      <c r="F52" s="261" t="s">
        <v>141</v>
      </c>
      <c r="G52" s="128"/>
      <c r="H52" s="135"/>
      <c r="I52" s="113"/>
      <c r="J52" s="113"/>
      <c r="K52" s="113"/>
      <c r="L52" s="113"/>
      <c r="M52" s="113"/>
      <c r="N52" s="83"/>
      <c r="O52" s="83"/>
      <c r="P52" s="83"/>
      <c r="Q52" s="107"/>
      <c r="R52" s="500"/>
    </row>
    <row r="53" spans="1:35" ht="13.65" customHeight="1" x14ac:dyDescent="0.3">
      <c r="A53" s="258"/>
      <c r="B53" s="257"/>
      <c r="C53" s="279"/>
      <c r="D53" s="278" t="s">
        <v>698</v>
      </c>
      <c r="E53" s="272">
        <v>30</v>
      </c>
      <c r="F53" s="273" t="s">
        <v>149</v>
      </c>
      <c r="G53" s="128"/>
      <c r="H53" s="135"/>
      <c r="I53" s="113"/>
      <c r="J53" s="113"/>
      <c r="K53" s="113"/>
      <c r="L53" s="113"/>
      <c r="M53" s="113"/>
      <c r="N53" s="83"/>
      <c r="O53" s="83"/>
      <c r="P53" s="83"/>
      <c r="Q53" s="107"/>
      <c r="R53" s="500"/>
    </row>
    <row r="54" spans="1:35" ht="13.65" customHeight="1" x14ac:dyDescent="0.3">
      <c r="A54" s="258"/>
      <c r="B54" s="257"/>
      <c r="C54" s="257"/>
      <c r="D54" s="259" t="s">
        <v>684</v>
      </c>
      <c r="E54" s="277">
        <f>IF(Tres&gt;1/1000,Cres_u*1000000000,"N/A")</f>
        <v>470</v>
      </c>
      <c r="F54" s="261" t="s">
        <v>141</v>
      </c>
      <c r="G54" s="128"/>
      <c r="H54" s="135"/>
      <c r="I54" s="113"/>
      <c r="J54" s="113"/>
      <c r="K54" s="113"/>
      <c r="L54" s="113"/>
      <c r="M54" s="113"/>
      <c r="N54" s="83"/>
      <c r="O54" s="83"/>
      <c r="P54" s="83"/>
      <c r="Q54" s="107"/>
      <c r="R54" s="500"/>
    </row>
    <row r="55" spans="1:35" ht="15.75" customHeight="1" x14ac:dyDescent="0.3">
      <c r="A55" s="258"/>
      <c r="B55" s="257"/>
      <c r="C55" s="257"/>
      <c r="D55" s="278" t="s">
        <v>613</v>
      </c>
      <c r="E55" s="554">
        <v>9</v>
      </c>
      <c r="F55" s="273" t="str">
        <f>IF(DITHER=1, "kHz", "")</f>
        <v>kHz</v>
      </c>
      <c r="G55" s="128"/>
      <c r="H55" s="128"/>
      <c r="I55" s="83"/>
      <c r="J55" s="81"/>
      <c r="K55" s="123"/>
      <c r="L55" s="83"/>
      <c r="M55" s="113"/>
      <c r="N55" s="83"/>
      <c r="O55" s="83"/>
      <c r="P55" s="83"/>
      <c r="Q55" s="107"/>
      <c r="R55" s="500"/>
    </row>
    <row r="56" spans="1:35" ht="13.65" customHeight="1" x14ac:dyDescent="0.3">
      <c r="A56" s="258"/>
      <c r="B56" s="257"/>
      <c r="C56" s="257"/>
      <c r="D56" s="259" t="str">
        <f>IF(DITHER=1, "DITH Capacitance, Cd", "*Tie DITH to VDDA")</f>
        <v>DITH Capacitance, Cd</v>
      </c>
      <c r="E56" s="259">
        <f>IF(DITHER=1,IF(E55&gt;0,'Standard Value Calculator'!O22*1000000000,"N/A"),"")</f>
        <v>10</v>
      </c>
      <c r="F56" s="261" t="str">
        <f>IF(DITHER=1, "nF", "")</f>
        <v>nF</v>
      </c>
      <c r="G56" s="128"/>
      <c r="H56" s="128"/>
      <c r="I56" s="83"/>
      <c r="J56" s="81"/>
      <c r="K56" s="123"/>
      <c r="L56" s="83"/>
      <c r="M56" s="113"/>
      <c r="N56" s="83"/>
      <c r="O56" s="83"/>
      <c r="P56" s="83"/>
      <c r="Q56" s="107"/>
      <c r="R56" s="500"/>
    </row>
    <row r="57" spans="1:35" ht="15.75" customHeight="1" x14ac:dyDescent="0.3">
      <c r="A57" s="258"/>
      <c r="B57" s="257"/>
      <c r="C57" s="279"/>
      <c r="D57" s="588" t="str">
        <f>IF(DEMB=1, "* Tie DEMB to VDDA", "*Tie DEMB to AGND")</f>
        <v>*Tie DEMB to AGND</v>
      </c>
      <c r="E57" s="647"/>
      <c r="F57" s="261"/>
      <c r="G57" s="128"/>
      <c r="H57" s="128"/>
      <c r="I57" s="83"/>
      <c r="J57" s="81"/>
      <c r="K57" s="123"/>
      <c r="L57" s="83"/>
      <c r="M57" s="113"/>
      <c r="N57" s="83"/>
      <c r="O57" s="83"/>
      <c r="P57" s="83"/>
      <c r="Q57" s="107"/>
      <c r="R57" s="500"/>
    </row>
    <row r="58" spans="1:35" ht="15" customHeight="1" thickBot="1" x14ac:dyDescent="0.35">
      <c r="A58" s="282"/>
      <c r="B58" s="283"/>
      <c r="C58" s="283"/>
      <c r="D58" s="593" t="str">
        <f>IF(MODE=2, "* Tie MODE to VDDA", "* Tie MODE to AGND")</f>
        <v>* Tie MODE to VDDA</v>
      </c>
      <c r="E58" s="587"/>
      <c r="F58" s="284"/>
      <c r="G58" s="128"/>
      <c r="H58" s="128"/>
      <c r="I58" s="83"/>
      <c r="J58" s="81"/>
      <c r="K58" s="123"/>
      <c r="L58" s="83"/>
      <c r="M58" s="113"/>
      <c r="N58" s="83"/>
      <c r="O58" s="83"/>
      <c r="P58" s="83"/>
      <c r="Q58" s="107"/>
      <c r="R58" s="500"/>
    </row>
    <row r="59" spans="1:35" ht="14.15" customHeight="1" x14ac:dyDescent="0.3">
      <c r="A59" s="127"/>
      <c r="B59" s="128"/>
      <c r="C59" s="128"/>
      <c r="D59" s="125"/>
      <c r="E59" s="138"/>
      <c r="F59" s="128"/>
      <c r="G59" s="128"/>
      <c r="H59" s="128"/>
      <c r="I59" s="83"/>
      <c r="J59" s="81"/>
      <c r="K59" s="123"/>
      <c r="L59" s="83"/>
      <c r="M59" s="113"/>
      <c r="N59" s="83"/>
      <c r="O59" s="83"/>
      <c r="P59" s="83"/>
      <c r="Q59" s="107"/>
      <c r="R59" s="500"/>
    </row>
    <row r="60" spans="1:35" ht="19.5" customHeight="1" thickBot="1" x14ac:dyDescent="0.35">
      <c r="A60" s="184" t="s">
        <v>235</v>
      </c>
      <c r="B60" s="140"/>
      <c r="C60" s="133"/>
      <c r="D60" s="556"/>
      <c r="E60" s="134"/>
      <c r="F60" s="133"/>
      <c r="G60" s="128"/>
      <c r="H60" s="128"/>
      <c r="I60" s="83"/>
      <c r="J60" s="83"/>
      <c r="K60" s="83"/>
      <c r="L60" s="83"/>
      <c r="M60" s="83"/>
      <c r="N60" s="83"/>
      <c r="O60" s="83"/>
      <c r="P60" s="83"/>
      <c r="Q60" s="107"/>
      <c r="R60" s="499"/>
      <c r="S60" s="54"/>
      <c r="T60" s="54"/>
      <c r="W60" s="54"/>
      <c r="X60" s="54"/>
      <c r="Y60" s="54"/>
      <c r="AB60" s="54"/>
      <c r="AC60" s="54"/>
      <c r="AD60" s="54"/>
      <c r="AG60" s="54"/>
      <c r="AH60" s="54"/>
      <c r="AI60" s="54"/>
    </row>
    <row r="61" spans="1:35" ht="15" customHeight="1" x14ac:dyDescent="0.3">
      <c r="A61" s="267"/>
      <c r="B61" s="268"/>
      <c r="C61" s="269"/>
      <c r="D61" s="269" t="str">
        <f>IF(MODE=1, "Ch1 Load Pole Frequency", "Load Pole Frequency")</f>
        <v>Load Pole Frequency</v>
      </c>
      <c r="E61" s="368">
        <f>Fp_dominant</f>
        <v>2305.9361495490862</v>
      </c>
      <c r="F61" s="285" t="s">
        <v>9</v>
      </c>
      <c r="G61" s="585"/>
      <c r="H61" s="175"/>
      <c r="I61" s="269" t="s">
        <v>704</v>
      </c>
      <c r="J61" s="368">
        <f>Fp_dominant_Ch2</f>
        <v>4420.681711975064</v>
      </c>
      <c r="K61" s="285" t="s">
        <v>9</v>
      </c>
      <c r="L61" s="83"/>
      <c r="M61" s="83"/>
      <c r="N61" s="83"/>
      <c r="O61" s="83"/>
      <c r="P61" s="83"/>
      <c r="Q61" s="107"/>
      <c r="R61" s="499"/>
      <c r="S61" s="54"/>
      <c r="T61" s="54"/>
      <c r="W61" s="54"/>
      <c r="X61" s="54"/>
      <c r="Y61" s="54"/>
      <c r="AB61" s="54"/>
      <c r="AC61" s="54"/>
      <c r="AD61" s="54"/>
      <c r="AG61" s="54"/>
      <c r="AH61" s="54"/>
      <c r="AI61" s="54"/>
    </row>
    <row r="62" spans="1:35" ht="15" customHeight="1" x14ac:dyDescent="0.3">
      <c r="A62" s="258"/>
      <c r="B62" s="257"/>
      <c r="C62" s="259"/>
      <c r="D62" s="259" t="str">
        <f>IF(MODE=1, "Ch1 ESR Zero Frequency", "ESR Zero Frequency")</f>
        <v>ESR Zero Frequency</v>
      </c>
      <c r="E62" s="262">
        <f>Fesr/1000</f>
        <v>390.08564527881464</v>
      </c>
      <c r="F62" s="261" t="s">
        <v>2</v>
      </c>
      <c r="G62" s="128"/>
      <c r="H62" s="128"/>
      <c r="I62" s="259" t="s">
        <v>707</v>
      </c>
      <c r="J62" s="262">
        <f>Fesr_Ch2/1000</f>
        <v>663.14559697398488</v>
      </c>
      <c r="K62" s="261" t="s">
        <v>2</v>
      </c>
      <c r="L62" s="83"/>
      <c r="M62" s="83"/>
      <c r="N62" s="83"/>
      <c r="O62" s="83"/>
      <c r="P62" s="83"/>
      <c r="Q62" s="107"/>
      <c r="R62" s="499"/>
      <c r="S62" s="54"/>
      <c r="T62" s="54"/>
      <c r="W62" s="54"/>
      <c r="X62" s="54"/>
      <c r="Y62" s="54"/>
      <c r="AB62" s="54"/>
      <c r="AC62" s="54"/>
      <c r="AD62" s="54"/>
      <c r="AG62" s="54"/>
      <c r="AH62" s="54"/>
      <c r="AI62" s="54"/>
    </row>
    <row r="63" spans="1:35" ht="15" customHeight="1" x14ac:dyDescent="0.3">
      <c r="A63" s="258"/>
      <c r="B63" s="257"/>
      <c r="C63" s="259"/>
      <c r="D63" s="280" t="str">
        <f>IF(MODE=1, "Ch1 Desired Crossover Frequency", "Desired Crossover Frequency")</f>
        <v>Desired Crossover Frequency</v>
      </c>
      <c r="E63" s="286">
        <v>30</v>
      </c>
      <c r="F63" s="287" t="str">
        <f>"     kHz "</f>
        <v xml:space="preserve">     kHz </v>
      </c>
      <c r="G63" s="128"/>
      <c r="H63" s="128"/>
      <c r="I63" s="280" t="s">
        <v>706</v>
      </c>
      <c r="J63" s="286">
        <v>60</v>
      </c>
      <c r="K63" s="287" t="str">
        <f>"     kHz "</f>
        <v xml:space="preserve">     kHz </v>
      </c>
      <c r="L63" s="83"/>
      <c r="M63" s="83"/>
      <c r="N63" s="83"/>
      <c r="O63" s="83"/>
      <c r="P63" s="83"/>
      <c r="Q63" s="107"/>
      <c r="R63" s="499"/>
      <c r="S63" s="54"/>
      <c r="T63" s="54"/>
      <c r="W63" s="54"/>
      <c r="X63" s="54"/>
      <c r="Y63" s="54"/>
      <c r="AB63" s="54"/>
      <c r="AC63" s="54"/>
      <c r="AD63" s="54"/>
      <c r="AG63" s="54"/>
      <c r="AH63" s="54"/>
      <c r="AI63" s="54"/>
    </row>
    <row r="64" spans="1:35" ht="15" customHeight="1" x14ac:dyDescent="0.3">
      <c r="A64" s="258"/>
      <c r="B64" s="257"/>
      <c r="C64" s="259"/>
      <c r="D64" s="259" t="str">
        <f>IF(MODE=1, "Ch1 Error Amp Pole Frequency", "Error Amp Pole Frequency")</f>
        <v>Error Amp Pole Frequency</v>
      </c>
      <c r="E64" s="260">
        <f>Fp1_u</f>
        <v>0.75336265876811326</v>
      </c>
      <c r="F64" s="261" t="s">
        <v>9</v>
      </c>
      <c r="G64" s="128"/>
      <c r="H64" s="128"/>
      <c r="I64" s="259" t="s">
        <v>705</v>
      </c>
      <c r="J64" s="260">
        <f>Fp1_u_Ch2</f>
        <v>1.3812296013413206</v>
      </c>
      <c r="K64" s="261" t="s">
        <v>9</v>
      </c>
      <c r="L64" s="83"/>
      <c r="M64" s="83"/>
      <c r="N64" s="83"/>
      <c r="O64" s="83"/>
      <c r="P64" s="83"/>
      <c r="Q64" s="107"/>
      <c r="R64" s="499"/>
      <c r="S64" s="54"/>
      <c r="T64" s="54"/>
      <c r="W64" s="54"/>
      <c r="X64" s="54"/>
      <c r="Y64" s="54"/>
      <c r="AB64" s="54"/>
      <c r="AC64" s="54"/>
      <c r="AD64" s="54"/>
      <c r="AG64" s="54"/>
      <c r="AH64" s="54"/>
      <c r="AI64" s="54"/>
    </row>
    <row r="65" spans="1:35" ht="15" customHeight="1" x14ac:dyDescent="0.3">
      <c r="A65" s="258"/>
      <c r="B65" s="257"/>
      <c r="C65" s="259"/>
      <c r="D65" s="280" t="str">
        <f>CHOOSE(Ch1_VOUT, "* Tie FB1 to VDDA for Ch1 3.3V Out", "* Tie FB1 to AGND for Ch1 5V Out", IF(MODE=1, "Ch1 Upper Feedback Resistor", "Upper Feedback Resistor"))</f>
        <v>Upper Feedback Resistor</v>
      </c>
      <c r="E65" s="288">
        <v>390</v>
      </c>
      <c r="F65" s="273" t="s">
        <v>50</v>
      </c>
      <c r="G65" s="128"/>
      <c r="H65" s="128"/>
      <c r="I65" s="280" t="str">
        <f>CHOOSE(Ch2_VOUT, "* Tie FB2 to VDDA for Ch2 3.3V Out", "* Tie FB2 to AGND for Ch2 5V Out", "Ch2 Upper Feedback Resistor")</f>
        <v>* Tie FB2 to AGND for Ch2 5V Out</v>
      </c>
      <c r="J65" s="288">
        <v>115</v>
      </c>
      <c r="K65" s="273" t="s">
        <v>50</v>
      </c>
      <c r="L65" s="83"/>
      <c r="M65" s="83"/>
      <c r="N65" s="83"/>
      <c r="O65" s="83"/>
      <c r="P65" s="83"/>
      <c r="Q65" s="107"/>
      <c r="R65" s="499"/>
      <c r="S65" s="54"/>
      <c r="T65" s="54"/>
      <c r="W65" s="54"/>
      <c r="X65" s="54"/>
      <c r="Y65" s="54"/>
      <c r="AB65" s="54"/>
      <c r="AC65" s="54"/>
      <c r="AD65" s="54"/>
      <c r="AG65" s="54"/>
      <c r="AH65" s="54"/>
      <c r="AI65" s="54"/>
    </row>
    <row r="66" spans="1:35" ht="17.25" customHeight="1" thickBot="1" x14ac:dyDescent="0.35">
      <c r="A66" s="263"/>
      <c r="B66" s="264"/>
      <c r="C66" s="265"/>
      <c r="D66" s="281" t="str">
        <f>IF(Ch1_VOUT=3, IF(MODE=1,"Ch1 Lower Feedback Resistor","Lower Feedback Resistor"),"")</f>
        <v>Lower Feedback Resistor</v>
      </c>
      <c r="E66" s="265">
        <f>IF(Vout=Vref,"OPEN",Rfb2_u/1000)</f>
        <v>10</v>
      </c>
      <c r="F66" s="266" t="str">
        <f>IF(Vout=Vref,"","kΩ")</f>
        <v>kΩ</v>
      </c>
      <c r="G66" s="195"/>
      <c r="H66" s="176"/>
      <c r="I66" s="281" t="str">
        <f>IF(Ch2_VOUT=3, "Ch2 Lower Feedback Resistor","")</f>
        <v/>
      </c>
      <c r="J66" s="265">
        <f>IF(Vout2=Vref,"OPEN",Rfb4_u/1000)</f>
        <v>15.8</v>
      </c>
      <c r="K66" s="266" t="str">
        <f>IF(Vout=Vref,"","kΩ")</f>
        <v>kΩ</v>
      </c>
      <c r="L66" s="83"/>
      <c r="M66" s="83"/>
      <c r="N66" s="83"/>
      <c r="O66" s="83"/>
      <c r="P66" s="83"/>
      <c r="Q66" s="107"/>
      <c r="R66" s="499"/>
      <c r="S66" s="54"/>
      <c r="T66" s="54"/>
      <c r="W66" s="54"/>
      <c r="X66" s="54"/>
      <c r="Y66" s="54"/>
      <c r="AB66" s="54"/>
      <c r="AC66" s="54"/>
      <c r="AD66" s="54"/>
      <c r="AG66" s="54"/>
      <c r="AH66" s="54"/>
      <c r="AI66" s="54"/>
    </row>
    <row r="67" spans="1:35" ht="13.5" customHeight="1" x14ac:dyDescent="0.3">
      <c r="A67" s="187"/>
      <c r="B67" s="549"/>
      <c r="C67" s="146"/>
      <c r="D67" s="135"/>
      <c r="E67" s="135"/>
      <c r="F67" s="135"/>
      <c r="G67" s="145"/>
      <c r="H67" s="144"/>
      <c r="I67" s="83"/>
      <c r="J67" s="83"/>
      <c r="K67" s="83"/>
      <c r="L67" s="83"/>
      <c r="M67" s="83"/>
      <c r="N67" s="83"/>
      <c r="O67" s="83"/>
      <c r="P67" s="83"/>
      <c r="Q67" s="107"/>
      <c r="R67" s="499"/>
      <c r="S67" s="54"/>
      <c r="T67" s="54"/>
      <c r="W67" s="54"/>
      <c r="X67" s="54"/>
      <c r="Y67" s="54"/>
      <c r="AB67" s="54"/>
      <c r="AC67" s="54"/>
      <c r="AD67" s="54"/>
      <c r="AG67" s="54"/>
      <c r="AH67" s="54"/>
      <c r="AI67" s="54"/>
    </row>
    <row r="68" spans="1:35" ht="15.75" customHeight="1" x14ac:dyDescent="0.3">
      <c r="A68" s="475" t="s">
        <v>228</v>
      </c>
      <c r="B68" s="147"/>
      <c r="C68" s="125"/>
      <c r="D68" s="141"/>
      <c r="E68" s="142"/>
      <c r="F68" s="143"/>
      <c r="G68" s="148"/>
      <c r="H68" s="128"/>
      <c r="I68" s="83"/>
      <c r="J68" s="83"/>
      <c r="K68" s="83"/>
      <c r="L68" s="83"/>
      <c r="M68" s="83"/>
      <c r="N68" s="83"/>
      <c r="O68" s="83"/>
      <c r="P68" s="83"/>
      <c r="Q68" s="107"/>
      <c r="R68" s="499"/>
      <c r="S68" s="190"/>
      <c r="T68" s="190"/>
      <c r="U68" s="191"/>
      <c r="V68" s="191"/>
      <c r="W68" s="190"/>
      <c r="X68" s="190"/>
      <c r="Y68" s="190"/>
      <c r="Z68" s="191"/>
      <c r="AA68" s="191"/>
      <c r="AB68" s="190"/>
      <c r="AC68" s="190"/>
      <c r="AD68" s="190"/>
      <c r="AE68" s="191"/>
      <c r="AF68" s="191"/>
      <c r="AG68" s="54"/>
      <c r="AH68" s="54"/>
      <c r="AI68" s="54"/>
    </row>
    <row r="69" spans="1:35" s="203" customFormat="1" ht="13.5" customHeight="1" thickBot="1" x14ac:dyDescent="0.35">
      <c r="A69" s="208"/>
      <c r="B69" s="209" t="s">
        <v>236</v>
      </c>
      <c r="C69" s="210" t="s">
        <v>227</v>
      </c>
      <c r="D69" s="612" t="str">
        <f t="shared" ref="D69" si="0">C69</f>
        <v>Std Values</v>
      </c>
      <c r="E69" s="556"/>
      <c r="F69" s="667" t="s">
        <v>229</v>
      </c>
      <c r="G69" s="667"/>
      <c r="H69" s="667"/>
      <c r="I69" s="198"/>
      <c r="J69" s="198"/>
      <c r="K69" s="198"/>
      <c r="L69" s="198"/>
      <c r="M69" s="198"/>
      <c r="N69" s="198"/>
      <c r="O69" s="198"/>
      <c r="P69" s="198"/>
      <c r="Q69" s="199"/>
      <c r="R69" s="501"/>
      <c r="S69" s="200"/>
      <c r="T69" s="200"/>
      <c r="U69" s="201"/>
      <c r="V69" s="201"/>
      <c r="W69" s="200"/>
      <c r="X69" s="200"/>
      <c r="Y69" s="200"/>
      <c r="Z69" s="201"/>
      <c r="AA69" s="201"/>
      <c r="AB69" s="200"/>
      <c r="AC69" s="200"/>
      <c r="AD69" s="200"/>
      <c r="AE69" s="201"/>
      <c r="AF69" s="201"/>
      <c r="AG69" s="202"/>
      <c r="AH69" s="202"/>
      <c r="AI69" s="202"/>
    </row>
    <row r="70" spans="1:35" ht="15.5" x14ac:dyDescent="0.4">
      <c r="A70" s="171" t="s">
        <v>708</v>
      </c>
      <c r="B70" s="182">
        <f>Rcea1/1000</f>
        <v>16.919361375840005</v>
      </c>
      <c r="C70" s="167">
        <f>'Standard Value Calculator'!O30</f>
        <v>16.899999999999999</v>
      </c>
      <c r="D70" s="168">
        <v>18</v>
      </c>
      <c r="E70" s="169" t="s">
        <v>50</v>
      </c>
      <c r="F70" s="519">
        <f>Fp1_u</f>
        <v>0.75336265876811326</v>
      </c>
      <c r="G70" s="431" t="s">
        <v>720</v>
      </c>
      <c r="H70" s="135"/>
      <c r="I70" s="125"/>
      <c r="J70" s="494"/>
      <c r="K70" s="128"/>
      <c r="L70" s="83"/>
      <c r="M70" s="83"/>
      <c r="N70" s="83"/>
      <c r="O70" s="83"/>
      <c r="P70" s="83"/>
      <c r="Q70" s="107"/>
      <c r="R70" s="499"/>
      <c r="S70" s="190"/>
      <c r="T70" s="190"/>
      <c r="U70" s="191"/>
      <c r="V70" s="191"/>
      <c r="W70" s="190"/>
      <c r="X70" s="190"/>
      <c r="Y70" s="190"/>
      <c r="Z70" s="191"/>
      <c r="AA70" s="191"/>
      <c r="AB70" s="190"/>
      <c r="AC70" s="190"/>
      <c r="AD70" s="190"/>
      <c r="AE70" s="191"/>
      <c r="AF70" s="191"/>
      <c r="AG70" s="54"/>
      <c r="AH70" s="54"/>
      <c r="AI70" s="54"/>
    </row>
    <row r="71" spans="1:35" ht="15.5" x14ac:dyDescent="0.4">
      <c r="A71" s="172" t="s">
        <v>231</v>
      </c>
      <c r="B71" s="484">
        <f>Cc1ea*1000000000</f>
        <v>3.1355585225382008</v>
      </c>
      <c r="C71" s="144">
        <f>'Standard Value Calculator'!O31</f>
        <v>3.3000000000000003</v>
      </c>
      <c r="D71" s="149">
        <f>C71</f>
        <v>3.3000000000000003</v>
      </c>
      <c r="E71" s="170" t="s">
        <v>141</v>
      </c>
      <c r="F71" s="432">
        <f>Fz1_u/1000</f>
        <v>2.6793761493898374</v>
      </c>
      <c r="G71" s="433" t="s">
        <v>511</v>
      </c>
      <c r="H71" s="135"/>
      <c r="I71" s="125"/>
      <c r="J71" s="494"/>
      <c r="K71" s="128"/>
      <c r="L71" s="83"/>
      <c r="M71" s="83"/>
      <c r="N71" s="83"/>
      <c r="O71" s="83"/>
      <c r="P71" s="83"/>
      <c r="Q71" s="107"/>
      <c r="R71" s="499"/>
      <c r="S71" s="190"/>
      <c r="T71" s="190"/>
      <c r="U71" s="191"/>
      <c r="V71" s="191"/>
      <c r="W71" s="190"/>
      <c r="X71" s="190"/>
      <c r="Y71" s="190"/>
      <c r="Z71" s="191"/>
      <c r="AA71" s="191"/>
      <c r="AB71" s="190"/>
      <c r="AC71" s="190"/>
      <c r="AD71" s="190"/>
      <c r="AE71" s="191"/>
      <c r="AF71" s="191"/>
      <c r="AG71" s="54"/>
      <c r="AH71" s="54"/>
      <c r="AI71" s="54"/>
    </row>
    <row r="72" spans="1:35" ht="16" thickBot="1" x14ac:dyDescent="0.45">
      <c r="A72" s="369" t="s">
        <v>232</v>
      </c>
      <c r="B72" s="183">
        <f>IF(Cc2ea&lt;0, "N/A", Cc2ea*1000000000000)</f>
        <v>79.14903470190977</v>
      </c>
      <c r="C72" s="179">
        <f>'Standard Value Calculator'!O32</f>
        <v>82</v>
      </c>
      <c r="D72" s="180">
        <f>C72</f>
        <v>82</v>
      </c>
      <c r="E72" s="181" t="s">
        <v>30</v>
      </c>
      <c r="F72" s="436">
        <f>Fp2_u/1000</f>
        <v>100.06022121612207</v>
      </c>
      <c r="G72" s="434" t="s">
        <v>512</v>
      </c>
      <c r="H72" s="135"/>
      <c r="I72" s="83"/>
      <c r="J72" s="83"/>
      <c r="K72" s="83"/>
      <c r="L72" s="83"/>
      <c r="M72" s="83"/>
      <c r="N72" s="83"/>
      <c r="O72" s="83"/>
      <c r="P72" s="83"/>
      <c r="Q72" s="107"/>
      <c r="R72" s="499"/>
      <c r="S72" s="190"/>
      <c r="T72" s="190"/>
      <c r="U72" s="191"/>
      <c r="V72" s="191"/>
      <c r="W72" s="190"/>
      <c r="X72" s="190"/>
      <c r="Y72" s="190"/>
      <c r="Z72" s="191"/>
      <c r="AA72" s="191"/>
      <c r="AB72" s="190"/>
      <c r="AC72" s="190"/>
      <c r="AD72" s="190"/>
      <c r="AE72" s="191"/>
      <c r="AF72" s="191"/>
      <c r="AG72" s="54"/>
      <c r="AH72" s="54"/>
      <c r="AI72" s="54"/>
    </row>
    <row r="73" spans="1:35" ht="15.5" x14ac:dyDescent="0.4">
      <c r="A73" s="171" t="s">
        <v>709</v>
      </c>
      <c r="B73" s="182">
        <f>Rcea2/1000</f>
        <v>15.079644720000005</v>
      </c>
      <c r="C73" s="144">
        <f>'Standard Value Calculator'!O34</f>
        <v>15</v>
      </c>
      <c r="D73" s="149">
        <f>C73</f>
        <v>15</v>
      </c>
      <c r="E73" s="169" t="s">
        <v>50</v>
      </c>
      <c r="F73" s="519">
        <f>Fp1_u_Ch2</f>
        <v>1.3812296013413206</v>
      </c>
      <c r="G73" s="431" t="s">
        <v>719</v>
      </c>
      <c r="H73" s="135"/>
      <c r="I73" s="83"/>
      <c r="J73" s="83"/>
      <c r="K73" s="83"/>
      <c r="L73" s="83"/>
      <c r="M73" s="83"/>
      <c r="N73" s="83"/>
      <c r="O73" s="83"/>
      <c r="P73" s="83"/>
      <c r="Q73" s="107"/>
      <c r="R73" s="499"/>
      <c r="S73" s="190"/>
      <c r="T73" s="190"/>
      <c r="U73" s="191"/>
      <c r="V73" s="191"/>
      <c r="W73" s="190"/>
      <c r="X73" s="190"/>
      <c r="Y73" s="190"/>
      <c r="Z73" s="191"/>
      <c r="AA73" s="191"/>
      <c r="AB73" s="190"/>
      <c r="AC73" s="190"/>
      <c r="AD73" s="190"/>
      <c r="AE73" s="191"/>
      <c r="AF73" s="191"/>
      <c r="AG73" s="54"/>
      <c r="AH73" s="54"/>
      <c r="AI73" s="54"/>
    </row>
    <row r="74" spans="1:35" ht="15.5" x14ac:dyDescent="0.4">
      <c r="A74" s="172" t="s">
        <v>710</v>
      </c>
      <c r="B74" s="484">
        <f>Cc3ea*1000000000</f>
        <v>1.7590483311439309</v>
      </c>
      <c r="C74" s="144">
        <f>'Standard Value Calculator'!O35</f>
        <v>1.8</v>
      </c>
      <c r="D74" s="149">
        <f>C74</f>
        <v>1.8</v>
      </c>
      <c r="E74" s="170" t="s">
        <v>141</v>
      </c>
      <c r="F74" s="432">
        <f>Fz1_u_Ch2/1000</f>
        <v>5.8946275286576437</v>
      </c>
      <c r="G74" s="433" t="s">
        <v>717</v>
      </c>
      <c r="H74" s="135"/>
      <c r="I74" s="83"/>
      <c r="J74" s="83"/>
      <c r="K74" s="83"/>
      <c r="L74" s="83"/>
      <c r="M74" s="83"/>
      <c r="N74" s="83"/>
      <c r="O74" s="83"/>
      <c r="P74" s="83"/>
      <c r="Q74" s="107"/>
      <c r="R74" s="499"/>
      <c r="S74" s="190"/>
      <c r="T74" s="190"/>
      <c r="U74" s="191"/>
      <c r="V74" s="191"/>
      <c r="W74" s="190"/>
      <c r="X74" s="190"/>
      <c r="Y74" s="190"/>
      <c r="Z74" s="191"/>
      <c r="AA74" s="191"/>
      <c r="AB74" s="190"/>
      <c r="AC74" s="190"/>
      <c r="AD74" s="190"/>
      <c r="AE74" s="191"/>
      <c r="AF74" s="191"/>
      <c r="AG74" s="54"/>
      <c r="AH74" s="54"/>
      <c r="AI74" s="54"/>
    </row>
    <row r="75" spans="1:35" ht="16" thickBot="1" x14ac:dyDescent="0.45">
      <c r="A75" s="369" t="s">
        <v>711</v>
      </c>
      <c r="B75" s="183">
        <f>IF(Cc4ea&lt;0, "N/A", Cc4ea*1000000000000)</f>
        <v>89.581893058718705</v>
      </c>
      <c r="C75" s="179">
        <f>IF(1, 'Standard Value Calculator'!O36)</f>
        <v>82</v>
      </c>
      <c r="D75" s="180">
        <f>C75</f>
        <v>82</v>
      </c>
      <c r="E75" s="181" t="s">
        <v>30</v>
      </c>
      <c r="F75" s="436">
        <f>Fp2_u_Ch2/1000</f>
        <v>120.07226545934647</v>
      </c>
      <c r="G75" s="434" t="s">
        <v>718</v>
      </c>
      <c r="H75" s="135"/>
      <c r="I75" s="83"/>
      <c r="J75" s="83"/>
      <c r="K75" s="83"/>
      <c r="L75" s="83"/>
      <c r="M75" s="83"/>
      <c r="N75" s="124" t="s">
        <v>750</v>
      </c>
      <c r="O75" s="129">
        <v>0.3</v>
      </c>
      <c r="P75" s="133" t="s">
        <v>116</v>
      </c>
      <c r="Q75" s="107"/>
      <c r="R75" s="499"/>
      <c r="S75" s="190"/>
      <c r="T75" s="190"/>
      <c r="U75" s="191"/>
      <c r="V75" s="191"/>
      <c r="W75" s="190"/>
      <c r="X75" s="190"/>
      <c r="Y75" s="190"/>
      <c r="Z75" s="191"/>
      <c r="AA75" s="191"/>
      <c r="AB75" s="190"/>
      <c r="AC75" s="190"/>
      <c r="AD75" s="190"/>
      <c r="AE75" s="191"/>
      <c r="AF75" s="191"/>
      <c r="AG75" s="54"/>
      <c r="AH75" s="54"/>
      <c r="AI75" s="54"/>
    </row>
    <row r="76" spans="1:35" ht="13.5" thickBot="1" x14ac:dyDescent="0.35">
      <c r="A76" s="127"/>
      <c r="B76" s="125"/>
      <c r="C76" s="125"/>
      <c r="D76" s="128"/>
      <c r="E76" s="128"/>
      <c r="F76" s="128"/>
      <c r="G76" s="128"/>
      <c r="H76" s="128"/>
      <c r="I76" s="83"/>
      <c r="J76" s="83"/>
      <c r="K76" s="83"/>
      <c r="L76" s="83"/>
      <c r="M76" s="83"/>
      <c r="N76" s="83"/>
      <c r="O76" s="83"/>
      <c r="P76" s="83"/>
      <c r="Q76" s="107"/>
      <c r="R76" s="499"/>
      <c r="S76" s="190"/>
      <c r="T76" s="190"/>
      <c r="U76" s="191"/>
      <c r="V76" s="191"/>
      <c r="W76" s="190"/>
      <c r="X76" s="190"/>
      <c r="Y76" s="190"/>
      <c r="Z76" s="191"/>
      <c r="AA76" s="191"/>
      <c r="AB76" s="190"/>
      <c r="AC76" s="190"/>
      <c r="AD76" s="190"/>
      <c r="AE76" s="191"/>
      <c r="AF76" s="191"/>
      <c r="AG76" s="54"/>
      <c r="AH76" s="54"/>
      <c r="AI76" s="54"/>
    </row>
    <row r="77" spans="1:35" s="86" customFormat="1" ht="18.5" thickBot="1" x14ac:dyDescent="0.45">
      <c r="A77" s="188" t="s">
        <v>234</v>
      </c>
      <c r="B77" s="139"/>
      <c r="C77" s="150"/>
      <c r="D77" s="150"/>
      <c r="E77" s="150"/>
      <c r="F77" s="150"/>
      <c r="G77" s="150"/>
      <c r="H77" s="150"/>
      <c r="I77" s="84"/>
      <c r="J77" s="84"/>
      <c r="K77" s="84"/>
      <c r="L77" s="84"/>
      <c r="M77" s="84"/>
      <c r="N77" s="84"/>
      <c r="O77" s="84"/>
      <c r="P77" s="84"/>
      <c r="Q77" s="85"/>
      <c r="R77" s="502"/>
      <c r="S77" s="192"/>
      <c r="T77" s="192"/>
      <c r="U77" s="193"/>
      <c r="V77" s="193"/>
      <c r="W77" s="192"/>
      <c r="X77" s="192"/>
      <c r="Y77" s="192"/>
      <c r="Z77" s="193"/>
      <c r="AA77" s="193"/>
      <c r="AB77" s="192"/>
      <c r="AC77" s="192"/>
      <c r="AD77" s="192"/>
      <c r="AE77" s="193"/>
      <c r="AF77" s="193"/>
      <c r="AG77" s="55"/>
      <c r="AH77" s="55"/>
      <c r="AI77" s="55"/>
    </row>
    <row r="78" spans="1:35" x14ac:dyDescent="0.3">
      <c r="A78" s="186"/>
      <c r="B78" s="135"/>
      <c r="C78" s="128"/>
      <c r="D78" s="128"/>
      <c r="E78" s="128"/>
      <c r="F78" s="128"/>
      <c r="G78" s="128"/>
      <c r="H78" s="128"/>
      <c r="I78" s="83"/>
      <c r="J78" s="83"/>
      <c r="K78" s="83"/>
      <c r="L78" s="83"/>
      <c r="M78" s="83"/>
      <c r="N78" s="83"/>
      <c r="O78" s="83"/>
      <c r="P78" s="83"/>
      <c r="Q78" s="107"/>
      <c r="R78" s="499"/>
      <c r="S78" s="190"/>
      <c r="T78" s="190"/>
      <c r="U78" s="191"/>
      <c r="V78" s="191"/>
      <c r="W78" s="190"/>
      <c r="X78" s="190"/>
      <c r="Y78" s="190"/>
      <c r="Z78" s="191"/>
      <c r="AA78" s="191"/>
      <c r="AB78" s="190"/>
      <c r="AC78" s="190"/>
      <c r="AD78" s="190"/>
      <c r="AE78" s="191"/>
      <c r="AF78" s="191"/>
      <c r="AG78" s="54"/>
      <c r="AH78" s="54"/>
      <c r="AI78" s="54"/>
    </row>
    <row r="79" spans="1:35" ht="18" thickBot="1" x14ac:dyDescent="0.4">
      <c r="A79" s="151" t="s">
        <v>193</v>
      </c>
      <c r="B79" s="132"/>
      <c r="C79" s="128"/>
      <c r="D79" s="128"/>
      <c r="E79" s="128"/>
      <c r="F79" s="128"/>
      <c r="G79" s="128"/>
      <c r="H79" s="128"/>
      <c r="I79" s="83"/>
      <c r="J79" s="83"/>
      <c r="K79" s="83"/>
      <c r="L79" s="83"/>
      <c r="M79" s="83"/>
      <c r="N79" s="83"/>
      <c r="O79" s="83"/>
      <c r="P79" s="83"/>
      <c r="Q79" s="107"/>
      <c r="R79" s="499"/>
      <c r="S79" s="190"/>
      <c r="T79" s="190"/>
      <c r="U79" s="191"/>
      <c r="V79" s="191"/>
      <c r="W79" s="190"/>
      <c r="X79" s="190"/>
      <c r="Y79" s="190"/>
      <c r="Z79" s="191"/>
      <c r="AA79" s="191"/>
      <c r="AB79" s="190"/>
      <c r="AC79" s="190"/>
      <c r="AD79" s="190"/>
      <c r="AE79" s="191"/>
      <c r="AF79" s="191"/>
      <c r="AG79" s="54"/>
      <c r="AH79" s="54"/>
      <c r="AI79" s="54"/>
    </row>
    <row r="80" spans="1:35" ht="18" customHeight="1" x14ac:dyDescent="0.4">
      <c r="A80" s="173"/>
      <c r="B80" s="174"/>
      <c r="C80" s="561"/>
      <c r="D80" s="561"/>
      <c r="E80" s="561"/>
      <c r="F80" s="204" t="str">
        <f>IF(MODE=1, "Ch1 Power MOSFETs", "Power MOSFETs")</f>
        <v>Power MOSFETs</v>
      </c>
      <c r="G80" s="636" t="s">
        <v>778</v>
      </c>
      <c r="H80" s="561"/>
      <c r="I80" s="204" t="str">
        <f>IF(MODE=1, "Ch2 Power MOSFETs ", "Power MOSFETs ")</f>
        <v xml:space="preserve">Power MOSFETs </v>
      </c>
      <c r="J80" s="637" t="s">
        <v>779</v>
      </c>
      <c r="K80" s="83"/>
      <c r="L80" s="83"/>
      <c r="M80" s="83"/>
      <c r="N80" s="83"/>
      <c r="O80" s="83"/>
      <c r="P80" s="83"/>
      <c r="Q80" s="107"/>
      <c r="R80" s="499"/>
      <c r="S80" s="190"/>
      <c r="T80" s="121"/>
      <c r="U80" s="121"/>
      <c r="V80" s="191"/>
      <c r="W80" s="190"/>
      <c r="X80" s="190"/>
      <c r="Y80" s="190"/>
      <c r="Z80" s="191"/>
      <c r="AA80" s="191"/>
      <c r="AB80" s="190"/>
      <c r="AC80" s="190"/>
      <c r="AD80" s="190"/>
      <c r="AE80" s="191"/>
      <c r="AF80" s="191"/>
      <c r="AG80" s="54"/>
      <c r="AH80" s="54"/>
      <c r="AI80" s="54"/>
    </row>
    <row r="81" spans="1:35" ht="14.25" customHeight="1" x14ac:dyDescent="0.3">
      <c r="A81" s="632"/>
      <c r="B81" s="133"/>
      <c r="C81" s="633"/>
      <c r="D81" s="634"/>
      <c r="E81" s="635" t="s">
        <v>863</v>
      </c>
      <c r="F81" s="128"/>
      <c r="G81" s="163"/>
      <c r="H81" s="665" t="s">
        <v>862</v>
      </c>
      <c r="I81" s="666"/>
      <c r="J81" s="163"/>
      <c r="K81" s="83"/>
      <c r="L81" s="83"/>
      <c r="M81" s="83"/>
      <c r="N81" s="83"/>
      <c r="O81" s="83"/>
      <c r="P81" s="83"/>
      <c r="Q81" s="107"/>
      <c r="R81" s="499"/>
      <c r="S81" s="190"/>
      <c r="T81" s="121"/>
      <c r="U81" s="121"/>
      <c r="V81" s="191"/>
      <c r="W81" s="190"/>
      <c r="X81" s="190"/>
      <c r="Y81" s="190"/>
      <c r="Z81" s="191"/>
      <c r="AA81" s="191"/>
      <c r="AB81" s="190"/>
      <c r="AC81" s="190"/>
      <c r="AD81" s="190"/>
      <c r="AE81" s="191"/>
      <c r="AF81" s="191"/>
      <c r="AG81" s="54"/>
      <c r="AH81" s="54"/>
      <c r="AI81" s="54"/>
    </row>
    <row r="82" spans="1:35" ht="14.4" customHeight="1" x14ac:dyDescent="0.3">
      <c r="A82" s="482"/>
      <c r="B82" s="113"/>
      <c r="C82" s="113"/>
      <c r="D82" s="113"/>
      <c r="E82" s="483" t="s">
        <v>754</v>
      </c>
      <c r="F82" s="671" t="s">
        <v>547</v>
      </c>
      <c r="G82" s="672"/>
      <c r="H82" s="491" t="s">
        <v>754</v>
      </c>
      <c r="I82" s="490" t="s">
        <v>547</v>
      </c>
      <c r="J82" s="261"/>
      <c r="K82" s="83"/>
      <c r="L82" s="83"/>
      <c r="M82" s="83"/>
      <c r="N82" s="83"/>
      <c r="O82" s="83"/>
      <c r="P82" s="83"/>
      <c r="Q82" s="107"/>
      <c r="R82" s="499"/>
      <c r="S82" s="190"/>
      <c r="T82" s="121"/>
      <c r="U82" s="121"/>
      <c r="V82" s="191"/>
      <c r="W82" s="190"/>
      <c r="X82" s="190"/>
      <c r="Y82" s="190"/>
      <c r="Z82" s="191"/>
      <c r="AA82" s="191"/>
      <c r="AB82" s="190"/>
      <c r="AC82" s="190"/>
      <c r="AD82" s="190"/>
      <c r="AE82" s="191"/>
      <c r="AF82" s="191"/>
      <c r="AG82" s="54"/>
      <c r="AH82" s="54"/>
      <c r="AI82" s="54"/>
    </row>
    <row r="83" spans="1:35" ht="14.4" customHeight="1" x14ac:dyDescent="0.4">
      <c r="A83" s="127"/>
      <c r="B83" s="128"/>
      <c r="C83" s="133"/>
      <c r="D83" s="124" t="s">
        <v>272</v>
      </c>
      <c r="E83" s="254">
        <v>1.3</v>
      </c>
      <c r="F83" s="254">
        <v>1.3</v>
      </c>
      <c r="G83" s="163" t="s">
        <v>49</v>
      </c>
      <c r="H83" s="129">
        <v>6</v>
      </c>
      <c r="I83" s="129">
        <v>2.5</v>
      </c>
      <c r="J83" s="163" t="s">
        <v>49</v>
      </c>
      <c r="K83" s="83"/>
      <c r="L83" s="83"/>
      <c r="M83" s="83"/>
      <c r="N83" s="83"/>
      <c r="O83" s="83"/>
      <c r="P83" s="83"/>
      <c r="Q83" s="107"/>
      <c r="R83" s="499"/>
      <c r="S83" s="190"/>
      <c r="T83" s="121"/>
      <c r="U83" s="121"/>
      <c r="V83" s="191"/>
      <c r="W83" s="190"/>
      <c r="X83" s="190"/>
      <c r="Y83" s="190"/>
      <c r="Z83" s="191"/>
      <c r="AA83" s="191"/>
      <c r="AB83" s="190"/>
      <c r="AC83" s="190"/>
      <c r="AD83" s="190"/>
      <c r="AE83" s="191"/>
      <c r="AF83" s="191"/>
      <c r="AG83" s="54"/>
      <c r="AH83" s="54"/>
      <c r="AI83" s="54"/>
    </row>
    <row r="84" spans="1:35" ht="14.4" customHeight="1" x14ac:dyDescent="0.4">
      <c r="A84" s="127"/>
      <c r="B84" s="128"/>
      <c r="C84" s="133"/>
      <c r="D84" s="124" t="s">
        <v>273</v>
      </c>
      <c r="E84" s="129">
        <v>13</v>
      </c>
      <c r="F84" s="129">
        <v>13</v>
      </c>
      <c r="G84" s="163" t="s">
        <v>65</v>
      </c>
      <c r="H84" s="129">
        <v>8</v>
      </c>
      <c r="I84" s="129">
        <v>25</v>
      </c>
      <c r="J84" s="163" t="s">
        <v>65</v>
      </c>
      <c r="K84" s="83"/>
      <c r="L84" s="83"/>
      <c r="M84" s="83"/>
      <c r="N84" s="83"/>
      <c r="O84" s="83"/>
      <c r="P84" s="83"/>
      <c r="Q84" s="107"/>
      <c r="R84" s="499"/>
      <c r="S84" s="190"/>
      <c r="T84" s="121"/>
      <c r="U84" s="121"/>
      <c r="V84" s="191"/>
      <c r="W84" s="190"/>
      <c r="X84" s="190"/>
      <c r="Y84" s="190"/>
      <c r="Z84" s="191"/>
      <c r="AA84" s="191"/>
      <c r="AB84" s="190"/>
      <c r="AC84" s="190"/>
      <c r="AD84" s="190"/>
      <c r="AE84" s="191"/>
      <c r="AF84" s="191"/>
      <c r="AG84" s="54"/>
      <c r="AH84" s="54"/>
      <c r="AI84" s="54"/>
    </row>
    <row r="85" spans="1:35" ht="14.4" customHeight="1" x14ac:dyDescent="0.4">
      <c r="A85" s="127"/>
      <c r="B85" s="128"/>
      <c r="C85" s="133"/>
      <c r="D85" s="124" t="s">
        <v>274</v>
      </c>
      <c r="E85" s="129">
        <v>3.6</v>
      </c>
      <c r="F85" s="129">
        <v>3.6</v>
      </c>
      <c r="G85" s="163" t="s">
        <v>65</v>
      </c>
      <c r="H85" s="129">
        <v>1.4</v>
      </c>
      <c r="I85" s="129">
        <v>4.5</v>
      </c>
      <c r="J85" s="163" t="s">
        <v>65</v>
      </c>
      <c r="K85" s="83"/>
      <c r="L85" s="83"/>
      <c r="M85" s="83"/>
      <c r="N85" s="83"/>
      <c r="O85" s="83"/>
      <c r="P85" s="83"/>
      <c r="Q85" s="107"/>
      <c r="R85" s="499"/>
      <c r="S85" s="190"/>
      <c r="T85" s="121"/>
      <c r="U85" s="121"/>
      <c r="V85" s="191"/>
      <c r="W85" s="190"/>
      <c r="X85" s="190"/>
      <c r="Y85" s="190"/>
      <c r="Z85" s="191"/>
      <c r="AA85" s="191"/>
      <c r="AB85" s="190"/>
      <c r="AC85" s="190"/>
      <c r="AD85" s="190"/>
      <c r="AE85" s="191"/>
      <c r="AF85" s="191"/>
      <c r="AG85" s="54"/>
      <c r="AH85" s="54"/>
      <c r="AI85" s="54"/>
    </row>
    <row r="86" spans="1:35" ht="14.4" customHeight="1" x14ac:dyDescent="0.4">
      <c r="A86" s="127"/>
      <c r="B86" s="128"/>
      <c r="C86" s="133"/>
      <c r="D86" s="124" t="s">
        <v>275</v>
      </c>
      <c r="E86" s="129">
        <v>4</v>
      </c>
      <c r="F86" s="129">
        <v>4</v>
      </c>
      <c r="G86" s="163" t="s">
        <v>65</v>
      </c>
      <c r="H86" s="129">
        <v>3.8</v>
      </c>
      <c r="I86" s="129">
        <v>12</v>
      </c>
      <c r="J86" s="163" t="s">
        <v>65</v>
      </c>
      <c r="K86" s="83"/>
      <c r="L86" s="83"/>
      <c r="M86" s="83"/>
      <c r="N86" s="83"/>
      <c r="O86" s="83"/>
      <c r="P86" s="83"/>
      <c r="Q86" s="107"/>
      <c r="R86" s="499"/>
      <c r="S86" s="190"/>
      <c r="T86" s="121"/>
      <c r="U86" s="121"/>
      <c r="V86" s="191"/>
      <c r="W86" s="190"/>
      <c r="X86" s="190"/>
      <c r="Y86" s="190"/>
      <c r="Z86" s="191"/>
      <c r="AA86" s="191"/>
      <c r="AB86" s="190"/>
      <c r="AC86" s="190"/>
      <c r="AD86" s="190"/>
      <c r="AE86" s="191"/>
      <c r="AF86" s="191"/>
      <c r="AG86" s="54"/>
      <c r="AH86" s="54"/>
      <c r="AI86" s="54"/>
    </row>
    <row r="87" spans="1:35" ht="14.4" customHeight="1" x14ac:dyDescent="0.4">
      <c r="A87" s="482"/>
      <c r="B87" s="113"/>
      <c r="C87" s="113"/>
      <c r="D87" s="124" t="s">
        <v>821</v>
      </c>
      <c r="E87" s="639"/>
      <c r="F87" s="129">
        <v>37</v>
      </c>
      <c r="G87" s="163" t="s">
        <v>65</v>
      </c>
      <c r="H87" s="639"/>
      <c r="I87" s="129">
        <v>30</v>
      </c>
      <c r="J87" s="163" t="s">
        <v>65</v>
      </c>
      <c r="K87" s="83"/>
      <c r="L87" s="83"/>
      <c r="M87" s="83"/>
      <c r="N87" s="83"/>
      <c r="O87" s="83"/>
      <c r="P87" s="83"/>
      <c r="Q87" s="107"/>
      <c r="R87" s="499"/>
      <c r="S87" s="190"/>
      <c r="T87" s="121"/>
      <c r="U87" s="121"/>
      <c r="V87" s="191"/>
      <c r="W87" s="190"/>
      <c r="X87" s="190"/>
      <c r="Y87" s="190"/>
      <c r="Z87" s="191"/>
      <c r="AA87" s="191"/>
      <c r="AB87" s="190"/>
      <c r="AC87" s="190"/>
      <c r="AD87" s="190"/>
      <c r="AE87" s="191"/>
      <c r="AF87" s="191"/>
      <c r="AG87" s="54"/>
      <c r="AH87" s="54"/>
      <c r="AI87" s="54"/>
    </row>
    <row r="88" spans="1:35" ht="14.4" customHeight="1" x14ac:dyDescent="0.4">
      <c r="A88" s="482"/>
      <c r="B88" s="113"/>
      <c r="C88" s="113"/>
      <c r="D88" s="124" t="s">
        <v>820</v>
      </c>
      <c r="E88" s="129">
        <v>700</v>
      </c>
      <c r="F88" s="129">
        <v>700</v>
      </c>
      <c r="G88" s="163" t="s">
        <v>30</v>
      </c>
      <c r="H88" s="129">
        <v>213</v>
      </c>
      <c r="I88" s="129">
        <v>1700</v>
      </c>
      <c r="J88" s="163" t="s">
        <v>30</v>
      </c>
      <c r="K88" s="83"/>
      <c r="L88" s="83"/>
      <c r="M88" s="83"/>
      <c r="N88" s="83"/>
      <c r="O88" s="83"/>
      <c r="P88" s="83"/>
      <c r="Q88" s="107"/>
      <c r="R88" s="499"/>
      <c r="S88" s="190"/>
      <c r="T88" s="121"/>
      <c r="U88" s="121"/>
      <c r="V88" s="191"/>
      <c r="W88" s="190"/>
      <c r="X88" s="190"/>
      <c r="Y88" s="190"/>
      <c r="Z88" s="191"/>
      <c r="AA88" s="191"/>
      <c r="AB88" s="190"/>
      <c r="AC88" s="190"/>
      <c r="AD88" s="190"/>
      <c r="AE88" s="191"/>
      <c r="AF88" s="191"/>
      <c r="AG88" s="54"/>
      <c r="AH88" s="54"/>
      <c r="AI88" s="54"/>
    </row>
    <row r="89" spans="1:35" ht="14.4" customHeight="1" x14ac:dyDescent="0.4">
      <c r="A89" s="127"/>
      <c r="B89" s="128"/>
      <c r="C89" s="133"/>
      <c r="D89" s="124" t="s">
        <v>276</v>
      </c>
      <c r="E89" s="129">
        <v>0.5</v>
      </c>
      <c r="F89" s="129">
        <v>0.5</v>
      </c>
      <c r="G89" s="163" t="s">
        <v>138</v>
      </c>
      <c r="H89" s="129">
        <v>0.5</v>
      </c>
      <c r="I89" s="129">
        <v>0.5</v>
      </c>
      <c r="J89" s="163" t="s">
        <v>138</v>
      </c>
      <c r="K89" s="83"/>
      <c r="L89" s="83"/>
      <c r="M89" s="83"/>
      <c r="N89" s="83"/>
      <c r="O89" s="83"/>
      <c r="P89" s="83"/>
      <c r="Q89" s="107"/>
      <c r="R89" s="499"/>
      <c r="S89" s="190"/>
      <c r="T89" s="121"/>
      <c r="U89" s="121"/>
      <c r="V89" s="191"/>
      <c r="W89" s="190"/>
      <c r="X89" s="190"/>
      <c r="Y89" s="190"/>
      <c r="Z89" s="191"/>
      <c r="AA89" s="191"/>
      <c r="AB89" s="190"/>
      <c r="AC89" s="190"/>
      <c r="AD89" s="190"/>
      <c r="AE89" s="191"/>
      <c r="AF89" s="191"/>
      <c r="AG89" s="54"/>
      <c r="AH89" s="54"/>
      <c r="AI89" s="54"/>
    </row>
    <row r="90" spans="1:35" ht="14.4" customHeight="1" x14ac:dyDescent="0.4">
      <c r="A90" s="127"/>
      <c r="B90" s="128"/>
      <c r="C90" s="133"/>
      <c r="D90" s="124" t="s">
        <v>277</v>
      </c>
      <c r="E90" s="129">
        <v>300</v>
      </c>
      <c r="F90" s="129">
        <v>300</v>
      </c>
      <c r="G90" s="163" t="s">
        <v>66</v>
      </c>
      <c r="H90" s="129">
        <v>64</v>
      </c>
      <c r="I90" s="129">
        <v>280</v>
      </c>
      <c r="J90" s="163" t="s">
        <v>66</v>
      </c>
      <c r="K90" s="83"/>
      <c r="L90" s="83"/>
      <c r="M90" s="83"/>
      <c r="N90" s="83"/>
      <c r="O90" s="83"/>
      <c r="P90" s="83"/>
      <c r="Q90" s="107"/>
      <c r="R90" s="499"/>
      <c r="S90" s="190"/>
      <c r="T90" s="121"/>
      <c r="U90" s="121"/>
      <c r="V90" s="191"/>
      <c r="W90" s="190"/>
      <c r="X90" s="190"/>
      <c r="Y90" s="190"/>
      <c r="Z90" s="191"/>
      <c r="AA90" s="191"/>
      <c r="AB90" s="190"/>
      <c r="AC90" s="190"/>
      <c r="AD90" s="190"/>
      <c r="AE90" s="191"/>
      <c r="AF90" s="191"/>
      <c r="AG90" s="54"/>
      <c r="AH90" s="54"/>
      <c r="AI90" s="54"/>
    </row>
    <row r="91" spans="1:35" ht="14.4" customHeight="1" x14ac:dyDescent="0.4">
      <c r="A91" s="127"/>
      <c r="B91" s="128"/>
      <c r="C91" s="133"/>
      <c r="D91" s="124" t="s">
        <v>545</v>
      </c>
      <c r="E91" s="129">
        <v>2.8</v>
      </c>
      <c r="F91" s="129">
        <v>2.8</v>
      </c>
      <c r="G91" s="163" t="s">
        <v>0</v>
      </c>
      <c r="H91" s="129">
        <v>2.9</v>
      </c>
      <c r="I91" s="129">
        <v>3</v>
      </c>
      <c r="J91" s="163" t="s">
        <v>0</v>
      </c>
      <c r="K91" s="83"/>
      <c r="L91" s="83"/>
      <c r="M91" s="83"/>
      <c r="N91" s="83"/>
      <c r="O91" s="83"/>
      <c r="P91" s="83"/>
      <c r="Q91" s="107"/>
      <c r="R91" s="499"/>
      <c r="S91" s="190"/>
      <c r="T91" s="121"/>
      <c r="U91" s="121"/>
      <c r="V91" s="191"/>
      <c r="W91" s="190"/>
      <c r="X91" s="190"/>
      <c r="Y91" s="190"/>
      <c r="Z91" s="191"/>
      <c r="AA91" s="191"/>
      <c r="AB91" s="190"/>
      <c r="AC91" s="190"/>
      <c r="AD91" s="190"/>
      <c r="AE91" s="191"/>
      <c r="AF91" s="191"/>
      <c r="AG91" s="54"/>
      <c r="AH91" s="54"/>
      <c r="AI91" s="54"/>
    </row>
    <row r="92" spans="1:35" ht="14.4" customHeight="1" x14ac:dyDescent="0.4">
      <c r="A92" s="127"/>
      <c r="B92" s="128"/>
      <c r="C92" s="133"/>
      <c r="D92" s="124" t="s">
        <v>542</v>
      </c>
      <c r="E92" s="129">
        <v>0</v>
      </c>
      <c r="F92" s="129">
        <v>0</v>
      </c>
      <c r="G92" s="163" t="s">
        <v>0</v>
      </c>
      <c r="H92" s="129">
        <v>0.7</v>
      </c>
      <c r="I92" s="129">
        <v>0.7</v>
      </c>
      <c r="J92" s="163" t="s">
        <v>0</v>
      </c>
      <c r="K92" s="83"/>
      <c r="L92" s="83"/>
      <c r="M92" s="83"/>
      <c r="N92" s="83"/>
      <c r="O92" s="83"/>
      <c r="P92" s="83"/>
      <c r="Q92" s="107"/>
      <c r="R92" s="499"/>
      <c r="S92" s="190"/>
      <c r="T92" s="121"/>
      <c r="U92" s="121"/>
      <c r="V92" s="191"/>
      <c r="W92" s="190"/>
      <c r="X92" s="190"/>
      <c r="Y92" s="190"/>
      <c r="Z92" s="191"/>
      <c r="AA92" s="191"/>
      <c r="AB92" s="190"/>
      <c r="AC92" s="190"/>
      <c r="AD92" s="190"/>
      <c r="AE92" s="191"/>
      <c r="AF92" s="191"/>
      <c r="AG92" s="54"/>
      <c r="AH92" s="54"/>
      <c r="AI92" s="54"/>
    </row>
    <row r="93" spans="1:35" ht="14.25" customHeight="1" x14ac:dyDescent="0.4">
      <c r="A93" s="127"/>
      <c r="B93" s="128"/>
      <c r="C93" s="128"/>
      <c r="D93" s="124" t="s">
        <v>544</v>
      </c>
      <c r="E93" s="2"/>
      <c r="F93" s="129">
        <v>0</v>
      </c>
      <c r="G93" s="163" t="s">
        <v>65</v>
      </c>
      <c r="H93" s="113"/>
      <c r="I93" s="129">
        <v>60</v>
      </c>
      <c r="J93" s="163" t="s">
        <v>65</v>
      </c>
      <c r="K93" s="83"/>
      <c r="L93" s="83"/>
      <c r="M93" s="83"/>
      <c r="N93" s="83"/>
      <c r="O93" s="83"/>
      <c r="P93" s="83"/>
      <c r="Q93" s="107"/>
      <c r="R93" s="499"/>
      <c r="S93" s="190"/>
      <c r="T93" s="121"/>
      <c r="U93" s="121"/>
      <c r="V93" s="191"/>
      <c r="W93" s="190"/>
      <c r="X93" s="190"/>
      <c r="Y93" s="190"/>
      <c r="Z93" s="191"/>
      <c r="AA93" s="191"/>
      <c r="AB93" s="190"/>
      <c r="AC93" s="190"/>
      <c r="AD93" s="190"/>
      <c r="AE93" s="191"/>
      <c r="AF93" s="191"/>
      <c r="AG93" s="54"/>
      <c r="AH93" s="54"/>
      <c r="AI93" s="54"/>
    </row>
    <row r="94" spans="1:35" ht="14.4" customHeight="1" thickBot="1" x14ac:dyDescent="0.45">
      <c r="A94" s="195"/>
      <c r="B94" s="176"/>
      <c r="C94" s="196"/>
      <c r="D94" s="177" t="s">
        <v>278</v>
      </c>
      <c r="E94" s="250">
        <v>38</v>
      </c>
      <c r="F94" s="250">
        <v>38</v>
      </c>
      <c r="G94" s="178" t="s">
        <v>205</v>
      </c>
      <c r="H94" s="250">
        <v>50</v>
      </c>
      <c r="I94" s="250">
        <v>38</v>
      </c>
      <c r="J94" s="178" t="s">
        <v>205</v>
      </c>
      <c r="K94" s="83"/>
      <c r="L94" s="83"/>
      <c r="M94" s="83"/>
      <c r="N94" s="83"/>
      <c r="O94" s="83"/>
      <c r="P94" s="83"/>
      <c r="Q94" s="107"/>
      <c r="R94" s="499"/>
      <c r="S94" s="190"/>
      <c r="T94" s="121"/>
      <c r="U94" s="121"/>
      <c r="V94" s="191"/>
      <c r="W94" s="190"/>
      <c r="X94" s="190"/>
      <c r="Y94" s="190"/>
      <c r="Z94" s="191"/>
      <c r="AA94" s="191"/>
      <c r="AB94" s="190"/>
      <c r="AC94" s="190"/>
      <c r="AD94" s="190"/>
      <c r="AE94" s="191"/>
      <c r="AF94" s="191"/>
      <c r="AG94" s="54"/>
      <c r="AH94" s="54"/>
      <c r="AI94" s="54"/>
    </row>
    <row r="95" spans="1:35" ht="14.4" customHeight="1" thickBot="1" x14ac:dyDescent="0.35">
      <c r="A95" s="127"/>
      <c r="B95" s="128"/>
      <c r="C95" s="133"/>
      <c r="D95" s="124"/>
      <c r="E95" s="194"/>
      <c r="F95" s="197"/>
      <c r="G95" s="128"/>
      <c r="H95" s="128"/>
      <c r="I95" s="83"/>
      <c r="J95" s="83"/>
      <c r="K95" s="83"/>
      <c r="L95" s="83"/>
      <c r="M95" s="83"/>
      <c r="N95" s="83"/>
      <c r="O95" s="83"/>
      <c r="P95" s="83"/>
      <c r="Q95" s="107"/>
      <c r="R95" s="499"/>
      <c r="S95" s="190"/>
      <c r="T95" s="121"/>
      <c r="U95" s="121"/>
      <c r="V95" s="191"/>
      <c r="W95" s="190"/>
      <c r="X95" s="190"/>
      <c r="Y95" s="190"/>
      <c r="Z95" s="191"/>
      <c r="AA95" s="191"/>
      <c r="AB95" s="190"/>
      <c r="AC95" s="190"/>
      <c r="AD95" s="190"/>
      <c r="AE95" s="191"/>
      <c r="AF95" s="191"/>
      <c r="AG95" s="54"/>
      <c r="AH95" s="54"/>
      <c r="AI95" s="54"/>
    </row>
    <row r="96" spans="1:35" ht="14.4" customHeight="1" x14ac:dyDescent="0.3">
      <c r="A96" s="608" t="s">
        <v>510</v>
      </c>
      <c r="B96" s="472"/>
      <c r="C96" s="473"/>
      <c r="D96" s="485"/>
      <c r="E96" s="601" t="str">
        <f>CHOOSE(MODE, "Ch1", "")</f>
        <v/>
      </c>
      <c r="F96" s="602" t="str">
        <f>CHOOSE(MODE, "Ch2", "")</f>
        <v/>
      </c>
      <c r="G96" s="474"/>
      <c r="H96" s="128"/>
      <c r="I96" s="83"/>
      <c r="J96" s="83"/>
      <c r="K96" s="83"/>
      <c r="L96" s="83"/>
      <c r="M96" s="83"/>
      <c r="N96" s="83"/>
      <c r="O96" s="83"/>
      <c r="P96" s="83"/>
      <c r="Q96" s="107"/>
      <c r="R96" s="499"/>
      <c r="S96" s="190"/>
      <c r="T96" s="121"/>
      <c r="U96" s="121"/>
      <c r="V96" s="191"/>
      <c r="W96" s="190"/>
      <c r="X96" s="190"/>
      <c r="Y96" s="190"/>
      <c r="Z96" s="191"/>
      <c r="AA96" s="191"/>
      <c r="AB96" s="190"/>
      <c r="AC96" s="190"/>
      <c r="AD96" s="190"/>
      <c r="AE96" s="191"/>
      <c r="AF96" s="191"/>
      <c r="AG96" s="54"/>
      <c r="AH96" s="54"/>
      <c r="AI96" s="54"/>
    </row>
    <row r="97" spans="1:35" ht="14.4" customHeight="1" x14ac:dyDescent="0.4">
      <c r="A97" s="127"/>
      <c r="B97" s="128"/>
      <c r="C97" s="128"/>
      <c r="D97" s="124" t="s">
        <v>546</v>
      </c>
      <c r="E97" s="251">
        <v>0.72</v>
      </c>
      <c r="F97" s="251">
        <v>0</v>
      </c>
      <c r="G97" s="163" t="s">
        <v>0</v>
      </c>
      <c r="H97" s="128"/>
      <c r="I97" s="83"/>
      <c r="J97" s="83"/>
      <c r="K97" s="83"/>
      <c r="L97" s="83"/>
      <c r="M97" s="83"/>
      <c r="N97" s="83"/>
      <c r="O97" s="83"/>
      <c r="P97" s="83"/>
      <c r="Q97" s="107"/>
      <c r="R97" s="499"/>
      <c r="S97" s="190"/>
      <c r="T97" s="121"/>
      <c r="U97" s="121"/>
      <c r="V97" s="191"/>
      <c r="W97" s="190"/>
      <c r="X97" s="190"/>
      <c r="Y97" s="190"/>
      <c r="Z97" s="191"/>
      <c r="AA97" s="191"/>
      <c r="AB97" s="190"/>
      <c r="AC97" s="190"/>
      <c r="AD97" s="190"/>
      <c r="AE97" s="191"/>
      <c r="AF97" s="191"/>
      <c r="AG97" s="54"/>
      <c r="AH97" s="54"/>
      <c r="AI97" s="54"/>
    </row>
    <row r="98" spans="1:35" ht="14.4" customHeight="1" thickBot="1" x14ac:dyDescent="0.45">
      <c r="A98" s="195"/>
      <c r="B98" s="176"/>
      <c r="C98" s="176"/>
      <c r="D98" s="177" t="s">
        <v>543</v>
      </c>
      <c r="E98" s="252">
        <v>4.5</v>
      </c>
      <c r="F98" s="252">
        <v>0</v>
      </c>
      <c r="G98" s="178" t="s">
        <v>65</v>
      </c>
      <c r="H98" s="128"/>
      <c r="I98" s="83"/>
      <c r="J98" s="83"/>
      <c r="K98" s="83"/>
      <c r="L98" s="83"/>
      <c r="M98" s="83"/>
      <c r="N98" s="83"/>
      <c r="O98" s="83"/>
      <c r="P98" s="83"/>
      <c r="Q98" s="107"/>
      <c r="R98" s="499"/>
      <c r="S98" s="190"/>
      <c r="T98" s="121"/>
      <c r="U98" s="121"/>
      <c r="V98" s="191"/>
      <c r="W98" s="190"/>
      <c r="X98" s="190"/>
      <c r="Y98" s="190"/>
      <c r="Z98" s="191"/>
      <c r="AA98" s="191"/>
      <c r="AB98" s="190"/>
      <c r="AC98" s="190"/>
      <c r="AD98" s="190"/>
      <c r="AE98" s="191"/>
      <c r="AF98" s="191"/>
      <c r="AG98" s="54"/>
      <c r="AH98" s="54"/>
      <c r="AI98" s="54"/>
    </row>
    <row r="99" spans="1:35" ht="14.4" customHeight="1" x14ac:dyDescent="0.3">
      <c r="A99" s="186"/>
      <c r="B99" s="135"/>
      <c r="C99" s="135"/>
      <c r="D99" s="638"/>
      <c r="E99" s="113"/>
      <c r="F99" s="113"/>
      <c r="G99" s="113"/>
      <c r="H99" s="128"/>
      <c r="I99" s="83"/>
      <c r="J99" s="83"/>
      <c r="K99" s="83"/>
      <c r="L99" s="83"/>
      <c r="M99" s="83"/>
      <c r="N99" s="83"/>
      <c r="O99" s="83"/>
      <c r="P99" s="83"/>
      <c r="Q99" s="107"/>
      <c r="R99" s="499"/>
      <c r="S99" s="190"/>
      <c r="T99" s="121"/>
      <c r="U99" s="121"/>
      <c r="V99" s="191"/>
      <c r="W99" s="190"/>
      <c r="X99" s="190"/>
      <c r="Y99" s="190"/>
      <c r="Z99" s="191"/>
      <c r="AA99" s="191"/>
      <c r="AB99" s="190"/>
      <c r="AC99" s="190"/>
      <c r="AD99" s="190"/>
      <c r="AE99" s="191"/>
      <c r="AF99" s="191"/>
      <c r="AG99" s="54"/>
      <c r="AH99" s="54"/>
      <c r="AI99" s="54"/>
    </row>
    <row r="100" spans="1:35" ht="19.5" customHeight="1" x14ac:dyDescent="0.3">
      <c r="A100" s="186"/>
      <c r="B100" s="135"/>
      <c r="C100" s="639"/>
      <c r="D100" s="638"/>
      <c r="E100" s="113"/>
      <c r="F100" s="113"/>
      <c r="G100" s="113"/>
      <c r="H100" s="128"/>
      <c r="I100" s="83"/>
      <c r="J100" s="83"/>
      <c r="K100" s="83"/>
      <c r="L100" s="83"/>
      <c r="M100" s="83"/>
      <c r="N100" s="83"/>
      <c r="O100" s="83"/>
      <c r="P100" s="83"/>
      <c r="Q100" s="107"/>
      <c r="R100" s="499"/>
      <c r="S100" s="190"/>
      <c r="T100" s="121"/>
      <c r="U100" s="121"/>
      <c r="V100" s="191"/>
      <c r="W100" s="190"/>
      <c r="X100" s="190"/>
      <c r="Y100" s="190"/>
      <c r="Z100" s="191"/>
      <c r="AA100" s="191"/>
      <c r="AB100" s="190"/>
      <c r="AC100" s="190"/>
      <c r="AD100" s="190"/>
      <c r="AE100" s="191"/>
      <c r="AF100" s="191"/>
      <c r="AG100" s="54"/>
      <c r="AH100" s="54"/>
      <c r="AI100" s="54"/>
    </row>
    <row r="101" spans="1:35" ht="15" customHeight="1" x14ac:dyDescent="0.3">
      <c r="A101" s="186"/>
      <c r="B101" s="135"/>
      <c r="C101" s="639"/>
      <c r="D101" s="638"/>
      <c r="E101" s="113"/>
      <c r="F101" s="113"/>
      <c r="G101" s="113"/>
      <c r="H101" s="128"/>
      <c r="I101" s="83"/>
      <c r="J101" s="83"/>
      <c r="K101" s="83"/>
      <c r="L101" s="83"/>
      <c r="M101" s="83"/>
      <c r="N101" s="83"/>
      <c r="O101" s="83"/>
      <c r="P101" s="83"/>
      <c r="Q101" s="107"/>
      <c r="R101" s="499"/>
      <c r="S101" s="54"/>
      <c r="T101" s="6"/>
      <c r="U101" s="6"/>
      <c r="W101" s="54"/>
      <c r="X101" s="54"/>
      <c r="Y101" s="54"/>
      <c r="AB101" s="54"/>
      <c r="AC101" s="54"/>
      <c r="AD101" s="54"/>
      <c r="AG101" s="54"/>
      <c r="AH101" s="54"/>
      <c r="AI101" s="54"/>
    </row>
    <row r="102" spans="1:35" ht="19.5" customHeight="1" thickBot="1" x14ac:dyDescent="0.4">
      <c r="A102" s="151" t="s">
        <v>805</v>
      </c>
      <c r="B102" s="135"/>
      <c r="C102" s="639"/>
      <c r="D102" s="638"/>
      <c r="E102" s="113"/>
      <c r="F102" s="113"/>
      <c r="G102" s="113"/>
      <c r="H102" s="128"/>
      <c r="I102" s="83"/>
      <c r="J102" s="83"/>
      <c r="K102" s="83"/>
      <c r="L102" s="83"/>
      <c r="M102" s="83"/>
      <c r="N102" s="83"/>
      <c r="O102" s="83"/>
      <c r="P102" s="83"/>
      <c r="Q102" s="107"/>
      <c r="R102" s="499"/>
      <c r="S102" s="54"/>
      <c r="T102" s="54"/>
      <c r="W102" s="54"/>
      <c r="X102" s="54"/>
      <c r="Y102" s="54"/>
      <c r="AB102" s="54"/>
      <c r="AC102" s="54"/>
      <c r="AD102" s="54"/>
      <c r="AG102" s="54"/>
      <c r="AH102" s="54"/>
      <c r="AI102" s="54"/>
    </row>
    <row r="103" spans="1:35" ht="15.75" customHeight="1" x14ac:dyDescent="0.3">
      <c r="A103" s="185"/>
      <c r="B103" s="154"/>
      <c r="C103" s="155"/>
      <c r="D103" s="155" t="s">
        <v>817</v>
      </c>
      <c r="E103" s="560">
        <f>'Variable Management'!B322</f>
        <v>0.51480000000000004</v>
      </c>
      <c r="F103" s="162" t="s">
        <v>116</v>
      </c>
      <c r="G103" s="113"/>
      <c r="H103" s="128"/>
      <c r="I103" s="83"/>
      <c r="J103" s="83"/>
      <c r="K103" s="83"/>
      <c r="L103" s="83"/>
      <c r="M103" s="83"/>
      <c r="N103" s="83"/>
      <c r="O103" s="83"/>
      <c r="P103" s="83"/>
      <c r="Q103" s="107"/>
      <c r="R103" s="499"/>
      <c r="S103" s="54"/>
      <c r="T103" s="54"/>
      <c r="W103" s="54"/>
      <c r="X103" s="54"/>
      <c r="Y103" s="54"/>
      <c r="AB103" s="54"/>
      <c r="AC103" s="54"/>
      <c r="AD103" s="54"/>
      <c r="AG103" s="54"/>
      <c r="AH103" s="54"/>
      <c r="AI103" s="54"/>
    </row>
    <row r="104" spans="1:35" ht="14.4" customHeight="1" thickBot="1" x14ac:dyDescent="0.35">
      <c r="A104" s="159"/>
      <c r="B104" s="160"/>
      <c r="C104" s="160"/>
      <c r="D104" s="265" t="s">
        <v>806</v>
      </c>
      <c r="E104" s="597">
        <f>'Variable Management'!B324</f>
        <v>42.915040000000005</v>
      </c>
      <c r="F104" s="284" t="s">
        <v>226</v>
      </c>
      <c r="G104" s="113"/>
      <c r="H104" s="128"/>
      <c r="I104" s="83"/>
      <c r="J104" s="83"/>
      <c r="K104" s="83"/>
      <c r="L104" s="83"/>
      <c r="M104" s="83"/>
      <c r="N104" s="83"/>
      <c r="O104" s="83"/>
      <c r="P104" s="83"/>
      <c r="Q104" s="107"/>
      <c r="R104" s="499"/>
      <c r="S104" s="54"/>
      <c r="T104" s="54"/>
      <c r="W104" s="54"/>
      <c r="X104" s="54"/>
      <c r="Y104" s="54"/>
      <c r="AB104" s="54"/>
      <c r="AC104" s="54"/>
      <c r="AD104" s="54"/>
      <c r="AG104" s="54"/>
      <c r="AH104" s="54"/>
      <c r="AI104" s="54"/>
    </row>
    <row r="105" spans="1:35" ht="14.25" customHeight="1" x14ac:dyDescent="0.3">
      <c r="A105" s="640"/>
      <c r="B105" s="135"/>
      <c r="C105" s="135"/>
      <c r="D105" s="638"/>
      <c r="E105" s="113"/>
      <c r="F105" s="113"/>
      <c r="G105" s="113"/>
      <c r="H105" s="128"/>
      <c r="I105" s="83"/>
      <c r="J105" s="83"/>
      <c r="K105" s="83"/>
      <c r="L105" s="83"/>
      <c r="M105" s="83"/>
      <c r="N105" s="83"/>
      <c r="O105" s="83"/>
      <c r="P105" s="83"/>
      <c r="Q105" s="107"/>
      <c r="R105" s="499"/>
      <c r="S105" s="54"/>
      <c r="T105" s="54"/>
      <c r="W105" s="54"/>
      <c r="X105" s="54"/>
      <c r="Y105" s="54"/>
      <c r="AB105" s="54"/>
      <c r="AC105" s="54"/>
      <c r="AD105" s="54"/>
      <c r="AG105" s="54"/>
      <c r="AH105" s="54"/>
      <c r="AI105" s="54"/>
    </row>
    <row r="106" spans="1:35" ht="14.4" customHeight="1" x14ac:dyDescent="0.3">
      <c r="A106" s="641"/>
      <c r="B106" s="128"/>
      <c r="C106" s="128"/>
      <c r="D106" s="124"/>
      <c r="E106" s="471"/>
      <c r="F106" s="128"/>
      <c r="G106" s="128"/>
      <c r="H106" s="128"/>
      <c r="I106" s="87"/>
      <c r="J106" s="88"/>
      <c r="K106" s="83"/>
      <c r="L106" s="83"/>
      <c r="M106" s="83"/>
      <c r="N106" s="83"/>
      <c r="O106" s="83"/>
      <c r="P106" s="83"/>
      <c r="Q106" s="107"/>
      <c r="R106" s="499"/>
      <c r="S106" s="54"/>
      <c r="T106" s="54"/>
      <c r="W106" s="54"/>
      <c r="X106" s="54"/>
      <c r="Y106" s="54"/>
      <c r="AB106" s="54"/>
      <c r="AC106" s="54"/>
      <c r="AD106" s="54"/>
      <c r="AG106" s="54"/>
      <c r="AH106" s="54"/>
      <c r="AI106" s="54"/>
    </row>
    <row r="107" spans="1:35" ht="14.4" customHeight="1" x14ac:dyDescent="0.3">
      <c r="A107" s="648"/>
      <c r="B107" s="113"/>
      <c r="C107" s="113"/>
      <c r="D107" s="113"/>
      <c r="E107" s="113"/>
      <c r="F107" s="113"/>
      <c r="G107" s="113"/>
      <c r="H107" s="128"/>
      <c r="I107" s="83"/>
      <c r="J107" s="83"/>
      <c r="K107" s="83"/>
      <c r="L107" s="83"/>
      <c r="M107" s="83"/>
      <c r="N107" s="83"/>
      <c r="O107" s="83"/>
      <c r="P107" s="83"/>
      <c r="Q107" s="107"/>
      <c r="R107" s="499"/>
      <c r="S107" s="54"/>
      <c r="T107" s="54"/>
      <c r="W107" s="54"/>
      <c r="X107" s="54"/>
      <c r="Y107" s="54"/>
      <c r="AB107" s="54"/>
      <c r="AC107" s="54"/>
      <c r="AD107" s="54"/>
      <c r="AG107" s="54"/>
      <c r="AH107" s="54"/>
      <c r="AI107" s="54"/>
    </row>
    <row r="108" spans="1:35" ht="14.4" customHeight="1" x14ac:dyDescent="0.3">
      <c r="A108" s="648"/>
      <c r="B108" s="113"/>
      <c r="C108" s="113"/>
      <c r="D108" s="113"/>
      <c r="E108" s="113"/>
      <c r="F108" s="113"/>
      <c r="G108" s="113"/>
      <c r="H108" s="128"/>
      <c r="I108" s="83"/>
      <c r="J108" s="83"/>
      <c r="K108" s="83"/>
      <c r="L108" s="83"/>
      <c r="M108" s="83"/>
      <c r="N108" s="83"/>
      <c r="O108" s="83"/>
      <c r="P108" s="83"/>
      <c r="Q108" s="107"/>
      <c r="R108" s="499"/>
      <c r="S108" s="54"/>
      <c r="T108" s="54"/>
      <c r="W108" s="54"/>
      <c r="X108" s="54"/>
      <c r="Y108" s="54"/>
      <c r="AB108" s="54"/>
      <c r="AC108" s="54"/>
      <c r="AD108" s="54"/>
      <c r="AG108" s="54"/>
      <c r="AH108" s="54"/>
      <c r="AI108" s="54"/>
    </row>
    <row r="109" spans="1:35" ht="13.5" thickBot="1" x14ac:dyDescent="0.35">
      <c r="A109" s="159"/>
      <c r="B109" s="160"/>
      <c r="C109" s="160"/>
      <c r="D109" s="160"/>
      <c r="E109" s="205"/>
      <c r="F109" s="160"/>
      <c r="G109" s="160"/>
      <c r="H109" s="160"/>
      <c r="I109" s="206"/>
      <c r="J109" s="206"/>
      <c r="K109" s="206"/>
      <c r="L109" s="206"/>
      <c r="M109" s="206"/>
      <c r="N109" s="206"/>
      <c r="O109" s="206"/>
      <c r="P109" s="206"/>
      <c r="Q109" s="207"/>
      <c r="R109" s="499"/>
      <c r="S109" s="54"/>
      <c r="T109" s="54"/>
      <c r="W109" s="54"/>
      <c r="X109" s="54"/>
      <c r="Y109" s="54"/>
      <c r="AB109" s="54"/>
      <c r="AC109" s="54"/>
      <c r="AD109" s="54"/>
      <c r="AG109" s="54"/>
      <c r="AH109" s="54"/>
      <c r="AI109" s="54"/>
    </row>
    <row r="110" spans="1:35" x14ac:dyDescent="0.3">
      <c r="A110" s="496"/>
      <c r="B110" s="497"/>
      <c r="C110" s="498"/>
      <c r="D110" s="498"/>
      <c r="E110" s="498"/>
      <c r="F110" s="498"/>
      <c r="G110" s="498"/>
      <c r="H110" s="498"/>
      <c r="I110" s="498"/>
      <c r="J110" s="498"/>
      <c r="K110" s="498"/>
      <c r="L110" s="498"/>
      <c r="M110" s="498"/>
      <c r="N110" s="498"/>
      <c r="O110" s="498"/>
      <c r="P110" s="498"/>
      <c r="Q110" s="498"/>
      <c r="R110" s="499"/>
      <c r="S110" s="54"/>
      <c r="T110" s="54"/>
      <c r="W110" s="54"/>
      <c r="X110" s="54"/>
      <c r="Y110" s="54"/>
      <c r="AB110" s="54"/>
      <c r="AC110" s="54"/>
      <c r="AD110" s="54"/>
      <c r="AG110" s="54"/>
      <c r="AH110" s="54"/>
      <c r="AI110" s="54"/>
    </row>
    <row r="111" spans="1:35" x14ac:dyDescent="0.3">
      <c r="A111" s="79"/>
      <c r="R111" s="54"/>
      <c r="S111" s="54"/>
      <c r="T111" s="54"/>
      <c r="W111" s="54"/>
      <c r="X111" s="54"/>
      <c r="Y111" s="54"/>
      <c r="AB111" s="54"/>
      <c r="AC111" s="54"/>
      <c r="AD111" s="54"/>
      <c r="AG111" s="54"/>
      <c r="AH111" s="54"/>
      <c r="AI111" s="54"/>
    </row>
    <row r="112" spans="1:35" x14ac:dyDescent="0.3">
      <c r="R112" s="54"/>
      <c r="S112" s="54"/>
      <c r="T112" s="54"/>
      <c r="W112" s="54"/>
      <c r="X112" s="54"/>
      <c r="Y112" s="54"/>
      <c r="AB112" s="54"/>
      <c r="AC112" s="54"/>
      <c r="AD112" s="54"/>
      <c r="AG112" s="54"/>
      <c r="AH112" s="54"/>
      <c r="AI112" s="54"/>
    </row>
    <row r="113" spans="18:35" x14ac:dyDescent="0.3">
      <c r="R113" s="54"/>
      <c r="S113" s="54"/>
      <c r="T113" s="54"/>
      <c r="W113" s="54"/>
      <c r="X113" s="54"/>
      <c r="Y113" s="54"/>
      <c r="AB113" s="54"/>
      <c r="AC113" s="54"/>
      <c r="AD113" s="54"/>
      <c r="AG113" s="54"/>
      <c r="AH113" s="54"/>
      <c r="AI113" s="54"/>
    </row>
    <row r="114" spans="18:35" x14ac:dyDescent="0.3">
      <c r="R114" s="54"/>
      <c r="S114" s="54"/>
      <c r="T114" s="54"/>
      <c r="W114" s="54"/>
      <c r="X114" s="54"/>
      <c r="Y114" s="54"/>
      <c r="AB114" s="54"/>
      <c r="AC114" s="54"/>
      <c r="AD114" s="54"/>
      <c r="AG114" s="54"/>
      <c r="AH114" s="54"/>
      <c r="AI114" s="54"/>
    </row>
    <row r="115" spans="18:35" x14ac:dyDescent="0.3">
      <c r="R115" s="54"/>
      <c r="S115" s="54"/>
      <c r="T115" s="54"/>
      <c r="W115" s="54"/>
      <c r="X115" s="54"/>
      <c r="Y115" s="54"/>
      <c r="AB115" s="54"/>
      <c r="AC115" s="54"/>
      <c r="AD115" s="54"/>
      <c r="AG115" s="54"/>
      <c r="AH115" s="54"/>
      <c r="AI115" s="54"/>
    </row>
    <row r="116" spans="18:35" x14ac:dyDescent="0.3">
      <c r="R116" s="54"/>
      <c r="S116" s="54"/>
      <c r="T116" s="54"/>
      <c r="W116" s="54"/>
      <c r="X116" s="54"/>
      <c r="Y116" s="54"/>
      <c r="AB116" s="54"/>
      <c r="AC116" s="54"/>
      <c r="AD116" s="54"/>
      <c r="AG116" s="54"/>
      <c r="AH116" s="54"/>
      <c r="AI116" s="54"/>
    </row>
    <row r="117" spans="18:35" x14ac:dyDescent="0.3">
      <c r="R117" s="54"/>
      <c r="S117" s="54"/>
      <c r="T117" s="54"/>
      <c r="W117" s="54"/>
      <c r="X117" s="54"/>
      <c r="Y117" s="54"/>
      <c r="AB117" s="54"/>
      <c r="AC117" s="54"/>
      <c r="AD117" s="54"/>
      <c r="AG117" s="54"/>
      <c r="AH117" s="54"/>
      <c r="AI117" s="54"/>
    </row>
    <row r="118" spans="18:35" x14ac:dyDescent="0.3">
      <c r="R118" s="54"/>
      <c r="S118" s="54"/>
      <c r="T118" s="54"/>
      <c r="W118" s="54"/>
      <c r="X118" s="54"/>
      <c r="Y118" s="54"/>
      <c r="AB118" s="54"/>
      <c r="AC118" s="54"/>
      <c r="AD118" s="54"/>
      <c r="AG118" s="54"/>
      <c r="AH118" s="54"/>
      <c r="AI118" s="54"/>
    </row>
    <row r="119" spans="18:35" x14ac:dyDescent="0.3">
      <c r="R119" s="54"/>
      <c r="S119" s="54"/>
      <c r="T119" s="54"/>
      <c r="W119" s="54"/>
      <c r="X119" s="54"/>
      <c r="Y119" s="54"/>
      <c r="AB119" s="54"/>
      <c r="AC119" s="54"/>
      <c r="AD119" s="54"/>
      <c r="AG119" s="54"/>
      <c r="AH119" s="54"/>
      <c r="AI119" s="54"/>
    </row>
    <row r="120" spans="18:35" x14ac:dyDescent="0.3">
      <c r="R120" s="54"/>
      <c r="S120" s="54"/>
      <c r="T120" s="54"/>
      <c r="W120" s="54"/>
      <c r="X120" s="54"/>
      <c r="Y120" s="54"/>
      <c r="AB120" s="54"/>
      <c r="AC120" s="54"/>
      <c r="AD120" s="54"/>
      <c r="AG120" s="54"/>
      <c r="AH120" s="54"/>
      <c r="AI120" s="54"/>
    </row>
    <row r="121" spans="18:35" x14ac:dyDescent="0.3">
      <c r="R121" s="54"/>
      <c r="S121" s="54"/>
      <c r="T121" s="54"/>
      <c r="W121" s="54"/>
      <c r="X121" s="54"/>
      <c r="Y121" s="54"/>
      <c r="AB121" s="54"/>
      <c r="AC121" s="54"/>
      <c r="AD121" s="54"/>
      <c r="AG121" s="54"/>
      <c r="AH121" s="54"/>
      <c r="AI121" s="54"/>
    </row>
    <row r="122" spans="18:35" x14ac:dyDescent="0.3">
      <c r="R122" s="54"/>
      <c r="S122" s="54"/>
      <c r="T122" s="54"/>
      <c r="W122" s="54"/>
      <c r="X122" s="54"/>
      <c r="Y122" s="54"/>
      <c r="AB122" s="54"/>
      <c r="AC122" s="54"/>
      <c r="AD122" s="54"/>
      <c r="AG122" s="54"/>
      <c r="AH122" s="54"/>
      <c r="AI122" s="54"/>
    </row>
    <row r="123" spans="18:35" x14ac:dyDescent="0.3">
      <c r="R123" s="54"/>
      <c r="S123" s="54"/>
      <c r="T123" s="54"/>
      <c r="W123" s="54"/>
      <c r="X123" s="54"/>
      <c r="Y123" s="54"/>
      <c r="AB123" s="54"/>
      <c r="AC123" s="54"/>
      <c r="AD123" s="54"/>
      <c r="AG123" s="54"/>
      <c r="AH123" s="54"/>
      <c r="AI123" s="54"/>
    </row>
    <row r="124" spans="18:35" x14ac:dyDescent="0.3">
      <c r="R124" s="54"/>
      <c r="S124" s="54"/>
      <c r="T124" s="54"/>
      <c r="W124" s="54"/>
      <c r="X124" s="54"/>
      <c r="Y124" s="54"/>
      <c r="AB124" s="54"/>
      <c r="AC124" s="54"/>
      <c r="AD124" s="54"/>
      <c r="AG124" s="54"/>
      <c r="AH124" s="54"/>
      <c r="AI124" s="54"/>
    </row>
    <row r="125" spans="18:35" x14ac:dyDescent="0.3">
      <c r="R125" s="54"/>
      <c r="S125" s="54"/>
      <c r="T125" s="54"/>
      <c r="W125" s="54"/>
      <c r="X125" s="54"/>
      <c r="Y125" s="54"/>
      <c r="AB125" s="54"/>
      <c r="AC125" s="54"/>
      <c r="AD125" s="54"/>
      <c r="AG125" s="54"/>
      <c r="AH125" s="54"/>
      <c r="AI125" s="54"/>
    </row>
    <row r="126" spans="18:35" x14ac:dyDescent="0.3">
      <c r="R126" s="54"/>
      <c r="S126" s="54"/>
      <c r="T126" s="54"/>
      <c r="W126" s="54"/>
      <c r="X126" s="54"/>
      <c r="Y126" s="54"/>
      <c r="AB126" s="54"/>
      <c r="AC126" s="54"/>
      <c r="AD126" s="54"/>
      <c r="AG126" s="54"/>
      <c r="AH126" s="54"/>
      <c r="AI126" s="54"/>
    </row>
    <row r="127" spans="18:35" x14ac:dyDescent="0.3">
      <c r="R127" s="54"/>
      <c r="S127" s="54"/>
      <c r="T127" s="54"/>
      <c r="W127" s="54"/>
      <c r="X127" s="54"/>
      <c r="Y127" s="54"/>
      <c r="AB127" s="54"/>
      <c r="AC127" s="54"/>
      <c r="AD127" s="54"/>
      <c r="AG127" s="54"/>
      <c r="AH127" s="54"/>
      <c r="AI127" s="54"/>
    </row>
    <row r="128" spans="18:35" x14ac:dyDescent="0.3">
      <c r="R128" s="54"/>
      <c r="S128" s="54"/>
      <c r="T128" s="54"/>
      <c r="W128" s="54"/>
      <c r="X128" s="54"/>
      <c r="Y128" s="54"/>
      <c r="AB128" s="54"/>
      <c r="AC128" s="54"/>
      <c r="AD128" s="54"/>
      <c r="AG128" s="54"/>
      <c r="AH128" s="54"/>
      <c r="AI128" s="54"/>
    </row>
    <row r="129" spans="18:35" x14ac:dyDescent="0.3">
      <c r="R129" s="54"/>
      <c r="S129" s="54"/>
      <c r="T129" s="54"/>
      <c r="W129" s="54"/>
      <c r="X129" s="54"/>
      <c r="Y129" s="54"/>
      <c r="AB129" s="54"/>
      <c r="AC129" s="54"/>
      <c r="AD129" s="54"/>
      <c r="AG129" s="54"/>
      <c r="AH129" s="54"/>
      <c r="AI129" s="54"/>
    </row>
    <row r="130" spans="18:35" x14ac:dyDescent="0.3">
      <c r="R130" s="54"/>
      <c r="S130" s="54"/>
      <c r="T130" s="54"/>
      <c r="W130" s="54"/>
      <c r="X130" s="54"/>
      <c r="Y130" s="54"/>
      <c r="AB130" s="54"/>
      <c r="AC130" s="54"/>
      <c r="AD130" s="54"/>
      <c r="AG130" s="54"/>
      <c r="AH130" s="54"/>
      <c r="AI130" s="54"/>
    </row>
    <row r="131" spans="18:35" x14ac:dyDescent="0.3">
      <c r="R131" s="54"/>
      <c r="S131" s="54"/>
      <c r="T131" s="54"/>
      <c r="W131" s="54"/>
      <c r="X131" s="54"/>
      <c r="Y131" s="54"/>
      <c r="AB131" s="54"/>
      <c r="AC131" s="54"/>
      <c r="AD131" s="54"/>
      <c r="AG131" s="54"/>
      <c r="AH131" s="54"/>
      <c r="AI131" s="54"/>
    </row>
    <row r="132" spans="18:35" x14ac:dyDescent="0.3">
      <c r="R132" s="54"/>
      <c r="S132" s="54"/>
      <c r="T132" s="54"/>
      <c r="W132" s="54"/>
      <c r="X132" s="54"/>
      <c r="Y132" s="54"/>
      <c r="AB132" s="54"/>
      <c r="AC132" s="54"/>
      <c r="AD132" s="54"/>
      <c r="AG132" s="54"/>
      <c r="AH132" s="54"/>
      <c r="AI132" s="54"/>
    </row>
    <row r="133" spans="18:35" x14ac:dyDescent="0.3">
      <c r="R133" s="54"/>
      <c r="S133" s="54"/>
      <c r="T133" s="54"/>
      <c r="W133" s="54"/>
      <c r="X133" s="54"/>
      <c r="Y133" s="54"/>
      <c r="AB133" s="54"/>
      <c r="AC133" s="54"/>
      <c r="AD133" s="54"/>
      <c r="AG133" s="54"/>
      <c r="AH133" s="54"/>
      <c r="AI133" s="54"/>
    </row>
    <row r="134" spans="18:35" x14ac:dyDescent="0.3">
      <c r="R134" s="54"/>
      <c r="S134" s="54"/>
      <c r="T134" s="54"/>
      <c r="W134" s="54"/>
      <c r="X134" s="54"/>
      <c r="Y134" s="54"/>
      <c r="AB134" s="54"/>
      <c r="AC134" s="54"/>
      <c r="AD134" s="54"/>
      <c r="AG134" s="54"/>
      <c r="AH134" s="54"/>
      <c r="AI134" s="54"/>
    </row>
    <row r="135" spans="18:35" x14ac:dyDescent="0.3">
      <c r="R135" s="54"/>
      <c r="S135" s="54"/>
      <c r="T135" s="54"/>
      <c r="W135" s="54"/>
      <c r="X135" s="54"/>
      <c r="Y135" s="54"/>
      <c r="AB135" s="54"/>
      <c r="AC135" s="54"/>
      <c r="AD135" s="54"/>
      <c r="AG135" s="54"/>
      <c r="AH135" s="54"/>
      <c r="AI135" s="54"/>
    </row>
    <row r="136" spans="18:35" x14ac:dyDescent="0.3">
      <c r="R136" s="54"/>
      <c r="S136" s="54"/>
      <c r="T136" s="54"/>
      <c r="W136" s="54"/>
      <c r="X136" s="54"/>
      <c r="Y136" s="54"/>
      <c r="AB136" s="54"/>
      <c r="AC136" s="54"/>
      <c r="AD136" s="54"/>
      <c r="AG136" s="54"/>
      <c r="AH136" s="54"/>
      <c r="AI136" s="54"/>
    </row>
    <row r="137" spans="18:35" x14ac:dyDescent="0.3">
      <c r="R137" s="54"/>
      <c r="S137" s="54"/>
      <c r="T137" s="54"/>
      <c r="W137" s="54"/>
      <c r="X137" s="54"/>
      <c r="Y137" s="54"/>
      <c r="AB137" s="54"/>
      <c r="AC137" s="54"/>
      <c r="AD137" s="54"/>
      <c r="AG137" s="54"/>
      <c r="AH137" s="54"/>
      <c r="AI137" s="54"/>
    </row>
    <row r="138" spans="18:35" x14ac:dyDescent="0.3">
      <c r="R138" s="54"/>
      <c r="S138" s="54"/>
      <c r="T138" s="54"/>
      <c r="W138" s="54"/>
      <c r="X138" s="54"/>
      <c r="Y138" s="54"/>
      <c r="AB138" s="54"/>
      <c r="AC138" s="54"/>
      <c r="AD138" s="54"/>
      <c r="AG138" s="54"/>
      <c r="AH138" s="54"/>
      <c r="AI138" s="54"/>
    </row>
    <row r="139" spans="18:35" x14ac:dyDescent="0.3">
      <c r="R139" s="54"/>
      <c r="S139" s="54"/>
      <c r="T139" s="54"/>
      <c r="W139" s="54"/>
      <c r="X139" s="54"/>
      <c r="Y139" s="54"/>
      <c r="AB139" s="54"/>
      <c r="AC139" s="54"/>
      <c r="AD139" s="54"/>
      <c r="AG139" s="54"/>
      <c r="AH139" s="54"/>
      <c r="AI139" s="54"/>
    </row>
    <row r="140" spans="18:35" x14ac:dyDescent="0.3">
      <c r="R140" s="54"/>
      <c r="S140" s="54"/>
      <c r="T140" s="54"/>
      <c r="W140" s="54"/>
      <c r="X140" s="54"/>
      <c r="Y140" s="54"/>
      <c r="AB140" s="54"/>
      <c r="AC140" s="54"/>
      <c r="AD140" s="54"/>
      <c r="AG140" s="54"/>
      <c r="AH140" s="54"/>
      <c r="AI140" s="54"/>
    </row>
    <row r="141" spans="18:35" x14ac:dyDescent="0.3">
      <c r="R141" s="54"/>
      <c r="S141" s="54"/>
      <c r="T141" s="54"/>
      <c r="W141" s="54"/>
      <c r="X141" s="54"/>
      <c r="Y141" s="54"/>
      <c r="AB141" s="54"/>
      <c r="AC141" s="54"/>
      <c r="AD141" s="54"/>
      <c r="AG141" s="54"/>
      <c r="AH141" s="54"/>
      <c r="AI141" s="54"/>
    </row>
    <row r="142" spans="18:35" x14ac:dyDescent="0.3">
      <c r="R142" s="54"/>
      <c r="S142" s="54"/>
      <c r="T142" s="54"/>
      <c r="W142" s="54"/>
      <c r="X142" s="54"/>
      <c r="Y142" s="54"/>
      <c r="AB142" s="54"/>
      <c r="AC142" s="54"/>
      <c r="AD142" s="54"/>
      <c r="AG142" s="54"/>
      <c r="AH142" s="54"/>
      <c r="AI142" s="54"/>
    </row>
    <row r="143" spans="18:35" x14ac:dyDescent="0.3">
      <c r="R143" s="54"/>
      <c r="S143" s="54"/>
      <c r="T143" s="54"/>
      <c r="W143" s="54"/>
      <c r="X143" s="54"/>
      <c r="Y143" s="54"/>
      <c r="AB143" s="54"/>
      <c r="AC143" s="54"/>
      <c r="AD143" s="54"/>
      <c r="AG143" s="54"/>
      <c r="AH143" s="54"/>
      <c r="AI143" s="54"/>
    </row>
    <row r="144" spans="18:35" x14ac:dyDescent="0.3">
      <c r="R144" s="54"/>
      <c r="S144" s="54"/>
      <c r="T144" s="54"/>
      <c r="W144" s="54"/>
      <c r="X144" s="54"/>
      <c r="Y144" s="54"/>
      <c r="AB144" s="54"/>
      <c r="AC144" s="54"/>
      <c r="AD144" s="54"/>
      <c r="AG144" s="54"/>
      <c r="AH144" s="54"/>
      <c r="AI144" s="54"/>
    </row>
    <row r="145" spans="18:35" x14ac:dyDescent="0.3">
      <c r="R145" s="54"/>
      <c r="S145" s="54"/>
      <c r="T145" s="54"/>
      <c r="W145" s="54"/>
      <c r="X145" s="54"/>
      <c r="Y145" s="54"/>
      <c r="AB145" s="54"/>
      <c r="AC145" s="54"/>
      <c r="AD145" s="54"/>
      <c r="AG145" s="54"/>
      <c r="AH145" s="54"/>
      <c r="AI145" s="54"/>
    </row>
    <row r="146" spans="18:35" x14ac:dyDescent="0.3">
      <c r="R146" s="54"/>
      <c r="S146" s="54"/>
      <c r="T146" s="54"/>
      <c r="W146" s="54"/>
      <c r="X146" s="54"/>
      <c r="Y146" s="54"/>
      <c r="AB146" s="54"/>
      <c r="AC146" s="54"/>
      <c r="AD146" s="54"/>
      <c r="AG146" s="54"/>
      <c r="AH146" s="54"/>
      <c r="AI146" s="54"/>
    </row>
    <row r="147" spans="18:35" x14ac:dyDescent="0.3">
      <c r="R147" s="54"/>
      <c r="S147" s="54"/>
      <c r="T147" s="54"/>
      <c r="W147" s="54"/>
      <c r="X147" s="54"/>
      <c r="Y147" s="54"/>
      <c r="AB147" s="54"/>
      <c r="AC147" s="54"/>
      <c r="AD147" s="54"/>
      <c r="AG147" s="54"/>
      <c r="AH147" s="54"/>
      <c r="AI147" s="54"/>
    </row>
    <row r="148" spans="18:35" x14ac:dyDescent="0.3">
      <c r="R148" s="54"/>
      <c r="S148" s="54"/>
      <c r="T148" s="54"/>
      <c r="W148" s="54"/>
      <c r="X148" s="54"/>
      <c r="Y148" s="54"/>
      <c r="AB148" s="54"/>
      <c r="AC148" s="54"/>
      <c r="AD148" s="54"/>
      <c r="AG148" s="54"/>
      <c r="AH148" s="54"/>
      <c r="AI148" s="54"/>
    </row>
    <row r="149" spans="18:35" x14ac:dyDescent="0.3">
      <c r="R149" s="54"/>
      <c r="S149" s="54"/>
      <c r="T149" s="54"/>
      <c r="W149" s="54"/>
      <c r="X149" s="54"/>
      <c r="Y149" s="54"/>
      <c r="AB149" s="54"/>
      <c r="AC149" s="54"/>
      <c r="AD149" s="54"/>
      <c r="AG149" s="54"/>
      <c r="AH149" s="54"/>
      <c r="AI149" s="54"/>
    </row>
    <row r="150" spans="18:35" x14ac:dyDescent="0.3">
      <c r="R150" s="54"/>
      <c r="S150" s="54"/>
      <c r="T150" s="54"/>
      <c r="W150" s="54"/>
      <c r="X150" s="54"/>
      <c r="Y150" s="54"/>
      <c r="AB150" s="54"/>
      <c r="AC150" s="54"/>
      <c r="AD150" s="54"/>
      <c r="AG150" s="54"/>
      <c r="AH150" s="54"/>
      <c r="AI150" s="54"/>
    </row>
    <row r="151" spans="18:35" x14ac:dyDescent="0.3">
      <c r="R151" s="54"/>
      <c r="S151" s="54"/>
      <c r="T151" s="54"/>
      <c r="W151" s="54"/>
      <c r="X151" s="54"/>
      <c r="Y151" s="54"/>
      <c r="AB151" s="54"/>
      <c r="AC151" s="54"/>
      <c r="AD151" s="54"/>
      <c r="AG151" s="54"/>
      <c r="AH151" s="54"/>
      <c r="AI151" s="54"/>
    </row>
    <row r="152" spans="18:35" x14ac:dyDescent="0.3">
      <c r="R152" s="54"/>
      <c r="S152" s="54"/>
      <c r="T152" s="54"/>
      <c r="W152" s="54"/>
      <c r="X152" s="54"/>
      <c r="Y152" s="54"/>
      <c r="AB152" s="54"/>
      <c r="AC152" s="54"/>
      <c r="AD152" s="54"/>
      <c r="AG152" s="54"/>
      <c r="AH152" s="54"/>
      <c r="AI152" s="54"/>
    </row>
    <row r="153" spans="18:35" x14ac:dyDescent="0.3">
      <c r="R153" s="54"/>
      <c r="S153" s="54"/>
      <c r="T153" s="54"/>
      <c r="W153" s="54"/>
      <c r="X153" s="54"/>
      <c r="Y153" s="54"/>
      <c r="AB153" s="54"/>
      <c r="AC153" s="54"/>
      <c r="AD153" s="54"/>
      <c r="AG153" s="54"/>
      <c r="AH153" s="54"/>
      <c r="AI153" s="54"/>
    </row>
    <row r="154" spans="18:35" x14ac:dyDescent="0.3">
      <c r="R154" s="54"/>
      <c r="S154" s="54"/>
      <c r="T154" s="54"/>
      <c r="W154" s="54"/>
      <c r="X154" s="54"/>
      <c r="Y154" s="54"/>
      <c r="AB154" s="54"/>
      <c r="AC154" s="54"/>
      <c r="AD154" s="54"/>
      <c r="AG154" s="54"/>
      <c r="AH154" s="54"/>
      <c r="AI154" s="54"/>
    </row>
    <row r="155" spans="18:35" x14ac:dyDescent="0.3">
      <c r="R155" s="54"/>
      <c r="S155" s="54"/>
      <c r="T155" s="54"/>
      <c r="W155" s="54"/>
      <c r="X155" s="54"/>
      <c r="Y155" s="54"/>
      <c r="AB155" s="54"/>
      <c r="AC155" s="54"/>
      <c r="AD155" s="54"/>
      <c r="AG155" s="54"/>
      <c r="AH155" s="54"/>
      <c r="AI155" s="54"/>
    </row>
    <row r="156" spans="18:35" x14ac:dyDescent="0.3">
      <c r="R156" s="54"/>
      <c r="S156" s="54"/>
      <c r="T156" s="54"/>
      <c r="W156" s="54"/>
      <c r="X156" s="54"/>
      <c r="Y156" s="54"/>
      <c r="AB156" s="54"/>
      <c r="AC156" s="54"/>
      <c r="AD156" s="54"/>
      <c r="AG156" s="54"/>
      <c r="AH156" s="54"/>
      <c r="AI156" s="54"/>
    </row>
    <row r="157" spans="18:35" x14ac:dyDescent="0.3">
      <c r="R157" s="54"/>
      <c r="S157" s="54"/>
      <c r="T157" s="54"/>
      <c r="W157" s="54"/>
      <c r="X157" s="54"/>
      <c r="Y157" s="54"/>
      <c r="AB157" s="54"/>
      <c r="AC157" s="54"/>
      <c r="AD157" s="54"/>
      <c r="AG157" s="54"/>
      <c r="AH157" s="54"/>
      <c r="AI157" s="54"/>
    </row>
    <row r="158" spans="18:35" x14ac:dyDescent="0.3">
      <c r="R158" s="54"/>
      <c r="S158" s="54"/>
      <c r="T158" s="54"/>
      <c r="W158" s="54"/>
      <c r="X158" s="54"/>
      <c r="Y158" s="54"/>
      <c r="AB158" s="54"/>
      <c r="AC158" s="54"/>
      <c r="AD158" s="54"/>
      <c r="AG158" s="54"/>
      <c r="AH158" s="54"/>
      <c r="AI158" s="54"/>
    </row>
    <row r="159" spans="18:35" x14ac:dyDescent="0.3">
      <c r="R159" s="54"/>
      <c r="S159" s="54"/>
      <c r="T159" s="54"/>
      <c r="W159" s="54"/>
      <c r="X159" s="54"/>
      <c r="Y159" s="54"/>
      <c r="AB159" s="54"/>
      <c r="AC159" s="54"/>
      <c r="AD159" s="54"/>
      <c r="AG159" s="54"/>
      <c r="AH159" s="54"/>
      <c r="AI159" s="54"/>
    </row>
    <row r="160" spans="18:35" x14ac:dyDescent="0.3">
      <c r="R160" s="54"/>
      <c r="S160" s="54"/>
      <c r="T160" s="54"/>
      <c r="W160" s="54"/>
      <c r="X160" s="54"/>
      <c r="Y160" s="54"/>
      <c r="AB160" s="54"/>
      <c r="AC160" s="54"/>
      <c r="AD160" s="54"/>
      <c r="AG160" s="54"/>
      <c r="AH160" s="54"/>
      <c r="AI160" s="54"/>
    </row>
    <row r="161" spans="18:35" x14ac:dyDescent="0.3">
      <c r="R161" s="54"/>
      <c r="S161" s="54"/>
      <c r="T161" s="54"/>
      <c r="W161" s="54"/>
      <c r="X161" s="54"/>
      <c r="Y161" s="54"/>
      <c r="AB161" s="54"/>
      <c r="AC161" s="54"/>
      <c r="AD161" s="54"/>
      <c r="AG161" s="54"/>
      <c r="AH161" s="54"/>
      <c r="AI161" s="54"/>
    </row>
    <row r="162" spans="18:35" x14ac:dyDescent="0.3">
      <c r="R162" s="54"/>
      <c r="S162" s="54"/>
      <c r="T162" s="54"/>
      <c r="W162" s="54"/>
      <c r="X162" s="54"/>
      <c r="Y162" s="54"/>
      <c r="AB162" s="54"/>
      <c r="AC162" s="54"/>
      <c r="AD162" s="54"/>
      <c r="AG162" s="54"/>
      <c r="AH162" s="54"/>
      <c r="AI162" s="54"/>
    </row>
    <row r="163" spans="18:35" x14ac:dyDescent="0.3">
      <c r="R163" s="54"/>
      <c r="S163" s="54"/>
      <c r="T163" s="54"/>
      <c r="W163" s="54"/>
      <c r="X163" s="54"/>
      <c r="Y163" s="54"/>
      <c r="AB163" s="54"/>
      <c r="AC163" s="54"/>
      <c r="AD163" s="54"/>
      <c r="AG163" s="54"/>
      <c r="AH163" s="54"/>
      <c r="AI163" s="54"/>
    </row>
    <row r="164" spans="18:35" x14ac:dyDescent="0.3">
      <c r="R164" s="54"/>
      <c r="S164" s="54"/>
      <c r="T164" s="54"/>
      <c r="W164" s="54"/>
      <c r="X164" s="54"/>
      <c r="Y164" s="54"/>
      <c r="AB164" s="54"/>
      <c r="AC164" s="54"/>
      <c r="AD164" s="54"/>
      <c r="AG164" s="54"/>
      <c r="AH164" s="54"/>
      <c r="AI164" s="54"/>
    </row>
    <row r="165" spans="18:35" x14ac:dyDescent="0.3">
      <c r="R165" s="54"/>
      <c r="S165" s="54"/>
      <c r="T165" s="54"/>
      <c r="W165" s="54"/>
      <c r="X165" s="54"/>
      <c r="Y165" s="54"/>
      <c r="AB165" s="54"/>
      <c r="AC165" s="54"/>
      <c r="AD165" s="54"/>
      <c r="AG165" s="54"/>
      <c r="AH165" s="54"/>
      <c r="AI165" s="54"/>
    </row>
    <row r="166" spans="18:35" x14ac:dyDescent="0.3">
      <c r="R166" s="54"/>
      <c r="S166" s="54"/>
      <c r="T166" s="54"/>
      <c r="W166" s="54"/>
      <c r="X166" s="54"/>
      <c r="Y166" s="54"/>
      <c r="AB166" s="54"/>
      <c r="AC166" s="54"/>
      <c r="AD166" s="54"/>
      <c r="AG166" s="54"/>
      <c r="AH166" s="54"/>
      <c r="AI166" s="54"/>
    </row>
    <row r="167" spans="18:35" x14ac:dyDescent="0.3">
      <c r="R167" s="54"/>
      <c r="S167" s="54"/>
      <c r="T167" s="54"/>
      <c r="W167" s="54"/>
      <c r="X167" s="54"/>
      <c r="Y167" s="54"/>
      <c r="AB167" s="54"/>
      <c r="AC167" s="54"/>
      <c r="AD167" s="54"/>
      <c r="AG167" s="54"/>
      <c r="AH167" s="54"/>
      <c r="AI167" s="54"/>
    </row>
    <row r="168" spans="18:35" x14ac:dyDescent="0.3">
      <c r="R168" s="54"/>
      <c r="S168" s="54"/>
      <c r="T168" s="54"/>
      <c r="W168" s="54"/>
      <c r="X168" s="54"/>
      <c r="Y168" s="54"/>
      <c r="AB168" s="54"/>
      <c r="AC168" s="54"/>
      <c r="AD168" s="54"/>
      <c r="AG168" s="54"/>
      <c r="AH168" s="54"/>
      <c r="AI168" s="54"/>
    </row>
    <row r="169" spans="18:35" x14ac:dyDescent="0.3">
      <c r="R169" s="54"/>
      <c r="S169" s="54"/>
      <c r="T169" s="54"/>
      <c r="W169" s="54"/>
      <c r="X169" s="54"/>
      <c r="Y169" s="54"/>
      <c r="AB169" s="54"/>
      <c r="AC169" s="54"/>
      <c r="AD169" s="54"/>
      <c r="AG169" s="54"/>
      <c r="AH169" s="54"/>
      <c r="AI169" s="54"/>
    </row>
    <row r="170" spans="18:35" x14ac:dyDescent="0.3">
      <c r="R170" s="54"/>
      <c r="S170" s="54"/>
      <c r="T170" s="54"/>
      <c r="W170" s="54"/>
      <c r="X170" s="54"/>
      <c r="Y170" s="54"/>
      <c r="AB170" s="54"/>
      <c r="AC170" s="54"/>
      <c r="AD170" s="54"/>
      <c r="AG170" s="54"/>
      <c r="AH170" s="54"/>
      <c r="AI170" s="54"/>
    </row>
    <row r="171" spans="18:35" x14ac:dyDescent="0.3">
      <c r="R171" s="54"/>
      <c r="S171" s="54"/>
      <c r="T171" s="54"/>
      <c r="W171" s="54"/>
      <c r="X171" s="54"/>
      <c r="Y171" s="54"/>
      <c r="AB171" s="54"/>
      <c r="AC171" s="54"/>
      <c r="AD171" s="54"/>
      <c r="AG171" s="54"/>
      <c r="AH171" s="54"/>
      <c r="AI171" s="54"/>
    </row>
    <row r="172" spans="18:35" x14ac:dyDescent="0.3">
      <c r="R172" s="54"/>
      <c r="S172" s="54"/>
      <c r="T172" s="54"/>
      <c r="W172" s="54"/>
      <c r="X172" s="54"/>
      <c r="Y172" s="54"/>
      <c r="AB172" s="54"/>
      <c r="AC172" s="54"/>
      <c r="AD172" s="54"/>
      <c r="AG172" s="54"/>
      <c r="AH172" s="54"/>
      <c r="AI172" s="54"/>
    </row>
    <row r="173" spans="18:35" x14ac:dyDescent="0.3">
      <c r="R173" s="54"/>
      <c r="S173" s="54"/>
      <c r="T173" s="54"/>
      <c r="W173" s="54"/>
      <c r="X173" s="54"/>
      <c r="Y173" s="54"/>
      <c r="AB173" s="54"/>
      <c r="AC173" s="54"/>
      <c r="AD173" s="54"/>
      <c r="AG173" s="54"/>
      <c r="AH173" s="54"/>
      <c r="AI173" s="54"/>
    </row>
    <row r="174" spans="18:35" x14ac:dyDescent="0.3">
      <c r="R174" s="54"/>
      <c r="S174" s="54"/>
      <c r="T174" s="54"/>
      <c r="W174" s="54"/>
      <c r="X174" s="54"/>
      <c r="Y174" s="54"/>
      <c r="AB174" s="54"/>
      <c r="AC174" s="54"/>
      <c r="AD174" s="54"/>
      <c r="AG174" s="54"/>
      <c r="AH174" s="54"/>
      <c r="AI174" s="54"/>
    </row>
    <row r="175" spans="18:35" x14ac:dyDescent="0.3">
      <c r="R175" s="54"/>
      <c r="S175" s="54"/>
      <c r="T175" s="54"/>
      <c r="W175" s="54"/>
      <c r="X175" s="54"/>
      <c r="Y175" s="54"/>
      <c r="AB175" s="54"/>
      <c r="AC175" s="54"/>
      <c r="AD175" s="54"/>
      <c r="AG175" s="54"/>
      <c r="AH175" s="54"/>
      <c r="AI175" s="54"/>
    </row>
    <row r="176" spans="18:35" x14ac:dyDescent="0.3">
      <c r="R176" s="54"/>
      <c r="S176" s="54"/>
      <c r="T176" s="54"/>
      <c r="W176" s="54"/>
      <c r="X176" s="54"/>
      <c r="Y176" s="54"/>
      <c r="AB176" s="54"/>
      <c r="AC176" s="54"/>
      <c r="AD176" s="54"/>
      <c r="AG176" s="54"/>
      <c r="AH176" s="54"/>
      <c r="AI176" s="54"/>
    </row>
    <row r="177" spans="18:35" x14ac:dyDescent="0.3">
      <c r="R177" s="54"/>
      <c r="S177" s="54"/>
      <c r="T177" s="54"/>
      <c r="W177" s="54"/>
      <c r="X177" s="54"/>
      <c r="Y177" s="54"/>
      <c r="AB177" s="54"/>
      <c r="AC177" s="54"/>
      <c r="AD177" s="54"/>
      <c r="AG177" s="54"/>
      <c r="AH177" s="54"/>
      <c r="AI177" s="54"/>
    </row>
    <row r="178" spans="18:35" x14ac:dyDescent="0.3">
      <c r="R178" s="54"/>
      <c r="S178" s="54"/>
      <c r="T178" s="54"/>
      <c r="W178" s="54"/>
      <c r="X178" s="54"/>
      <c r="Y178" s="54"/>
      <c r="AB178" s="54"/>
      <c r="AC178" s="54"/>
      <c r="AD178" s="54"/>
      <c r="AG178" s="54"/>
      <c r="AH178" s="54"/>
      <c r="AI178" s="54"/>
    </row>
    <row r="179" spans="18:35" x14ac:dyDescent="0.3">
      <c r="R179" s="54"/>
      <c r="S179" s="54"/>
      <c r="T179" s="54"/>
      <c r="W179" s="54"/>
      <c r="X179" s="54"/>
      <c r="Y179" s="54"/>
      <c r="AB179" s="54"/>
      <c r="AC179" s="54"/>
      <c r="AD179" s="54"/>
      <c r="AG179" s="54"/>
      <c r="AH179" s="54"/>
      <c r="AI179" s="54"/>
    </row>
    <row r="180" spans="18:35" x14ac:dyDescent="0.3">
      <c r="R180" s="54"/>
      <c r="S180" s="54"/>
      <c r="T180" s="54"/>
      <c r="W180" s="54"/>
      <c r="X180" s="54"/>
      <c r="Y180" s="54"/>
      <c r="AB180" s="54"/>
      <c r="AC180" s="54"/>
      <c r="AD180" s="54"/>
      <c r="AG180" s="54"/>
      <c r="AH180" s="54"/>
      <c r="AI180" s="54"/>
    </row>
    <row r="181" spans="18:35" x14ac:dyDescent="0.3">
      <c r="R181" s="54"/>
      <c r="S181" s="54"/>
      <c r="T181" s="54"/>
      <c r="W181" s="54"/>
      <c r="X181" s="54"/>
      <c r="Y181" s="54"/>
      <c r="AB181" s="54"/>
      <c r="AC181" s="54"/>
      <c r="AD181" s="54"/>
      <c r="AG181" s="54"/>
      <c r="AH181" s="54"/>
      <c r="AI181" s="54"/>
    </row>
    <row r="182" spans="18:35" x14ac:dyDescent="0.3">
      <c r="R182" s="54"/>
      <c r="S182" s="54"/>
      <c r="T182" s="54"/>
      <c r="W182" s="54"/>
      <c r="X182" s="54"/>
      <c r="Y182" s="54"/>
      <c r="AB182" s="54"/>
      <c r="AC182" s="54"/>
      <c r="AD182" s="54"/>
      <c r="AG182" s="54"/>
      <c r="AH182" s="54"/>
      <c r="AI182" s="54"/>
    </row>
    <row r="183" spans="18:35" x14ac:dyDescent="0.3">
      <c r="R183" s="54"/>
      <c r="S183" s="54"/>
      <c r="T183" s="54"/>
      <c r="W183" s="54"/>
      <c r="X183" s="54"/>
      <c r="Y183" s="54"/>
      <c r="AB183" s="54"/>
      <c r="AC183" s="54"/>
      <c r="AD183" s="54"/>
      <c r="AG183" s="54"/>
      <c r="AH183" s="54"/>
      <c r="AI183" s="54"/>
    </row>
    <row r="184" spans="18:35" x14ac:dyDescent="0.3">
      <c r="R184" s="54"/>
      <c r="S184" s="54"/>
      <c r="T184" s="54"/>
      <c r="W184" s="54"/>
      <c r="X184" s="54"/>
      <c r="Y184" s="54"/>
      <c r="AB184" s="54"/>
      <c r="AC184" s="54"/>
      <c r="AD184" s="54"/>
      <c r="AG184" s="54"/>
      <c r="AH184" s="54"/>
      <c r="AI184" s="54"/>
    </row>
    <row r="185" spans="18:35" x14ac:dyDescent="0.3">
      <c r="R185" s="54"/>
      <c r="S185" s="54"/>
      <c r="T185" s="54"/>
      <c r="W185" s="54"/>
      <c r="X185" s="54"/>
      <c r="Y185" s="54"/>
      <c r="AB185" s="54"/>
      <c r="AC185" s="54"/>
      <c r="AD185" s="54"/>
      <c r="AG185" s="54"/>
      <c r="AH185" s="54"/>
      <c r="AI185" s="54"/>
    </row>
    <row r="186" spans="18:35" x14ac:dyDescent="0.3">
      <c r="R186" s="54"/>
      <c r="S186" s="54"/>
      <c r="T186" s="54"/>
      <c r="W186" s="54"/>
      <c r="X186" s="54"/>
      <c r="Y186" s="54"/>
      <c r="AB186" s="54"/>
      <c r="AC186" s="54"/>
      <c r="AD186" s="54"/>
      <c r="AG186" s="54"/>
      <c r="AH186" s="54"/>
      <c r="AI186" s="54"/>
    </row>
    <row r="187" spans="18:35" x14ac:dyDescent="0.3">
      <c r="R187" s="54"/>
      <c r="S187" s="54"/>
      <c r="T187" s="54"/>
      <c r="W187" s="54"/>
      <c r="X187" s="54"/>
      <c r="Y187" s="54"/>
      <c r="AB187" s="54"/>
      <c r="AC187" s="54"/>
      <c r="AD187" s="54"/>
      <c r="AG187" s="54"/>
      <c r="AH187" s="54"/>
      <c r="AI187" s="54"/>
    </row>
    <row r="188" spans="18:35" x14ac:dyDescent="0.3">
      <c r="R188" s="54"/>
      <c r="S188" s="54"/>
      <c r="T188" s="54"/>
      <c r="W188" s="54"/>
      <c r="X188" s="54"/>
      <c r="Y188" s="54"/>
      <c r="AB188" s="54"/>
      <c r="AC188" s="54"/>
      <c r="AD188" s="54"/>
      <c r="AG188" s="54"/>
      <c r="AH188" s="54"/>
      <c r="AI188" s="54"/>
    </row>
    <row r="189" spans="18:35" x14ac:dyDescent="0.3">
      <c r="R189" s="54"/>
      <c r="S189" s="54"/>
      <c r="T189" s="54"/>
      <c r="W189" s="54"/>
      <c r="X189" s="54"/>
      <c r="Y189" s="54"/>
      <c r="AB189" s="54"/>
      <c r="AC189" s="54"/>
      <c r="AD189" s="54"/>
      <c r="AG189" s="54"/>
      <c r="AH189" s="54"/>
      <c r="AI189" s="54"/>
    </row>
    <row r="190" spans="18:35" x14ac:dyDescent="0.3">
      <c r="R190" s="54"/>
      <c r="S190" s="54"/>
      <c r="T190" s="54"/>
      <c r="W190" s="54"/>
      <c r="X190" s="54"/>
      <c r="Y190" s="54"/>
      <c r="AB190" s="54"/>
      <c r="AC190" s="54"/>
      <c r="AD190" s="54"/>
      <c r="AG190" s="54"/>
      <c r="AH190" s="54"/>
      <c r="AI190" s="54"/>
    </row>
    <row r="191" spans="18:35" x14ac:dyDescent="0.3">
      <c r="R191" s="54"/>
      <c r="S191" s="54"/>
      <c r="T191" s="54"/>
      <c r="W191" s="54"/>
      <c r="X191" s="54"/>
      <c r="Y191" s="54"/>
      <c r="AB191" s="54"/>
      <c r="AC191" s="54"/>
      <c r="AD191" s="54"/>
      <c r="AG191" s="54"/>
      <c r="AH191" s="54"/>
      <c r="AI191" s="54"/>
    </row>
    <row r="192" spans="18:35" x14ac:dyDescent="0.3">
      <c r="R192" s="54"/>
      <c r="S192" s="54"/>
      <c r="T192" s="54"/>
      <c r="W192" s="54"/>
      <c r="X192" s="54"/>
      <c r="Y192" s="54"/>
      <c r="AB192" s="54"/>
      <c r="AC192" s="54"/>
      <c r="AD192" s="54"/>
      <c r="AG192" s="54"/>
      <c r="AH192" s="54"/>
      <c r="AI192" s="54"/>
    </row>
    <row r="193" spans="18:35" x14ac:dyDescent="0.3">
      <c r="R193" s="54"/>
      <c r="S193" s="54"/>
      <c r="T193" s="54"/>
      <c r="W193" s="54"/>
      <c r="X193" s="54"/>
      <c r="Y193" s="54"/>
      <c r="AB193" s="54"/>
      <c r="AC193" s="54"/>
      <c r="AD193" s="54"/>
      <c r="AG193" s="54"/>
      <c r="AH193" s="54"/>
      <c r="AI193" s="54"/>
    </row>
    <row r="194" spans="18:35" x14ac:dyDescent="0.3">
      <c r="R194" s="54"/>
      <c r="S194" s="54"/>
      <c r="T194" s="54"/>
      <c r="W194" s="54"/>
      <c r="X194" s="54"/>
      <c r="Y194" s="54"/>
      <c r="AB194" s="54"/>
      <c r="AC194" s="54"/>
      <c r="AD194" s="54"/>
      <c r="AG194" s="54"/>
      <c r="AH194" s="54"/>
      <c r="AI194" s="54"/>
    </row>
    <row r="195" spans="18:35" x14ac:dyDescent="0.3">
      <c r="R195" s="54"/>
      <c r="S195" s="54"/>
      <c r="T195" s="54"/>
      <c r="W195" s="54"/>
      <c r="X195" s="54"/>
      <c r="Y195" s="54"/>
      <c r="AB195" s="54"/>
      <c r="AC195" s="54"/>
      <c r="AD195" s="54"/>
      <c r="AG195" s="54"/>
      <c r="AH195" s="54"/>
      <c r="AI195" s="54"/>
    </row>
    <row r="196" spans="18:35" x14ac:dyDescent="0.3">
      <c r="R196" s="54"/>
      <c r="S196" s="54"/>
      <c r="T196" s="54"/>
      <c r="W196" s="54"/>
      <c r="X196" s="54"/>
      <c r="Y196" s="54"/>
      <c r="AB196" s="54"/>
      <c r="AC196" s="54"/>
      <c r="AD196" s="54"/>
      <c r="AG196" s="54"/>
      <c r="AH196" s="54"/>
      <c r="AI196" s="54"/>
    </row>
    <row r="197" spans="18:35" x14ac:dyDescent="0.3">
      <c r="R197" s="54"/>
      <c r="S197" s="54"/>
      <c r="T197" s="54"/>
      <c r="W197" s="54"/>
      <c r="X197" s="54"/>
      <c r="Y197" s="54"/>
      <c r="AB197" s="54"/>
      <c r="AC197" s="54"/>
      <c r="AD197" s="54"/>
      <c r="AG197" s="54"/>
      <c r="AH197" s="54"/>
      <c r="AI197" s="54"/>
    </row>
    <row r="198" spans="18:35" x14ac:dyDescent="0.3">
      <c r="R198" s="54"/>
      <c r="S198" s="54"/>
      <c r="T198" s="54"/>
      <c r="W198" s="54"/>
      <c r="X198" s="54"/>
      <c r="Y198" s="54"/>
      <c r="AB198" s="54"/>
      <c r="AC198" s="54"/>
      <c r="AD198" s="54"/>
      <c r="AG198" s="54"/>
      <c r="AH198" s="54"/>
      <c r="AI198" s="54"/>
    </row>
    <row r="199" spans="18:35" x14ac:dyDescent="0.3">
      <c r="R199" s="54"/>
      <c r="S199" s="54"/>
      <c r="T199" s="54"/>
      <c r="W199" s="54"/>
      <c r="X199" s="54"/>
      <c r="Y199" s="54"/>
      <c r="AB199" s="54"/>
      <c r="AC199" s="54"/>
      <c r="AD199" s="54"/>
      <c r="AG199" s="54"/>
      <c r="AH199" s="54"/>
      <c r="AI199" s="54"/>
    </row>
    <row r="200" spans="18:35" x14ac:dyDescent="0.3">
      <c r="R200" s="54"/>
      <c r="S200" s="54"/>
      <c r="T200" s="54"/>
      <c r="W200" s="54"/>
      <c r="X200" s="54"/>
      <c r="Y200" s="54"/>
      <c r="AB200" s="54"/>
      <c r="AC200" s="54"/>
      <c r="AD200" s="54"/>
      <c r="AG200" s="54"/>
      <c r="AH200" s="54"/>
      <c r="AI200" s="54"/>
    </row>
    <row r="201" spans="18:35" x14ac:dyDescent="0.3">
      <c r="R201" s="54"/>
      <c r="S201" s="54"/>
      <c r="T201" s="54"/>
      <c r="W201" s="54"/>
      <c r="X201" s="54"/>
      <c r="Y201" s="54"/>
      <c r="AB201" s="54"/>
      <c r="AC201" s="54"/>
      <c r="AD201" s="54"/>
      <c r="AG201" s="54"/>
      <c r="AH201" s="54"/>
      <c r="AI201" s="54"/>
    </row>
    <row r="202" spans="18:35" x14ac:dyDescent="0.3">
      <c r="R202" s="54"/>
      <c r="S202" s="54"/>
      <c r="T202" s="54"/>
      <c r="W202" s="54"/>
      <c r="X202" s="54"/>
      <c r="Y202" s="54"/>
      <c r="AB202" s="54"/>
      <c r="AC202" s="54"/>
      <c r="AD202" s="54"/>
      <c r="AG202" s="54"/>
      <c r="AH202" s="54"/>
      <c r="AI202" s="54"/>
    </row>
    <row r="203" spans="18:35" x14ac:dyDescent="0.3">
      <c r="R203" s="54"/>
      <c r="S203" s="54"/>
      <c r="T203" s="54"/>
      <c r="W203" s="54"/>
      <c r="X203" s="54"/>
      <c r="Y203" s="54"/>
      <c r="AB203" s="54"/>
      <c r="AC203" s="54"/>
      <c r="AD203" s="54"/>
      <c r="AG203" s="54"/>
      <c r="AH203" s="54"/>
      <c r="AI203" s="54"/>
    </row>
    <row r="204" spans="18:35" x14ac:dyDescent="0.3">
      <c r="R204" s="54"/>
      <c r="S204" s="54"/>
      <c r="T204" s="54"/>
      <c r="W204" s="54"/>
      <c r="X204" s="54"/>
      <c r="Y204" s="54"/>
      <c r="AB204" s="54"/>
      <c r="AC204" s="54"/>
      <c r="AD204" s="54"/>
      <c r="AG204" s="54"/>
      <c r="AH204" s="54"/>
      <c r="AI204" s="54"/>
    </row>
    <row r="205" spans="18:35" x14ac:dyDescent="0.3">
      <c r="R205" s="54"/>
      <c r="S205" s="54"/>
      <c r="T205" s="54"/>
      <c r="W205" s="54"/>
      <c r="X205" s="54"/>
      <c r="Y205" s="54"/>
      <c r="AB205" s="54"/>
      <c r="AC205" s="54"/>
      <c r="AD205" s="54"/>
      <c r="AG205" s="54"/>
      <c r="AH205" s="54"/>
      <c r="AI205" s="54"/>
    </row>
    <row r="206" spans="18:35" x14ac:dyDescent="0.3">
      <c r="R206" s="54"/>
      <c r="S206" s="54"/>
      <c r="T206" s="54"/>
      <c r="W206" s="54"/>
      <c r="X206" s="54"/>
      <c r="Y206" s="54"/>
      <c r="AB206" s="54"/>
      <c r="AC206" s="54"/>
      <c r="AD206" s="54"/>
      <c r="AG206" s="54"/>
      <c r="AH206" s="54"/>
      <c r="AI206" s="54"/>
    </row>
    <row r="207" spans="18:35" x14ac:dyDescent="0.3">
      <c r="R207" s="54"/>
      <c r="S207" s="54"/>
      <c r="T207" s="54"/>
      <c r="W207" s="54"/>
      <c r="X207" s="54"/>
      <c r="Y207" s="54"/>
      <c r="AB207" s="54"/>
      <c r="AC207" s="54"/>
      <c r="AD207" s="54"/>
      <c r="AG207" s="54"/>
      <c r="AH207" s="54"/>
      <c r="AI207" s="54"/>
    </row>
    <row r="208" spans="18:35" x14ac:dyDescent="0.3">
      <c r="R208" s="54"/>
      <c r="S208" s="54"/>
      <c r="T208" s="54"/>
      <c r="W208" s="54"/>
      <c r="X208" s="54"/>
      <c r="Y208" s="54"/>
      <c r="AB208" s="54"/>
      <c r="AC208" s="54"/>
      <c r="AD208" s="54"/>
      <c r="AG208" s="54"/>
      <c r="AH208" s="54"/>
      <c r="AI208" s="54"/>
    </row>
    <row r="209" spans="18:35" x14ac:dyDescent="0.3">
      <c r="R209" s="54"/>
      <c r="S209" s="54"/>
      <c r="T209" s="54"/>
      <c r="W209" s="54"/>
      <c r="X209" s="54"/>
      <c r="Y209" s="54"/>
      <c r="AB209" s="54"/>
      <c r="AC209" s="54"/>
      <c r="AD209" s="54"/>
      <c r="AG209" s="54"/>
      <c r="AH209" s="54"/>
      <c r="AI209" s="54"/>
    </row>
    <row r="210" spans="18:35" x14ac:dyDescent="0.3">
      <c r="R210" s="54"/>
      <c r="S210" s="54"/>
      <c r="T210" s="54"/>
      <c r="W210" s="54"/>
      <c r="X210" s="54"/>
      <c r="Y210" s="54"/>
      <c r="AB210" s="54"/>
      <c r="AC210" s="54"/>
      <c r="AD210" s="54"/>
      <c r="AG210" s="54"/>
      <c r="AH210" s="54"/>
      <c r="AI210" s="54"/>
    </row>
    <row r="211" spans="18:35" x14ac:dyDescent="0.3">
      <c r="R211" s="54"/>
      <c r="S211" s="54"/>
      <c r="T211" s="54"/>
      <c r="W211" s="54"/>
      <c r="X211" s="54"/>
      <c r="Y211" s="54"/>
      <c r="AB211" s="54"/>
      <c r="AC211" s="54"/>
      <c r="AD211" s="54"/>
      <c r="AG211" s="54"/>
      <c r="AH211" s="54"/>
      <c r="AI211" s="54"/>
    </row>
    <row r="212" spans="18:35" x14ac:dyDescent="0.3">
      <c r="R212" s="54"/>
      <c r="S212" s="54"/>
      <c r="T212" s="54"/>
      <c r="W212" s="54"/>
      <c r="X212" s="54"/>
      <c r="Y212" s="54"/>
      <c r="AB212" s="54"/>
      <c r="AC212" s="54"/>
      <c r="AD212" s="54"/>
      <c r="AG212" s="54"/>
      <c r="AH212" s="54"/>
      <c r="AI212" s="54"/>
    </row>
    <row r="213" spans="18:35" x14ac:dyDescent="0.3">
      <c r="R213" s="54"/>
      <c r="S213" s="54"/>
      <c r="T213" s="54"/>
      <c r="W213" s="54"/>
      <c r="X213" s="54"/>
      <c r="Y213" s="54"/>
      <c r="AB213" s="54"/>
      <c r="AC213" s="54"/>
      <c r="AD213" s="54"/>
      <c r="AG213" s="54"/>
      <c r="AH213" s="54"/>
      <c r="AI213" s="54"/>
    </row>
    <row r="214" spans="18:35" x14ac:dyDescent="0.3">
      <c r="R214" s="54"/>
      <c r="S214" s="54"/>
      <c r="T214" s="54"/>
      <c r="W214" s="54"/>
      <c r="X214" s="54"/>
      <c r="Y214" s="54"/>
      <c r="AB214" s="54"/>
      <c r="AC214" s="54"/>
      <c r="AD214" s="54"/>
      <c r="AG214" s="54"/>
      <c r="AH214" s="54"/>
      <c r="AI214" s="54"/>
    </row>
    <row r="215" spans="18:35" x14ac:dyDescent="0.3">
      <c r="R215" s="54"/>
      <c r="S215" s="54"/>
      <c r="T215" s="54"/>
      <c r="W215" s="54"/>
      <c r="X215" s="54"/>
      <c r="Y215" s="54"/>
      <c r="AB215" s="54"/>
      <c r="AC215" s="54"/>
      <c r="AD215" s="54"/>
      <c r="AG215" s="54"/>
      <c r="AH215" s="54"/>
      <c r="AI215" s="54"/>
    </row>
    <row r="216" spans="18:35" x14ac:dyDescent="0.3">
      <c r="R216" s="54"/>
      <c r="S216" s="54"/>
      <c r="T216" s="54"/>
      <c r="W216" s="54"/>
      <c r="X216" s="54"/>
      <c r="Y216" s="54"/>
      <c r="AB216" s="54"/>
      <c r="AC216" s="54"/>
      <c r="AD216" s="54"/>
      <c r="AG216" s="54"/>
      <c r="AH216" s="54"/>
      <c r="AI216" s="54"/>
    </row>
    <row r="217" spans="18:35" x14ac:dyDescent="0.3">
      <c r="R217" s="54"/>
      <c r="S217" s="54"/>
      <c r="T217" s="54"/>
      <c r="W217" s="54"/>
      <c r="X217" s="54"/>
      <c r="Y217" s="54"/>
      <c r="AB217" s="54"/>
      <c r="AC217" s="54"/>
      <c r="AD217" s="54"/>
      <c r="AG217" s="54"/>
      <c r="AH217" s="54"/>
      <c r="AI217" s="54"/>
    </row>
    <row r="218" spans="18:35" x14ac:dyDescent="0.3">
      <c r="R218" s="54"/>
      <c r="S218" s="54"/>
      <c r="T218" s="54"/>
      <c r="W218" s="54"/>
      <c r="X218" s="54"/>
      <c r="Y218" s="54"/>
      <c r="AB218" s="54"/>
      <c r="AC218" s="54"/>
      <c r="AD218" s="54"/>
      <c r="AG218" s="54"/>
      <c r="AH218" s="54"/>
      <c r="AI218" s="54"/>
    </row>
    <row r="219" spans="18:35" x14ac:dyDescent="0.3">
      <c r="R219" s="54"/>
      <c r="S219" s="54"/>
      <c r="T219" s="54"/>
      <c r="W219" s="54"/>
      <c r="X219" s="54"/>
      <c r="Y219" s="54"/>
      <c r="AB219" s="54"/>
      <c r="AC219" s="54"/>
      <c r="AD219" s="54"/>
      <c r="AG219" s="54"/>
      <c r="AH219" s="54"/>
      <c r="AI219" s="54"/>
    </row>
    <row r="220" spans="18:35" x14ac:dyDescent="0.3">
      <c r="R220" s="54"/>
      <c r="S220" s="54"/>
      <c r="T220" s="54"/>
      <c r="W220" s="54"/>
      <c r="X220" s="54"/>
      <c r="Y220" s="54"/>
      <c r="AB220" s="54"/>
      <c r="AC220" s="54"/>
      <c r="AD220" s="54"/>
      <c r="AG220" s="54"/>
      <c r="AH220" s="54"/>
      <c r="AI220" s="54"/>
    </row>
    <row r="221" spans="18:35" x14ac:dyDescent="0.3">
      <c r="R221" s="54"/>
      <c r="S221" s="54"/>
      <c r="T221" s="54"/>
      <c r="W221" s="54"/>
      <c r="X221" s="54"/>
      <c r="Y221" s="54"/>
      <c r="AB221" s="54"/>
      <c r="AC221" s="54"/>
      <c r="AD221" s="54"/>
      <c r="AG221" s="54"/>
      <c r="AH221" s="54"/>
      <c r="AI221" s="54"/>
    </row>
    <row r="222" spans="18:35" x14ac:dyDescent="0.3">
      <c r="R222" s="54"/>
      <c r="S222" s="54"/>
      <c r="T222" s="54"/>
      <c r="W222" s="54"/>
      <c r="X222" s="54"/>
      <c r="Y222" s="54"/>
      <c r="AB222" s="54"/>
      <c r="AC222" s="54"/>
      <c r="AD222" s="54"/>
      <c r="AG222" s="54"/>
      <c r="AH222" s="54"/>
      <c r="AI222" s="54"/>
    </row>
    <row r="223" spans="18:35" x14ac:dyDescent="0.3">
      <c r="R223" s="54"/>
      <c r="S223" s="54"/>
      <c r="T223" s="54"/>
      <c r="W223" s="54"/>
      <c r="X223" s="54"/>
      <c r="Y223" s="54"/>
      <c r="AB223" s="54"/>
      <c r="AC223" s="54"/>
      <c r="AD223" s="54"/>
      <c r="AG223" s="54"/>
      <c r="AH223" s="54"/>
      <c r="AI223" s="54"/>
    </row>
    <row r="224" spans="18:35" x14ac:dyDescent="0.3">
      <c r="R224" s="54"/>
      <c r="S224" s="54"/>
      <c r="T224" s="54"/>
      <c r="W224" s="54"/>
      <c r="X224" s="54"/>
      <c r="Y224" s="54"/>
      <c r="AB224" s="54"/>
      <c r="AC224" s="54"/>
      <c r="AD224" s="54"/>
      <c r="AG224" s="54"/>
      <c r="AH224" s="54"/>
      <c r="AI224" s="54"/>
    </row>
    <row r="225" spans="18:35" x14ac:dyDescent="0.3">
      <c r="R225" s="54"/>
      <c r="S225" s="54"/>
      <c r="T225" s="54"/>
      <c r="W225" s="54"/>
      <c r="X225" s="54"/>
      <c r="Y225" s="54"/>
      <c r="AB225" s="54"/>
      <c r="AC225" s="54"/>
      <c r="AD225" s="54"/>
      <c r="AG225" s="54"/>
      <c r="AH225" s="54"/>
      <c r="AI225" s="54"/>
    </row>
    <row r="226" spans="18:35" x14ac:dyDescent="0.3">
      <c r="R226" s="54"/>
      <c r="S226" s="54"/>
      <c r="T226" s="54"/>
      <c r="W226" s="54"/>
      <c r="X226" s="54"/>
      <c r="Y226" s="54"/>
      <c r="AB226" s="54"/>
      <c r="AC226" s="54"/>
      <c r="AD226" s="54"/>
      <c r="AG226" s="54"/>
      <c r="AH226" s="54"/>
      <c r="AI226" s="54"/>
    </row>
    <row r="227" spans="18:35" x14ac:dyDescent="0.3">
      <c r="R227" s="54"/>
      <c r="S227" s="54"/>
      <c r="T227" s="54"/>
      <c r="W227" s="54"/>
      <c r="X227" s="54"/>
      <c r="Y227" s="54"/>
      <c r="AB227" s="54"/>
      <c r="AC227" s="54"/>
      <c r="AD227" s="54"/>
      <c r="AG227" s="54"/>
      <c r="AH227" s="54"/>
      <c r="AI227" s="54"/>
    </row>
    <row r="228" spans="18:35" x14ac:dyDescent="0.3">
      <c r="R228" s="54"/>
      <c r="S228" s="54"/>
      <c r="T228" s="54"/>
      <c r="W228" s="54"/>
      <c r="X228" s="54"/>
      <c r="Y228" s="54"/>
      <c r="AB228" s="54"/>
      <c r="AC228" s="54"/>
      <c r="AD228" s="54"/>
      <c r="AG228" s="54"/>
      <c r="AH228" s="54"/>
      <c r="AI228" s="54"/>
    </row>
    <row r="229" spans="18:35" x14ac:dyDescent="0.3">
      <c r="R229" s="54"/>
      <c r="S229" s="54"/>
      <c r="T229" s="54"/>
      <c r="W229" s="54"/>
      <c r="X229" s="54"/>
      <c r="Y229" s="54"/>
      <c r="AB229" s="54"/>
      <c r="AC229" s="54"/>
      <c r="AD229" s="54"/>
      <c r="AG229" s="54"/>
      <c r="AH229" s="54"/>
      <c r="AI229" s="54"/>
    </row>
    <row r="230" spans="18:35" x14ac:dyDescent="0.3">
      <c r="R230" s="54"/>
      <c r="S230" s="54"/>
      <c r="T230" s="54"/>
      <c r="W230" s="54"/>
      <c r="X230" s="54"/>
      <c r="Y230" s="54"/>
      <c r="AB230" s="54"/>
      <c r="AC230" s="54"/>
      <c r="AD230" s="54"/>
      <c r="AG230" s="54"/>
      <c r="AH230" s="54"/>
      <c r="AI230" s="54"/>
    </row>
    <row r="231" spans="18:35" x14ac:dyDescent="0.3">
      <c r="R231" s="54"/>
      <c r="S231" s="54"/>
      <c r="T231" s="54"/>
      <c r="W231" s="54"/>
      <c r="X231" s="54"/>
      <c r="Y231" s="54"/>
      <c r="AB231" s="54"/>
      <c r="AC231" s="54"/>
      <c r="AD231" s="54"/>
      <c r="AG231" s="54"/>
      <c r="AH231" s="54"/>
      <c r="AI231" s="54"/>
    </row>
    <row r="232" spans="18:35" x14ac:dyDescent="0.3">
      <c r="R232" s="54"/>
      <c r="S232" s="54"/>
      <c r="T232" s="54"/>
      <c r="W232" s="54"/>
      <c r="X232" s="54"/>
      <c r="Y232" s="54"/>
      <c r="AB232" s="54"/>
      <c r="AC232" s="54"/>
      <c r="AD232" s="54"/>
      <c r="AG232" s="54"/>
      <c r="AH232" s="54"/>
      <c r="AI232" s="54"/>
    </row>
    <row r="233" spans="18:35" x14ac:dyDescent="0.3">
      <c r="R233" s="54"/>
      <c r="S233" s="54"/>
      <c r="T233" s="54"/>
      <c r="W233" s="54"/>
      <c r="X233" s="54"/>
      <c r="Y233" s="54"/>
      <c r="AB233" s="54"/>
      <c r="AC233" s="54"/>
      <c r="AD233" s="54"/>
      <c r="AG233" s="54"/>
      <c r="AH233" s="54"/>
      <c r="AI233" s="54"/>
    </row>
    <row r="234" spans="18:35" x14ac:dyDescent="0.3">
      <c r="R234" s="54"/>
      <c r="S234" s="54"/>
      <c r="T234" s="54"/>
      <c r="W234" s="54"/>
      <c r="X234" s="54"/>
      <c r="Y234" s="54"/>
      <c r="AB234" s="54"/>
      <c r="AC234" s="54"/>
      <c r="AD234" s="54"/>
      <c r="AG234" s="54"/>
      <c r="AH234" s="54"/>
      <c r="AI234" s="54"/>
    </row>
    <row r="235" spans="18:35" x14ac:dyDescent="0.3">
      <c r="R235" s="54"/>
      <c r="S235" s="54"/>
      <c r="T235" s="54"/>
      <c r="W235" s="54"/>
      <c r="X235" s="54"/>
      <c r="Y235" s="54"/>
      <c r="AB235" s="54"/>
      <c r="AC235" s="54"/>
      <c r="AD235" s="54"/>
      <c r="AG235" s="54"/>
      <c r="AH235" s="54"/>
      <c r="AI235" s="54"/>
    </row>
    <row r="236" spans="18:35" x14ac:dyDescent="0.3">
      <c r="R236" s="54"/>
      <c r="S236" s="54"/>
      <c r="T236" s="54"/>
      <c r="W236" s="54"/>
      <c r="X236" s="54"/>
      <c r="Y236" s="54"/>
      <c r="AB236" s="54"/>
      <c r="AC236" s="54"/>
      <c r="AD236" s="54"/>
      <c r="AG236" s="54"/>
      <c r="AH236" s="54"/>
      <c r="AI236" s="54"/>
    </row>
    <row r="237" spans="18:35" x14ac:dyDescent="0.3">
      <c r="R237" s="54"/>
      <c r="S237" s="54"/>
      <c r="T237" s="54"/>
      <c r="W237" s="54"/>
      <c r="X237" s="54"/>
      <c r="Y237" s="54"/>
      <c r="AB237" s="54"/>
      <c r="AC237" s="54"/>
      <c r="AD237" s="54"/>
      <c r="AG237" s="54"/>
      <c r="AH237" s="54"/>
      <c r="AI237" s="54"/>
    </row>
    <row r="238" spans="18:35" x14ac:dyDescent="0.3">
      <c r="R238" s="54"/>
      <c r="S238" s="54"/>
      <c r="T238" s="54"/>
      <c r="W238" s="54"/>
      <c r="X238" s="54"/>
      <c r="Y238" s="54"/>
      <c r="AB238" s="54"/>
      <c r="AC238" s="54"/>
      <c r="AD238" s="54"/>
      <c r="AG238" s="54"/>
      <c r="AH238" s="54"/>
      <c r="AI238" s="54"/>
    </row>
    <row r="239" spans="18:35" x14ac:dyDescent="0.3">
      <c r="R239" s="54"/>
      <c r="S239" s="54"/>
      <c r="T239" s="54"/>
      <c r="W239" s="54"/>
      <c r="X239" s="54"/>
      <c r="Y239" s="54"/>
      <c r="AB239" s="54"/>
      <c r="AC239" s="54"/>
      <c r="AD239" s="54"/>
      <c r="AG239" s="54"/>
      <c r="AH239" s="54"/>
      <c r="AI239" s="54"/>
    </row>
    <row r="240" spans="18:35" x14ac:dyDescent="0.3">
      <c r="R240" s="54"/>
      <c r="S240" s="54"/>
      <c r="T240" s="54"/>
      <c r="W240" s="54"/>
      <c r="X240" s="54"/>
      <c r="Y240" s="54"/>
      <c r="AB240" s="54"/>
      <c r="AC240" s="54"/>
      <c r="AD240" s="54"/>
      <c r="AG240" s="54"/>
      <c r="AH240" s="54"/>
      <c r="AI240" s="54"/>
    </row>
    <row r="241" spans="18:35" x14ac:dyDescent="0.3">
      <c r="R241" s="54"/>
      <c r="S241" s="54"/>
      <c r="T241" s="54"/>
      <c r="W241" s="54"/>
      <c r="X241" s="54"/>
      <c r="Y241" s="54"/>
      <c r="AB241" s="54"/>
      <c r="AC241" s="54"/>
      <c r="AD241" s="54"/>
      <c r="AG241" s="54"/>
      <c r="AH241" s="54"/>
      <c r="AI241" s="54"/>
    </row>
    <row r="242" spans="18:35" x14ac:dyDescent="0.3">
      <c r="R242" s="54"/>
      <c r="S242" s="54"/>
      <c r="T242" s="54"/>
      <c r="W242" s="54"/>
      <c r="X242" s="54"/>
      <c r="Y242" s="54"/>
      <c r="AB242" s="54"/>
      <c r="AC242" s="54"/>
      <c r="AD242" s="54"/>
      <c r="AG242" s="54"/>
      <c r="AH242" s="54"/>
      <c r="AI242" s="54"/>
    </row>
    <row r="243" spans="18:35" x14ac:dyDescent="0.3">
      <c r="R243" s="54"/>
      <c r="S243" s="54"/>
      <c r="T243" s="54"/>
      <c r="W243" s="54"/>
      <c r="X243" s="54"/>
      <c r="Y243" s="54"/>
      <c r="AB243" s="54"/>
      <c r="AC243" s="54"/>
      <c r="AD243" s="54"/>
      <c r="AG243" s="54"/>
      <c r="AH243" s="54"/>
      <c r="AI243" s="54"/>
    </row>
    <row r="244" spans="18:35" x14ac:dyDescent="0.3">
      <c r="R244" s="54"/>
      <c r="S244" s="54"/>
      <c r="T244" s="54"/>
      <c r="W244" s="54"/>
      <c r="X244" s="54"/>
      <c r="Y244" s="54"/>
      <c r="AB244" s="54"/>
      <c r="AC244" s="54"/>
      <c r="AD244" s="54"/>
      <c r="AG244" s="54"/>
      <c r="AH244" s="54"/>
      <c r="AI244" s="54"/>
    </row>
    <row r="245" spans="18:35" x14ac:dyDescent="0.3">
      <c r="R245" s="54"/>
      <c r="S245" s="54"/>
      <c r="T245" s="54"/>
      <c r="W245" s="54"/>
      <c r="X245" s="54"/>
      <c r="Y245" s="54"/>
      <c r="AB245" s="54"/>
      <c r="AC245" s="54"/>
      <c r="AD245" s="54"/>
      <c r="AG245" s="54"/>
      <c r="AH245" s="54"/>
      <c r="AI245" s="54"/>
    </row>
    <row r="246" spans="18:35" x14ac:dyDescent="0.3">
      <c r="R246" s="54"/>
      <c r="S246" s="54"/>
      <c r="T246" s="54"/>
      <c r="W246" s="54"/>
      <c r="X246" s="54"/>
      <c r="Y246" s="54"/>
      <c r="AB246" s="54"/>
      <c r="AC246" s="54"/>
      <c r="AD246" s="54"/>
      <c r="AG246" s="54"/>
      <c r="AH246" s="54"/>
      <c r="AI246" s="54"/>
    </row>
    <row r="247" spans="18:35" x14ac:dyDescent="0.3">
      <c r="R247" s="54"/>
      <c r="S247" s="54"/>
      <c r="T247" s="54"/>
      <c r="W247" s="54"/>
      <c r="X247" s="54"/>
      <c r="Y247" s="54"/>
      <c r="AB247" s="54"/>
      <c r="AC247" s="54"/>
      <c r="AD247" s="54"/>
      <c r="AG247" s="54"/>
      <c r="AH247" s="54"/>
      <c r="AI247" s="54"/>
    </row>
    <row r="248" spans="18:35" x14ac:dyDescent="0.3">
      <c r="R248" s="54"/>
      <c r="S248" s="54"/>
      <c r="T248" s="54"/>
      <c r="W248" s="54"/>
      <c r="X248" s="54"/>
      <c r="Y248" s="54"/>
      <c r="AB248" s="54"/>
      <c r="AC248" s="54"/>
      <c r="AD248" s="54"/>
      <c r="AG248" s="54"/>
      <c r="AH248" s="54"/>
      <c r="AI248" s="54"/>
    </row>
    <row r="249" spans="18:35" x14ac:dyDescent="0.3">
      <c r="R249" s="54"/>
      <c r="S249" s="54"/>
      <c r="T249" s="54"/>
      <c r="W249" s="54"/>
      <c r="X249" s="54"/>
      <c r="Y249" s="54"/>
      <c r="AB249" s="54"/>
      <c r="AC249" s="54"/>
      <c r="AD249" s="54"/>
      <c r="AG249" s="54"/>
      <c r="AH249" s="54"/>
      <c r="AI249" s="54"/>
    </row>
    <row r="250" spans="18:35" x14ac:dyDescent="0.3">
      <c r="R250" s="54"/>
      <c r="S250" s="54"/>
      <c r="T250" s="54"/>
      <c r="W250" s="54"/>
      <c r="X250" s="54"/>
      <c r="Y250" s="54"/>
      <c r="AB250" s="54"/>
      <c r="AC250" s="54"/>
      <c r="AD250" s="54"/>
      <c r="AG250" s="54"/>
      <c r="AH250" s="54"/>
      <c r="AI250" s="54"/>
    </row>
    <row r="251" spans="18:35" x14ac:dyDescent="0.3">
      <c r="R251" s="54"/>
      <c r="S251" s="54"/>
      <c r="T251" s="54"/>
      <c r="W251" s="54"/>
      <c r="X251" s="54"/>
      <c r="Y251" s="54"/>
      <c r="AB251" s="54"/>
      <c r="AC251" s="54"/>
      <c r="AD251" s="54"/>
      <c r="AG251" s="54"/>
      <c r="AH251" s="54"/>
      <c r="AI251" s="54"/>
    </row>
    <row r="252" spans="18:35" x14ac:dyDescent="0.3">
      <c r="R252" s="54"/>
      <c r="S252" s="54"/>
      <c r="T252" s="54"/>
      <c r="W252" s="54"/>
      <c r="X252" s="54"/>
      <c r="Y252" s="54"/>
      <c r="AB252" s="54"/>
      <c r="AC252" s="54"/>
      <c r="AD252" s="54"/>
      <c r="AG252" s="54"/>
      <c r="AH252" s="54"/>
      <c r="AI252" s="54"/>
    </row>
    <row r="253" spans="18:35" x14ac:dyDescent="0.3">
      <c r="R253" s="54"/>
      <c r="S253" s="54"/>
      <c r="T253" s="54"/>
      <c r="W253" s="54"/>
      <c r="X253" s="54"/>
      <c r="Y253" s="54"/>
      <c r="AB253" s="54"/>
      <c r="AC253" s="54"/>
      <c r="AD253" s="54"/>
      <c r="AG253" s="54"/>
      <c r="AH253" s="54"/>
      <c r="AI253" s="54"/>
    </row>
    <row r="254" spans="18:35" x14ac:dyDescent="0.3">
      <c r="R254" s="54"/>
      <c r="S254" s="54"/>
      <c r="T254" s="54"/>
      <c r="W254" s="54"/>
      <c r="X254" s="54"/>
      <c r="Y254" s="54"/>
      <c r="AB254" s="54"/>
      <c r="AC254" s="54"/>
      <c r="AD254" s="54"/>
      <c r="AG254" s="54"/>
      <c r="AH254" s="54"/>
      <c r="AI254" s="54"/>
    </row>
    <row r="255" spans="18:35" x14ac:dyDescent="0.3">
      <c r="R255" s="54"/>
      <c r="S255" s="54"/>
      <c r="T255" s="54"/>
      <c r="W255" s="54"/>
      <c r="X255" s="54"/>
      <c r="Y255" s="54"/>
      <c r="AB255" s="54"/>
      <c r="AC255" s="54"/>
      <c r="AD255" s="54"/>
      <c r="AG255" s="54"/>
      <c r="AH255" s="54"/>
      <c r="AI255" s="54"/>
    </row>
    <row r="256" spans="18:35" x14ac:dyDescent="0.3">
      <c r="R256" s="54"/>
      <c r="S256" s="54"/>
      <c r="T256" s="54"/>
      <c r="W256" s="54"/>
      <c r="X256" s="54"/>
      <c r="Y256" s="54"/>
      <c r="AB256" s="54"/>
      <c r="AC256" s="54"/>
      <c r="AD256" s="54"/>
      <c r="AG256" s="54"/>
      <c r="AH256" s="54"/>
      <c r="AI256" s="54"/>
    </row>
    <row r="257" spans="18:35" x14ac:dyDescent="0.3">
      <c r="R257" s="54"/>
      <c r="S257" s="54"/>
      <c r="T257" s="54"/>
      <c r="W257" s="54"/>
      <c r="X257" s="54"/>
      <c r="Y257" s="54"/>
      <c r="AB257" s="54"/>
      <c r="AC257" s="54"/>
      <c r="AD257" s="54"/>
      <c r="AG257" s="54"/>
      <c r="AH257" s="54"/>
      <c r="AI257" s="54"/>
    </row>
    <row r="258" spans="18:35" x14ac:dyDescent="0.3">
      <c r="R258" s="54"/>
      <c r="S258" s="54"/>
      <c r="T258" s="54"/>
      <c r="W258" s="54"/>
      <c r="X258" s="54"/>
      <c r="Y258" s="54"/>
      <c r="AB258" s="54"/>
      <c r="AC258" s="54"/>
      <c r="AD258" s="54"/>
      <c r="AG258" s="54"/>
      <c r="AH258" s="54"/>
      <c r="AI258" s="54"/>
    </row>
    <row r="259" spans="18:35" x14ac:dyDescent="0.3">
      <c r="R259" s="54"/>
      <c r="S259" s="54"/>
      <c r="T259" s="54"/>
      <c r="W259" s="54"/>
      <c r="X259" s="54"/>
      <c r="Y259" s="54"/>
      <c r="AB259" s="54"/>
      <c r="AC259" s="54"/>
      <c r="AD259" s="54"/>
      <c r="AG259" s="54"/>
      <c r="AH259" s="54"/>
      <c r="AI259" s="54"/>
    </row>
    <row r="260" spans="18:35" x14ac:dyDescent="0.3">
      <c r="R260" s="54"/>
      <c r="S260" s="54"/>
      <c r="T260" s="54"/>
      <c r="W260" s="54"/>
      <c r="X260" s="54"/>
      <c r="Y260" s="54"/>
      <c r="AB260" s="54"/>
      <c r="AC260" s="54"/>
      <c r="AD260" s="54"/>
      <c r="AG260" s="54"/>
      <c r="AH260" s="54"/>
      <c r="AI260" s="54"/>
    </row>
    <row r="261" spans="18:35" x14ac:dyDescent="0.3">
      <c r="R261" s="54"/>
      <c r="S261" s="54"/>
      <c r="T261" s="54"/>
      <c r="W261" s="54"/>
      <c r="X261" s="54"/>
      <c r="Y261" s="54"/>
      <c r="AB261" s="54"/>
      <c r="AC261" s="54"/>
      <c r="AD261" s="54"/>
      <c r="AG261" s="54"/>
      <c r="AH261" s="54"/>
      <c r="AI261" s="54"/>
    </row>
    <row r="262" spans="18:35" x14ac:dyDescent="0.3">
      <c r="R262" s="54"/>
      <c r="S262" s="54"/>
      <c r="T262" s="54"/>
      <c r="W262" s="54"/>
      <c r="X262" s="54"/>
      <c r="Y262" s="54"/>
      <c r="AB262" s="54"/>
      <c r="AC262" s="54"/>
      <c r="AD262" s="54"/>
      <c r="AG262" s="54"/>
      <c r="AH262" s="54"/>
      <c r="AI262" s="54"/>
    </row>
    <row r="263" spans="18:35" x14ac:dyDescent="0.3">
      <c r="R263" s="54"/>
      <c r="S263" s="54"/>
      <c r="T263" s="54"/>
      <c r="W263" s="54"/>
      <c r="X263" s="54"/>
      <c r="Y263" s="54"/>
      <c r="AB263" s="54"/>
      <c r="AC263" s="54"/>
      <c r="AD263" s="54"/>
      <c r="AG263" s="54"/>
      <c r="AH263" s="54"/>
      <c r="AI263" s="54"/>
    </row>
    <row r="264" spans="18:35" x14ac:dyDescent="0.3">
      <c r="R264" s="54"/>
      <c r="S264" s="54"/>
      <c r="T264" s="54"/>
      <c r="W264" s="54"/>
      <c r="X264" s="54"/>
      <c r="Y264" s="54"/>
      <c r="AB264" s="54"/>
      <c r="AC264" s="54"/>
      <c r="AD264" s="54"/>
      <c r="AG264" s="54"/>
      <c r="AH264" s="54"/>
      <c r="AI264" s="54"/>
    </row>
    <row r="265" spans="18:35" x14ac:dyDescent="0.3">
      <c r="R265" s="54"/>
      <c r="S265" s="54"/>
      <c r="T265" s="54"/>
      <c r="W265" s="54"/>
      <c r="X265" s="54"/>
      <c r="Y265" s="54"/>
      <c r="AB265" s="54"/>
      <c r="AC265" s="54"/>
      <c r="AD265" s="54"/>
      <c r="AG265" s="54"/>
      <c r="AH265" s="54"/>
      <c r="AI265" s="54"/>
    </row>
    <row r="266" spans="18:35" x14ac:dyDescent="0.3">
      <c r="R266" s="54"/>
      <c r="S266" s="54"/>
      <c r="T266" s="54"/>
      <c r="W266" s="54"/>
      <c r="X266" s="54"/>
      <c r="Y266" s="54"/>
      <c r="AB266" s="54"/>
      <c r="AC266" s="54"/>
      <c r="AD266" s="54"/>
      <c r="AG266" s="54"/>
      <c r="AH266" s="54"/>
      <c r="AI266" s="54"/>
    </row>
    <row r="267" spans="18:35" x14ac:dyDescent="0.3">
      <c r="R267" s="54"/>
      <c r="S267" s="54"/>
      <c r="T267" s="54"/>
      <c r="W267" s="54"/>
      <c r="X267" s="54"/>
      <c r="Y267" s="54"/>
      <c r="AB267" s="54"/>
      <c r="AC267" s="54"/>
      <c r="AD267" s="54"/>
      <c r="AG267" s="54"/>
      <c r="AH267" s="54"/>
      <c r="AI267" s="54"/>
    </row>
    <row r="268" spans="18:35" x14ac:dyDescent="0.3">
      <c r="R268" s="54"/>
      <c r="S268" s="54"/>
      <c r="T268" s="54"/>
      <c r="W268" s="54"/>
      <c r="X268" s="54"/>
      <c r="Y268" s="54"/>
      <c r="AB268" s="54"/>
      <c r="AC268" s="54"/>
      <c r="AD268" s="54"/>
      <c r="AG268" s="54"/>
      <c r="AH268" s="54"/>
      <c r="AI268" s="54"/>
    </row>
    <row r="269" spans="18:35" x14ac:dyDescent="0.3">
      <c r="R269" s="54"/>
      <c r="S269" s="54"/>
      <c r="T269" s="54"/>
      <c r="W269" s="54"/>
      <c r="X269" s="54"/>
      <c r="Y269" s="54"/>
      <c r="AB269" s="54"/>
      <c r="AC269" s="54"/>
      <c r="AD269" s="54"/>
      <c r="AG269" s="54"/>
      <c r="AH269" s="54"/>
      <c r="AI269" s="54"/>
    </row>
    <row r="270" spans="18:35" x14ac:dyDescent="0.3">
      <c r="R270" s="54"/>
      <c r="S270" s="54"/>
      <c r="T270" s="54"/>
      <c r="W270" s="54"/>
      <c r="X270" s="54"/>
      <c r="Y270" s="54"/>
      <c r="AB270" s="54"/>
      <c r="AC270" s="54"/>
      <c r="AD270" s="54"/>
      <c r="AG270" s="54"/>
      <c r="AH270" s="54"/>
      <c r="AI270" s="54"/>
    </row>
    <row r="271" spans="18:35" x14ac:dyDescent="0.3">
      <c r="R271" s="54"/>
      <c r="S271" s="54"/>
      <c r="T271" s="54"/>
      <c r="W271" s="54"/>
      <c r="X271" s="54"/>
      <c r="Y271" s="54"/>
      <c r="AB271" s="54"/>
      <c r="AC271" s="54"/>
      <c r="AD271" s="54"/>
      <c r="AG271" s="54"/>
      <c r="AH271" s="54"/>
      <c r="AI271" s="54"/>
    </row>
    <row r="272" spans="18:35" x14ac:dyDescent="0.3">
      <c r="R272" s="54"/>
      <c r="S272" s="54"/>
      <c r="T272" s="54"/>
      <c r="W272" s="54"/>
      <c r="X272" s="54"/>
      <c r="Y272" s="54"/>
      <c r="AB272" s="54"/>
      <c r="AC272" s="54"/>
      <c r="AD272" s="54"/>
      <c r="AG272" s="54"/>
      <c r="AH272" s="54"/>
      <c r="AI272" s="54"/>
    </row>
    <row r="273" spans="18:35" x14ac:dyDescent="0.3">
      <c r="R273" s="54"/>
      <c r="S273" s="54"/>
      <c r="T273" s="54"/>
      <c r="W273" s="54"/>
      <c r="X273" s="54"/>
      <c r="Y273" s="54"/>
      <c r="AB273" s="54"/>
      <c r="AC273" s="54"/>
      <c r="AD273" s="54"/>
      <c r="AG273" s="54"/>
      <c r="AH273" s="54"/>
      <c r="AI273" s="54"/>
    </row>
    <row r="274" spans="18:35" x14ac:dyDescent="0.3">
      <c r="R274" s="54"/>
      <c r="S274" s="54"/>
      <c r="T274" s="54"/>
      <c r="W274" s="54"/>
      <c r="X274" s="54"/>
      <c r="Y274" s="54"/>
      <c r="AB274" s="54"/>
      <c r="AC274" s="54"/>
      <c r="AD274" s="54"/>
      <c r="AG274" s="54"/>
      <c r="AH274" s="54"/>
      <c r="AI274" s="54"/>
    </row>
    <row r="275" spans="18:35" x14ac:dyDescent="0.3">
      <c r="R275" s="54"/>
      <c r="S275" s="54"/>
      <c r="T275" s="54"/>
      <c r="W275" s="54"/>
      <c r="X275" s="54"/>
      <c r="Y275" s="54"/>
      <c r="AB275" s="54"/>
      <c r="AC275" s="54"/>
      <c r="AD275" s="54"/>
      <c r="AG275" s="54"/>
      <c r="AH275" s="54"/>
      <c r="AI275" s="54"/>
    </row>
    <row r="276" spans="18:35" x14ac:dyDescent="0.3">
      <c r="R276" s="54"/>
      <c r="S276" s="54"/>
      <c r="T276" s="54"/>
      <c r="W276" s="54"/>
      <c r="X276" s="54"/>
      <c r="Y276" s="54"/>
      <c r="AB276" s="54"/>
      <c r="AC276" s="54"/>
      <c r="AD276" s="54"/>
      <c r="AG276" s="54"/>
      <c r="AH276" s="54"/>
      <c r="AI276" s="54"/>
    </row>
    <row r="277" spans="18:35" x14ac:dyDescent="0.3">
      <c r="R277" s="54"/>
      <c r="S277" s="54"/>
      <c r="T277" s="54"/>
      <c r="W277" s="54"/>
      <c r="X277" s="54"/>
      <c r="Y277" s="54"/>
      <c r="AB277" s="54"/>
      <c r="AC277" s="54"/>
      <c r="AD277" s="54"/>
      <c r="AG277" s="54"/>
      <c r="AH277" s="54"/>
      <c r="AI277" s="54"/>
    </row>
    <row r="278" spans="18:35" x14ac:dyDescent="0.3">
      <c r="R278" s="54"/>
      <c r="S278" s="54"/>
      <c r="T278" s="54"/>
      <c r="W278" s="54"/>
      <c r="X278" s="54"/>
      <c r="Y278" s="54"/>
      <c r="AB278" s="54"/>
      <c r="AC278" s="54"/>
      <c r="AD278" s="54"/>
      <c r="AG278" s="54"/>
      <c r="AH278" s="54"/>
      <c r="AI278" s="54"/>
    </row>
    <row r="279" spans="18:35" x14ac:dyDescent="0.3">
      <c r="R279" s="54"/>
      <c r="S279" s="54"/>
      <c r="T279" s="54"/>
      <c r="W279" s="54"/>
      <c r="X279" s="54"/>
      <c r="Y279" s="54"/>
      <c r="AB279" s="54"/>
      <c r="AC279" s="54"/>
      <c r="AD279" s="54"/>
      <c r="AG279" s="54"/>
      <c r="AH279" s="54"/>
      <c r="AI279" s="54"/>
    </row>
    <row r="280" spans="18:35" x14ac:dyDescent="0.3">
      <c r="R280" s="54"/>
      <c r="S280" s="54"/>
      <c r="T280" s="54"/>
      <c r="W280" s="54"/>
      <c r="X280" s="54"/>
      <c r="Y280" s="54"/>
      <c r="AB280" s="54"/>
      <c r="AC280" s="54"/>
      <c r="AD280" s="54"/>
      <c r="AG280" s="54"/>
      <c r="AH280" s="54"/>
      <c r="AI280" s="54"/>
    </row>
    <row r="281" spans="18:35" x14ac:dyDescent="0.3">
      <c r="R281" s="54"/>
      <c r="S281" s="54"/>
      <c r="T281" s="54"/>
      <c r="W281" s="54"/>
      <c r="X281" s="54"/>
      <c r="Y281" s="54"/>
      <c r="AB281" s="54"/>
      <c r="AC281" s="54"/>
      <c r="AD281" s="54"/>
      <c r="AG281" s="54"/>
      <c r="AH281" s="54"/>
      <c r="AI281" s="54"/>
    </row>
    <row r="282" spans="18:35" x14ac:dyDescent="0.3">
      <c r="R282" s="54"/>
      <c r="S282" s="54"/>
      <c r="T282" s="54"/>
      <c r="W282" s="54"/>
      <c r="X282" s="54"/>
      <c r="Y282" s="54"/>
      <c r="AB282" s="54"/>
      <c r="AC282" s="54"/>
      <c r="AD282" s="54"/>
      <c r="AG282" s="54"/>
      <c r="AH282" s="54"/>
      <c r="AI282" s="54"/>
    </row>
    <row r="283" spans="18:35" x14ac:dyDescent="0.3">
      <c r="R283" s="54"/>
      <c r="S283" s="54"/>
      <c r="T283" s="54"/>
      <c r="W283" s="54"/>
      <c r="X283" s="54"/>
      <c r="Y283" s="54"/>
      <c r="AB283" s="54"/>
      <c r="AC283" s="54"/>
      <c r="AD283" s="54"/>
      <c r="AG283" s="54"/>
      <c r="AH283" s="54"/>
      <c r="AI283" s="54"/>
    </row>
    <row r="284" spans="18:35" x14ac:dyDescent="0.3">
      <c r="R284" s="54"/>
      <c r="S284" s="54"/>
      <c r="T284" s="54"/>
      <c r="W284" s="54"/>
      <c r="X284" s="54"/>
      <c r="Y284" s="54"/>
      <c r="AB284" s="54"/>
      <c r="AC284" s="54"/>
      <c r="AD284" s="54"/>
      <c r="AG284" s="54"/>
      <c r="AH284" s="54"/>
      <c r="AI284" s="54"/>
    </row>
    <row r="285" spans="18:35" x14ac:dyDescent="0.3">
      <c r="R285" s="54"/>
      <c r="S285" s="54"/>
      <c r="T285" s="54"/>
      <c r="W285" s="54"/>
      <c r="X285" s="54"/>
      <c r="Y285" s="54"/>
      <c r="AB285" s="54"/>
      <c r="AC285" s="54"/>
      <c r="AD285" s="54"/>
      <c r="AG285" s="54"/>
      <c r="AH285" s="54"/>
      <c r="AI285" s="54"/>
    </row>
    <row r="286" spans="18:35" x14ac:dyDescent="0.3">
      <c r="R286" s="54"/>
      <c r="S286" s="54"/>
      <c r="T286" s="54"/>
      <c r="W286" s="54"/>
      <c r="X286" s="54"/>
      <c r="Y286" s="54"/>
      <c r="AB286" s="54"/>
      <c r="AC286" s="54"/>
      <c r="AD286" s="54"/>
      <c r="AG286" s="54"/>
      <c r="AH286" s="54"/>
      <c r="AI286" s="54"/>
    </row>
    <row r="287" spans="18:35" x14ac:dyDescent="0.3">
      <c r="R287" s="54"/>
      <c r="S287" s="54"/>
      <c r="T287" s="54"/>
      <c r="W287" s="54"/>
      <c r="X287" s="54"/>
      <c r="Y287" s="54"/>
      <c r="AB287" s="54"/>
      <c r="AC287" s="54"/>
      <c r="AD287" s="54"/>
      <c r="AG287" s="54"/>
      <c r="AH287" s="54"/>
      <c r="AI287" s="54"/>
    </row>
    <row r="288" spans="18:35" x14ac:dyDescent="0.3">
      <c r="R288" s="54"/>
      <c r="S288" s="54"/>
      <c r="T288" s="54"/>
      <c r="W288" s="54"/>
      <c r="X288" s="54"/>
      <c r="Y288" s="54"/>
      <c r="AB288" s="54"/>
      <c r="AC288" s="54"/>
      <c r="AD288" s="54"/>
      <c r="AG288" s="54"/>
      <c r="AH288" s="54"/>
      <c r="AI288" s="54"/>
    </row>
    <row r="289" spans="18:35" x14ac:dyDescent="0.3">
      <c r="R289" s="54"/>
      <c r="S289" s="54"/>
      <c r="T289" s="54"/>
      <c r="W289" s="54"/>
      <c r="X289" s="54"/>
      <c r="Y289" s="54"/>
      <c r="AB289" s="54"/>
      <c r="AC289" s="54"/>
      <c r="AD289" s="54"/>
      <c r="AG289" s="54"/>
      <c r="AH289" s="54"/>
      <c r="AI289" s="54"/>
    </row>
    <row r="290" spans="18:35" x14ac:dyDescent="0.3">
      <c r="R290" s="54"/>
      <c r="S290" s="54"/>
      <c r="T290" s="54"/>
      <c r="W290" s="54"/>
      <c r="X290" s="54"/>
      <c r="Y290" s="54"/>
      <c r="AB290" s="54"/>
      <c r="AC290" s="54"/>
      <c r="AD290" s="54"/>
      <c r="AG290" s="54"/>
      <c r="AH290" s="54"/>
      <c r="AI290" s="54"/>
    </row>
    <row r="291" spans="18:35" x14ac:dyDescent="0.3">
      <c r="R291" s="54"/>
      <c r="S291" s="54"/>
      <c r="T291" s="54"/>
      <c r="W291" s="54"/>
      <c r="X291" s="54"/>
      <c r="Y291" s="54"/>
      <c r="AB291" s="54"/>
      <c r="AC291" s="54"/>
      <c r="AD291" s="54"/>
      <c r="AG291" s="54"/>
      <c r="AH291" s="54"/>
      <c r="AI291" s="54"/>
    </row>
    <row r="292" spans="18:35" x14ac:dyDescent="0.3">
      <c r="R292" s="54"/>
      <c r="S292" s="54"/>
      <c r="T292" s="54"/>
      <c r="W292" s="54"/>
      <c r="X292" s="54"/>
      <c r="Y292" s="54"/>
      <c r="AB292" s="54"/>
      <c r="AC292" s="54"/>
      <c r="AD292" s="54"/>
      <c r="AG292" s="54"/>
      <c r="AH292" s="54"/>
      <c r="AI292" s="54"/>
    </row>
    <row r="293" spans="18:35" x14ac:dyDescent="0.3">
      <c r="R293" s="54"/>
      <c r="S293" s="54"/>
      <c r="T293" s="54"/>
      <c r="W293" s="54"/>
      <c r="X293" s="54"/>
      <c r="Y293" s="54"/>
      <c r="AB293" s="54"/>
      <c r="AC293" s="54"/>
      <c r="AD293" s="54"/>
      <c r="AG293" s="54"/>
      <c r="AH293" s="54"/>
      <c r="AI293" s="54"/>
    </row>
    <row r="294" spans="18:35" x14ac:dyDescent="0.3">
      <c r="R294" s="54"/>
      <c r="S294" s="54"/>
      <c r="T294" s="54"/>
      <c r="W294" s="54"/>
      <c r="X294" s="54"/>
      <c r="Y294" s="54"/>
      <c r="AB294" s="54"/>
      <c r="AC294" s="54"/>
      <c r="AD294" s="54"/>
      <c r="AG294" s="54"/>
      <c r="AH294" s="54"/>
      <c r="AI294" s="54"/>
    </row>
    <row r="295" spans="18:35" x14ac:dyDescent="0.3">
      <c r="R295" s="54"/>
      <c r="S295" s="54"/>
      <c r="T295" s="54"/>
      <c r="W295" s="54"/>
      <c r="X295" s="54"/>
      <c r="Y295" s="54"/>
      <c r="AB295" s="54"/>
      <c r="AC295" s="54"/>
      <c r="AD295" s="54"/>
      <c r="AG295" s="54"/>
      <c r="AH295" s="54"/>
      <c r="AI295" s="54"/>
    </row>
    <row r="296" spans="18:35" x14ac:dyDescent="0.3">
      <c r="R296" s="54"/>
      <c r="S296" s="54"/>
      <c r="T296" s="54"/>
      <c r="W296" s="54"/>
      <c r="X296" s="54"/>
      <c r="Y296" s="54"/>
      <c r="AB296" s="54"/>
      <c r="AC296" s="54"/>
      <c r="AD296" s="54"/>
      <c r="AG296" s="54"/>
      <c r="AH296" s="54"/>
      <c r="AI296" s="54"/>
    </row>
    <row r="297" spans="18:35" x14ac:dyDescent="0.3">
      <c r="R297" s="54"/>
      <c r="S297" s="54"/>
      <c r="T297" s="54"/>
      <c r="W297" s="54"/>
      <c r="X297" s="54"/>
      <c r="Y297" s="54"/>
      <c r="AB297" s="54"/>
      <c r="AC297" s="54"/>
      <c r="AD297" s="54"/>
      <c r="AG297" s="54"/>
      <c r="AH297" s="54"/>
      <c r="AI297" s="54"/>
    </row>
    <row r="298" spans="18:35" x14ac:dyDescent="0.3">
      <c r="R298" s="54"/>
      <c r="S298" s="54"/>
      <c r="T298" s="54"/>
      <c r="W298" s="54"/>
      <c r="X298" s="54"/>
      <c r="Y298" s="54"/>
      <c r="AB298" s="54"/>
      <c r="AC298" s="54"/>
      <c r="AD298" s="54"/>
      <c r="AG298" s="54"/>
      <c r="AH298" s="54"/>
      <c r="AI298" s="54"/>
    </row>
    <row r="299" spans="18:35" x14ac:dyDescent="0.3">
      <c r="R299" s="54"/>
      <c r="S299" s="54"/>
      <c r="T299" s="54"/>
      <c r="W299" s="54"/>
      <c r="X299" s="54"/>
      <c r="Y299" s="54"/>
      <c r="AB299" s="54"/>
      <c r="AC299" s="54"/>
      <c r="AD299" s="54"/>
      <c r="AG299" s="54"/>
      <c r="AH299" s="54"/>
      <c r="AI299" s="54"/>
    </row>
    <row r="300" spans="18:35" x14ac:dyDescent="0.3">
      <c r="R300" s="54"/>
      <c r="S300" s="54"/>
      <c r="T300" s="54"/>
      <c r="W300" s="54"/>
      <c r="X300" s="54"/>
      <c r="Y300" s="54"/>
      <c r="AB300" s="54"/>
      <c r="AC300" s="54"/>
      <c r="AD300" s="54"/>
      <c r="AG300" s="54"/>
      <c r="AH300" s="54"/>
      <c r="AI300" s="54"/>
    </row>
    <row r="301" spans="18:35" x14ac:dyDescent="0.3">
      <c r="R301" s="54"/>
      <c r="S301" s="54"/>
      <c r="T301" s="54"/>
      <c r="W301" s="54"/>
      <c r="X301" s="54"/>
      <c r="Y301" s="54"/>
      <c r="AB301" s="54"/>
      <c r="AC301" s="54"/>
      <c r="AD301" s="54"/>
      <c r="AG301" s="54"/>
      <c r="AH301" s="54"/>
      <c r="AI301" s="54"/>
    </row>
    <row r="302" spans="18:35" x14ac:dyDescent="0.3">
      <c r="R302" s="54"/>
      <c r="S302" s="54"/>
      <c r="T302" s="54"/>
      <c r="W302" s="54"/>
      <c r="X302" s="54"/>
      <c r="Y302" s="54"/>
      <c r="AB302" s="54"/>
      <c r="AC302" s="54"/>
      <c r="AD302" s="54"/>
      <c r="AG302" s="54"/>
      <c r="AH302" s="54"/>
      <c r="AI302" s="54"/>
    </row>
    <row r="303" spans="18:35" x14ac:dyDescent="0.3">
      <c r="R303" s="54"/>
      <c r="S303" s="54"/>
      <c r="T303" s="54"/>
      <c r="W303" s="54"/>
      <c r="X303" s="54"/>
      <c r="Y303" s="54"/>
      <c r="AB303" s="54"/>
      <c r="AC303" s="54"/>
      <c r="AD303" s="54"/>
      <c r="AG303" s="54"/>
      <c r="AH303" s="54"/>
      <c r="AI303" s="54"/>
    </row>
    <row r="304" spans="18:35" x14ac:dyDescent="0.3">
      <c r="R304" s="54"/>
      <c r="S304" s="54"/>
      <c r="T304" s="54"/>
      <c r="W304" s="54"/>
      <c r="X304" s="54"/>
      <c r="Y304" s="54"/>
      <c r="AB304" s="54"/>
      <c r="AC304" s="54"/>
      <c r="AD304" s="54"/>
      <c r="AG304" s="54"/>
      <c r="AH304" s="54"/>
      <c r="AI304" s="54"/>
    </row>
    <row r="305" spans="18:35" x14ac:dyDescent="0.3">
      <c r="R305" s="54"/>
      <c r="S305" s="54"/>
      <c r="T305" s="54"/>
      <c r="W305" s="54"/>
      <c r="X305" s="54"/>
      <c r="Y305" s="54"/>
      <c r="AB305" s="54"/>
      <c r="AC305" s="54"/>
      <c r="AD305" s="54"/>
      <c r="AG305" s="54"/>
      <c r="AH305" s="54"/>
      <c r="AI305" s="54"/>
    </row>
    <row r="306" spans="18:35" x14ac:dyDescent="0.3">
      <c r="R306" s="54"/>
      <c r="S306" s="54"/>
      <c r="T306" s="54"/>
      <c r="W306" s="54"/>
      <c r="X306" s="54"/>
      <c r="Y306" s="54"/>
      <c r="AB306" s="54"/>
      <c r="AC306" s="54"/>
      <c r="AD306" s="54"/>
      <c r="AG306" s="54"/>
      <c r="AH306" s="54"/>
      <c r="AI306" s="54"/>
    </row>
    <row r="307" spans="18:35" x14ac:dyDescent="0.3">
      <c r="R307" s="54"/>
      <c r="S307" s="54"/>
      <c r="T307" s="54"/>
      <c r="W307" s="54"/>
      <c r="X307" s="54"/>
      <c r="Y307" s="54"/>
      <c r="AB307" s="54"/>
      <c r="AC307" s="54"/>
      <c r="AD307" s="54"/>
      <c r="AG307" s="54"/>
      <c r="AH307" s="54"/>
      <c r="AI307" s="54"/>
    </row>
    <row r="308" spans="18:35" x14ac:dyDescent="0.3">
      <c r="R308" s="54"/>
      <c r="S308" s="54"/>
      <c r="T308" s="54"/>
      <c r="W308" s="54"/>
      <c r="X308" s="54"/>
      <c r="Y308" s="54"/>
      <c r="AB308" s="54"/>
      <c r="AC308" s="54"/>
      <c r="AD308" s="54"/>
      <c r="AG308" s="54"/>
      <c r="AH308" s="54"/>
      <c r="AI308" s="54"/>
    </row>
    <row r="309" spans="18:35" x14ac:dyDescent="0.3">
      <c r="R309" s="54"/>
      <c r="S309" s="54"/>
      <c r="T309" s="54"/>
      <c r="W309" s="54"/>
      <c r="X309" s="54"/>
      <c r="Y309" s="54"/>
      <c r="AB309" s="54"/>
      <c r="AC309" s="54"/>
      <c r="AD309" s="54"/>
      <c r="AG309" s="54"/>
      <c r="AH309" s="54"/>
      <c r="AI309" s="54"/>
    </row>
    <row r="310" spans="18:35" x14ac:dyDescent="0.3">
      <c r="R310" s="54"/>
      <c r="S310" s="54"/>
      <c r="T310" s="54"/>
      <c r="W310" s="54"/>
      <c r="X310" s="54"/>
      <c r="Y310" s="54"/>
      <c r="AB310" s="54"/>
      <c r="AC310" s="54"/>
      <c r="AD310" s="54"/>
      <c r="AG310" s="54"/>
      <c r="AH310" s="54"/>
      <c r="AI310" s="54"/>
    </row>
    <row r="311" spans="18:35" x14ac:dyDescent="0.3">
      <c r="R311" s="54"/>
      <c r="S311" s="54"/>
      <c r="T311" s="54"/>
      <c r="W311" s="54"/>
      <c r="X311" s="54"/>
      <c r="Y311" s="54"/>
      <c r="AB311" s="54"/>
      <c r="AC311" s="54"/>
      <c r="AD311" s="54"/>
      <c r="AG311" s="54"/>
      <c r="AH311" s="54"/>
      <c r="AI311" s="54"/>
    </row>
    <row r="312" spans="18:35" x14ac:dyDescent="0.3">
      <c r="R312" s="54"/>
      <c r="S312" s="54"/>
      <c r="T312" s="54"/>
      <c r="W312" s="54"/>
      <c r="X312" s="54"/>
      <c r="Y312" s="54"/>
      <c r="AB312" s="54"/>
      <c r="AC312" s="54"/>
      <c r="AD312" s="54"/>
      <c r="AG312" s="54"/>
      <c r="AH312" s="54"/>
      <c r="AI312" s="54"/>
    </row>
    <row r="313" spans="18:35" x14ac:dyDescent="0.3">
      <c r="R313" s="54"/>
      <c r="S313" s="54"/>
      <c r="T313" s="54"/>
      <c r="W313" s="54"/>
      <c r="X313" s="54"/>
      <c r="Y313" s="54"/>
      <c r="AB313" s="54"/>
      <c r="AC313" s="54"/>
      <c r="AD313" s="54"/>
      <c r="AG313" s="54"/>
      <c r="AH313" s="54"/>
      <c r="AI313" s="54"/>
    </row>
    <row r="314" spans="18:35" x14ac:dyDescent="0.3">
      <c r="R314" s="54"/>
      <c r="S314" s="54"/>
      <c r="T314" s="54"/>
      <c r="W314" s="54"/>
      <c r="X314" s="54"/>
      <c r="Y314" s="54"/>
      <c r="AB314" s="54"/>
      <c r="AC314" s="54"/>
      <c r="AD314" s="54"/>
      <c r="AG314" s="54"/>
      <c r="AH314" s="54"/>
      <c r="AI314" s="54"/>
    </row>
    <row r="315" spans="18:35" x14ac:dyDescent="0.3">
      <c r="R315" s="54"/>
      <c r="S315" s="54"/>
      <c r="T315" s="54"/>
      <c r="W315" s="54"/>
      <c r="X315" s="54"/>
      <c r="Y315" s="54"/>
      <c r="AB315" s="54"/>
      <c r="AC315" s="54"/>
      <c r="AD315" s="54"/>
      <c r="AG315" s="54"/>
      <c r="AH315" s="54"/>
      <c r="AI315" s="54"/>
    </row>
    <row r="316" spans="18:35" x14ac:dyDescent="0.3">
      <c r="R316" s="54"/>
      <c r="S316" s="54"/>
      <c r="T316" s="54"/>
      <c r="W316" s="54"/>
      <c r="X316" s="54"/>
      <c r="Y316" s="54"/>
      <c r="AB316" s="54"/>
      <c r="AC316" s="54"/>
      <c r="AD316" s="54"/>
      <c r="AG316" s="54"/>
      <c r="AH316" s="54"/>
      <c r="AI316" s="54"/>
    </row>
    <row r="317" spans="18:35" x14ac:dyDescent="0.3">
      <c r="R317" s="54"/>
      <c r="S317" s="54"/>
      <c r="T317" s="54"/>
      <c r="W317" s="54"/>
      <c r="X317" s="54"/>
      <c r="Y317" s="54"/>
      <c r="AB317" s="54"/>
      <c r="AC317" s="54"/>
      <c r="AD317" s="54"/>
      <c r="AG317" s="54"/>
      <c r="AH317" s="54"/>
      <c r="AI317" s="54"/>
    </row>
    <row r="318" spans="18:35" x14ac:dyDescent="0.3">
      <c r="R318" s="54"/>
      <c r="S318" s="54"/>
      <c r="T318" s="54"/>
      <c r="W318" s="54"/>
      <c r="X318" s="54"/>
      <c r="Y318" s="54"/>
      <c r="AB318" s="54"/>
      <c r="AC318" s="54"/>
      <c r="AD318" s="54"/>
      <c r="AG318" s="54"/>
      <c r="AH318" s="54"/>
      <c r="AI318" s="54"/>
    </row>
    <row r="319" spans="18:35" x14ac:dyDescent="0.3">
      <c r="R319" s="54"/>
      <c r="S319" s="54"/>
      <c r="T319" s="54"/>
      <c r="W319" s="54"/>
      <c r="X319" s="54"/>
      <c r="Y319" s="54"/>
      <c r="AB319" s="54"/>
      <c r="AC319" s="54"/>
      <c r="AD319" s="54"/>
      <c r="AG319" s="54"/>
      <c r="AH319" s="54"/>
      <c r="AI319" s="54"/>
    </row>
    <row r="320" spans="18:35" x14ac:dyDescent="0.3">
      <c r="R320" s="54"/>
      <c r="S320" s="54"/>
      <c r="T320" s="54"/>
      <c r="W320" s="54"/>
      <c r="X320" s="54"/>
      <c r="Y320" s="54"/>
      <c r="AB320" s="54"/>
      <c r="AC320" s="54"/>
      <c r="AD320" s="54"/>
      <c r="AG320" s="54"/>
      <c r="AH320" s="54"/>
      <c r="AI320" s="54"/>
    </row>
    <row r="321" spans="18:35" x14ac:dyDescent="0.3">
      <c r="R321" s="54"/>
      <c r="S321" s="54"/>
      <c r="T321" s="54"/>
      <c r="W321" s="54"/>
      <c r="X321" s="54"/>
      <c r="Y321" s="54"/>
      <c r="AB321" s="54"/>
      <c r="AC321" s="54"/>
      <c r="AD321" s="54"/>
      <c r="AG321" s="54"/>
      <c r="AH321" s="54"/>
      <c r="AI321" s="54"/>
    </row>
    <row r="322" spans="18:35" x14ac:dyDescent="0.3">
      <c r="R322" s="54"/>
      <c r="S322" s="54"/>
      <c r="T322" s="54"/>
      <c r="W322" s="54"/>
      <c r="X322" s="54"/>
      <c r="Y322" s="54"/>
      <c r="AB322" s="54"/>
      <c r="AC322" s="54"/>
      <c r="AD322" s="54"/>
      <c r="AG322" s="54"/>
      <c r="AH322" s="54"/>
      <c r="AI322" s="54"/>
    </row>
    <row r="323" spans="18:35" x14ac:dyDescent="0.3">
      <c r="R323" s="54"/>
      <c r="S323" s="54"/>
      <c r="T323" s="54"/>
      <c r="W323" s="54"/>
      <c r="X323" s="54"/>
      <c r="Y323" s="54"/>
      <c r="AB323" s="54"/>
      <c r="AC323" s="54"/>
      <c r="AD323" s="54"/>
      <c r="AG323" s="54"/>
      <c r="AH323" s="54"/>
      <c r="AI323" s="54"/>
    </row>
    <row r="324" spans="18:35" x14ac:dyDescent="0.3">
      <c r="R324" s="54"/>
      <c r="S324" s="54"/>
      <c r="T324" s="54"/>
      <c r="W324" s="54"/>
      <c r="X324" s="54"/>
      <c r="Y324" s="54"/>
      <c r="AB324" s="54"/>
      <c r="AC324" s="54"/>
      <c r="AD324" s="54"/>
      <c r="AG324" s="54"/>
      <c r="AH324" s="54"/>
      <c r="AI324" s="54"/>
    </row>
    <row r="325" spans="18:35" x14ac:dyDescent="0.3">
      <c r="R325" s="54"/>
      <c r="S325" s="54"/>
      <c r="T325" s="54"/>
      <c r="W325" s="54"/>
      <c r="X325" s="54"/>
      <c r="Y325" s="54"/>
      <c r="AB325" s="54"/>
      <c r="AC325" s="54"/>
      <c r="AD325" s="54"/>
      <c r="AG325" s="54"/>
      <c r="AH325" s="54"/>
      <c r="AI325" s="54"/>
    </row>
    <row r="326" spans="18:35" x14ac:dyDescent="0.3">
      <c r="R326" s="54"/>
      <c r="S326" s="54"/>
      <c r="T326" s="54"/>
      <c r="W326" s="54"/>
      <c r="X326" s="54"/>
      <c r="Y326" s="54"/>
      <c r="AB326" s="54"/>
      <c r="AC326" s="54"/>
      <c r="AD326" s="54"/>
      <c r="AG326" s="54"/>
      <c r="AH326" s="54"/>
      <c r="AI326" s="54"/>
    </row>
    <row r="327" spans="18:35" x14ac:dyDescent="0.3">
      <c r="R327" s="54"/>
      <c r="S327" s="54"/>
      <c r="T327" s="54"/>
      <c r="W327" s="54"/>
      <c r="X327" s="54"/>
      <c r="Y327" s="54"/>
      <c r="AB327" s="54"/>
      <c r="AC327" s="54"/>
      <c r="AD327" s="54"/>
      <c r="AG327" s="54"/>
      <c r="AH327" s="54"/>
      <c r="AI327" s="54"/>
    </row>
    <row r="328" spans="18:35" x14ac:dyDescent="0.3">
      <c r="R328" s="54"/>
      <c r="S328" s="54"/>
      <c r="T328" s="54"/>
      <c r="W328" s="54"/>
      <c r="X328" s="54"/>
      <c r="Y328" s="54"/>
      <c r="AB328" s="54"/>
      <c r="AC328" s="54"/>
      <c r="AD328" s="54"/>
      <c r="AG328" s="54"/>
      <c r="AH328" s="54"/>
      <c r="AI328" s="54"/>
    </row>
    <row r="329" spans="18:35" x14ac:dyDescent="0.3">
      <c r="R329" s="54"/>
      <c r="S329" s="54"/>
      <c r="T329" s="54"/>
      <c r="W329" s="54"/>
      <c r="X329" s="54"/>
      <c r="Y329" s="54"/>
      <c r="AB329" s="54"/>
      <c r="AC329" s="54"/>
      <c r="AD329" s="54"/>
      <c r="AG329" s="54"/>
      <c r="AH329" s="54"/>
      <c r="AI329" s="54"/>
    </row>
    <row r="330" spans="18:35" x14ac:dyDescent="0.3">
      <c r="R330" s="54"/>
      <c r="S330" s="54"/>
      <c r="T330" s="54"/>
      <c r="W330" s="54"/>
      <c r="X330" s="54"/>
      <c r="Y330" s="54"/>
      <c r="AB330" s="54"/>
      <c r="AC330" s="54"/>
      <c r="AD330" s="54"/>
      <c r="AG330" s="54"/>
      <c r="AH330" s="54"/>
      <c r="AI330" s="54"/>
    </row>
    <row r="331" spans="18:35" x14ac:dyDescent="0.3">
      <c r="R331" s="54"/>
      <c r="S331" s="54"/>
      <c r="T331" s="54"/>
      <c r="W331" s="54"/>
      <c r="X331" s="54"/>
      <c r="Y331" s="54"/>
      <c r="AB331" s="54"/>
      <c r="AC331" s="54"/>
      <c r="AD331" s="54"/>
      <c r="AG331" s="54"/>
      <c r="AH331" s="54"/>
      <c r="AI331" s="54"/>
    </row>
    <row r="332" spans="18:35" x14ac:dyDescent="0.3">
      <c r="R332" s="54"/>
      <c r="S332" s="54"/>
      <c r="T332" s="54"/>
      <c r="W332" s="54"/>
      <c r="X332" s="54"/>
      <c r="Y332" s="54"/>
      <c r="AB332" s="54"/>
      <c r="AC332" s="54"/>
      <c r="AD332" s="54"/>
      <c r="AG332" s="54"/>
      <c r="AH332" s="54"/>
      <c r="AI332" s="54"/>
    </row>
    <row r="333" spans="18:35" x14ac:dyDescent="0.3">
      <c r="R333" s="54"/>
      <c r="S333" s="54"/>
      <c r="T333" s="54"/>
      <c r="W333" s="54"/>
      <c r="X333" s="54"/>
      <c r="Y333" s="54"/>
      <c r="AB333" s="54"/>
      <c r="AC333" s="54"/>
      <c r="AD333" s="54"/>
      <c r="AG333" s="54"/>
      <c r="AH333" s="54"/>
      <c r="AI333" s="54"/>
    </row>
    <row r="334" spans="18:35" x14ac:dyDescent="0.3">
      <c r="R334" s="54"/>
      <c r="S334" s="54"/>
      <c r="T334" s="54"/>
      <c r="W334" s="54"/>
      <c r="X334" s="54"/>
      <c r="Y334" s="54"/>
      <c r="AB334" s="54"/>
      <c r="AC334" s="54"/>
      <c r="AD334" s="54"/>
      <c r="AG334" s="54"/>
      <c r="AH334" s="54"/>
      <c r="AI334" s="54"/>
    </row>
    <row r="335" spans="18:35" x14ac:dyDescent="0.3">
      <c r="R335" s="54"/>
      <c r="S335" s="54"/>
      <c r="T335" s="54"/>
      <c r="W335" s="54"/>
      <c r="X335" s="54"/>
      <c r="Y335" s="54"/>
      <c r="AB335" s="54"/>
      <c r="AC335" s="54"/>
      <c r="AD335" s="54"/>
      <c r="AG335" s="54"/>
      <c r="AH335" s="54"/>
      <c r="AI335" s="54"/>
    </row>
    <row r="336" spans="18:35" x14ac:dyDescent="0.3">
      <c r="R336" s="54"/>
      <c r="S336" s="54"/>
      <c r="T336" s="54"/>
      <c r="W336" s="54"/>
      <c r="X336" s="54"/>
      <c r="Y336" s="54"/>
      <c r="AB336" s="54"/>
      <c r="AC336" s="54"/>
      <c r="AD336" s="54"/>
      <c r="AG336" s="54"/>
      <c r="AH336" s="54"/>
      <c r="AI336" s="54"/>
    </row>
    <row r="337" spans="18:35" x14ac:dyDescent="0.3">
      <c r="R337" s="54"/>
      <c r="S337" s="54"/>
      <c r="T337" s="54"/>
      <c r="W337" s="54"/>
      <c r="X337" s="54"/>
      <c r="Y337" s="54"/>
      <c r="AB337" s="54"/>
      <c r="AC337" s="54"/>
      <c r="AD337" s="54"/>
      <c r="AG337" s="54"/>
      <c r="AH337" s="54"/>
      <c r="AI337" s="54"/>
    </row>
    <row r="338" spans="18:35" x14ac:dyDescent="0.3">
      <c r="R338" s="54"/>
      <c r="S338" s="54"/>
      <c r="T338" s="54"/>
      <c r="W338" s="54"/>
      <c r="X338" s="54"/>
      <c r="Y338" s="54"/>
      <c r="AB338" s="54"/>
      <c r="AC338" s="54"/>
      <c r="AD338" s="54"/>
      <c r="AG338" s="54"/>
      <c r="AH338" s="54"/>
      <c r="AI338" s="54"/>
    </row>
    <row r="339" spans="18:35" x14ac:dyDescent="0.3">
      <c r="R339" s="54"/>
      <c r="S339" s="54"/>
      <c r="T339" s="54"/>
      <c r="W339" s="54"/>
      <c r="X339" s="54"/>
      <c r="Y339" s="54"/>
      <c r="AB339" s="54"/>
      <c r="AC339" s="54"/>
      <c r="AD339" s="54"/>
      <c r="AG339" s="54"/>
      <c r="AH339" s="54"/>
      <c r="AI339" s="54"/>
    </row>
    <row r="340" spans="18:35" x14ac:dyDescent="0.3">
      <c r="R340" s="54"/>
      <c r="S340" s="54"/>
      <c r="T340" s="54"/>
      <c r="W340" s="54"/>
      <c r="X340" s="54"/>
      <c r="Y340" s="54"/>
      <c r="AB340" s="54"/>
      <c r="AC340" s="54"/>
      <c r="AD340" s="54"/>
      <c r="AG340" s="54"/>
      <c r="AH340" s="54"/>
      <c r="AI340" s="54"/>
    </row>
    <row r="341" spans="18:35" x14ac:dyDescent="0.3">
      <c r="R341" s="54"/>
      <c r="S341" s="54"/>
      <c r="T341" s="54"/>
      <c r="W341" s="54"/>
      <c r="X341" s="54"/>
      <c r="Y341" s="54"/>
      <c r="AB341" s="54"/>
      <c r="AC341" s="54"/>
      <c r="AD341" s="54"/>
      <c r="AG341" s="54"/>
      <c r="AH341" s="54"/>
      <c r="AI341" s="54"/>
    </row>
    <row r="342" spans="18:35" x14ac:dyDescent="0.3">
      <c r="R342" s="54"/>
      <c r="S342" s="54"/>
      <c r="T342" s="54"/>
      <c r="W342" s="54"/>
      <c r="X342" s="54"/>
      <c r="Y342" s="54"/>
      <c r="AB342" s="54"/>
      <c r="AC342" s="54"/>
      <c r="AD342" s="54"/>
      <c r="AG342" s="54"/>
      <c r="AH342" s="54"/>
      <c r="AI342" s="54"/>
    </row>
    <row r="343" spans="18:35" x14ac:dyDescent="0.3">
      <c r="R343" s="54"/>
      <c r="S343" s="54"/>
      <c r="T343" s="54"/>
      <c r="W343" s="54"/>
      <c r="X343" s="54"/>
      <c r="Y343" s="54"/>
      <c r="AB343" s="54"/>
      <c r="AC343" s="54"/>
      <c r="AD343" s="54"/>
      <c r="AG343" s="54"/>
      <c r="AH343" s="54"/>
      <c r="AI343" s="54"/>
    </row>
    <row r="344" spans="18:35" x14ac:dyDescent="0.3">
      <c r="R344" s="54"/>
      <c r="S344" s="54"/>
      <c r="T344" s="54"/>
      <c r="W344" s="54"/>
      <c r="X344" s="54"/>
      <c r="Y344" s="54"/>
      <c r="AB344" s="54"/>
      <c r="AC344" s="54"/>
      <c r="AD344" s="54"/>
      <c r="AG344" s="54"/>
      <c r="AH344" s="54"/>
      <c r="AI344" s="54"/>
    </row>
    <row r="345" spans="18:35" x14ac:dyDescent="0.3">
      <c r="R345" s="54"/>
      <c r="S345" s="54"/>
      <c r="T345" s="54"/>
      <c r="W345" s="54"/>
      <c r="X345" s="54"/>
      <c r="Y345" s="54"/>
      <c r="AB345" s="54"/>
      <c r="AC345" s="54"/>
      <c r="AD345" s="54"/>
      <c r="AG345" s="54"/>
      <c r="AH345" s="54"/>
      <c r="AI345" s="54"/>
    </row>
    <row r="346" spans="18:35" x14ac:dyDescent="0.3">
      <c r="R346" s="54"/>
      <c r="S346" s="54"/>
      <c r="T346" s="54"/>
      <c r="W346" s="54"/>
      <c r="X346" s="54"/>
      <c r="Y346" s="54"/>
      <c r="AB346" s="54"/>
      <c r="AC346" s="54"/>
      <c r="AD346" s="54"/>
      <c r="AG346" s="54"/>
      <c r="AH346" s="54"/>
      <c r="AI346" s="54"/>
    </row>
    <row r="347" spans="18:35" x14ac:dyDescent="0.3">
      <c r="R347" s="54"/>
      <c r="S347" s="54"/>
      <c r="T347" s="54"/>
      <c r="W347" s="54"/>
      <c r="X347" s="54"/>
      <c r="Y347" s="54"/>
      <c r="AB347" s="54"/>
      <c r="AC347" s="54"/>
      <c r="AD347" s="54"/>
      <c r="AG347" s="54"/>
      <c r="AH347" s="54"/>
      <c r="AI347" s="54"/>
    </row>
    <row r="348" spans="18:35" x14ac:dyDescent="0.3">
      <c r="R348" s="54"/>
      <c r="S348" s="54"/>
      <c r="T348" s="54"/>
      <c r="W348" s="54"/>
      <c r="X348" s="54"/>
      <c r="Y348" s="54"/>
      <c r="AB348" s="54"/>
      <c r="AC348" s="54"/>
      <c r="AD348" s="54"/>
      <c r="AG348" s="54"/>
      <c r="AH348" s="54"/>
      <c r="AI348" s="54"/>
    </row>
    <row r="349" spans="18:35" x14ac:dyDescent="0.3">
      <c r="R349" s="54"/>
      <c r="S349" s="54"/>
      <c r="T349" s="54"/>
      <c r="W349" s="54"/>
      <c r="X349" s="54"/>
      <c r="Y349" s="54"/>
      <c r="AB349" s="54"/>
      <c r="AC349" s="54"/>
      <c r="AD349" s="54"/>
      <c r="AG349" s="54"/>
      <c r="AH349" s="54"/>
      <c r="AI349" s="54"/>
    </row>
    <row r="350" spans="18:35" x14ac:dyDescent="0.3">
      <c r="R350" s="54"/>
      <c r="S350" s="54"/>
      <c r="T350" s="54"/>
      <c r="W350" s="54"/>
      <c r="X350" s="54"/>
      <c r="Y350" s="54"/>
      <c r="AB350" s="54"/>
      <c r="AC350" s="54"/>
      <c r="AD350" s="54"/>
      <c r="AG350" s="54"/>
      <c r="AH350" s="54"/>
      <c r="AI350" s="54"/>
    </row>
    <row r="351" spans="18:35" x14ac:dyDescent="0.3">
      <c r="R351" s="54"/>
      <c r="S351" s="54"/>
      <c r="T351" s="54"/>
      <c r="W351" s="54"/>
      <c r="X351" s="54"/>
      <c r="Y351" s="54"/>
      <c r="AB351" s="54"/>
      <c r="AC351" s="54"/>
      <c r="AD351" s="54"/>
      <c r="AG351" s="54"/>
      <c r="AH351" s="54"/>
      <c r="AI351" s="54"/>
    </row>
    <row r="352" spans="18:35" x14ac:dyDescent="0.3">
      <c r="R352" s="54"/>
      <c r="S352" s="54"/>
      <c r="T352" s="54"/>
      <c r="W352" s="54"/>
      <c r="X352" s="54"/>
      <c r="Y352" s="54"/>
      <c r="AB352" s="54"/>
      <c r="AC352" s="54"/>
      <c r="AD352" s="54"/>
      <c r="AG352" s="54"/>
      <c r="AH352" s="54"/>
      <c r="AI352" s="54"/>
    </row>
    <row r="353" spans="18:35" x14ac:dyDescent="0.3">
      <c r="R353" s="54"/>
      <c r="S353" s="54"/>
      <c r="T353" s="54"/>
      <c r="W353" s="54"/>
      <c r="X353" s="54"/>
      <c r="Y353" s="54"/>
      <c r="AB353" s="54"/>
      <c r="AC353" s="54"/>
      <c r="AD353" s="54"/>
      <c r="AG353" s="54"/>
      <c r="AH353" s="54"/>
      <c r="AI353" s="54"/>
    </row>
    <row r="354" spans="18:35" x14ac:dyDescent="0.3">
      <c r="R354" s="54"/>
      <c r="S354" s="54"/>
      <c r="T354" s="54"/>
      <c r="W354" s="54"/>
      <c r="X354" s="54"/>
      <c r="Y354" s="54"/>
      <c r="AB354" s="54"/>
      <c r="AC354" s="54"/>
      <c r="AD354" s="54"/>
      <c r="AG354" s="54"/>
      <c r="AH354" s="54"/>
      <c r="AI354" s="54"/>
    </row>
    <row r="355" spans="18:35" x14ac:dyDescent="0.3">
      <c r="R355" s="54"/>
      <c r="S355" s="54"/>
      <c r="T355" s="54"/>
      <c r="W355" s="54"/>
      <c r="X355" s="54"/>
      <c r="Y355" s="54"/>
      <c r="AB355" s="54"/>
      <c r="AC355" s="54"/>
      <c r="AD355" s="54"/>
      <c r="AG355" s="54"/>
      <c r="AH355" s="54"/>
      <c r="AI355" s="54"/>
    </row>
    <row r="356" spans="18:35" x14ac:dyDescent="0.3">
      <c r="R356" s="54"/>
      <c r="S356" s="54"/>
      <c r="T356" s="54"/>
      <c r="W356" s="54"/>
      <c r="X356" s="54"/>
      <c r="Y356" s="54"/>
      <c r="AB356" s="54"/>
      <c r="AC356" s="54"/>
      <c r="AD356" s="54"/>
      <c r="AG356" s="54"/>
      <c r="AH356" s="54"/>
      <c r="AI356" s="54"/>
    </row>
    <row r="357" spans="18:35" x14ac:dyDescent="0.3">
      <c r="R357" s="54"/>
      <c r="S357" s="54"/>
      <c r="T357" s="54"/>
      <c r="W357" s="54"/>
      <c r="X357" s="54"/>
      <c r="Y357" s="54"/>
      <c r="AB357" s="54"/>
      <c r="AC357" s="54"/>
      <c r="AD357" s="54"/>
      <c r="AG357" s="54"/>
      <c r="AH357" s="54"/>
      <c r="AI357" s="54"/>
    </row>
    <row r="358" spans="18:35" x14ac:dyDescent="0.3">
      <c r="R358" s="54"/>
      <c r="S358" s="54"/>
      <c r="T358" s="54"/>
      <c r="W358" s="54"/>
      <c r="X358" s="54"/>
      <c r="Y358" s="54"/>
      <c r="AB358" s="54"/>
      <c r="AC358" s="54"/>
      <c r="AD358" s="54"/>
      <c r="AG358" s="54"/>
      <c r="AH358" s="54"/>
      <c r="AI358" s="54"/>
    </row>
    <row r="359" spans="18:35" x14ac:dyDescent="0.3">
      <c r="R359" s="54"/>
      <c r="S359" s="54"/>
      <c r="T359" s="54"/>
      <c r="W359" s="54"/>
      <c r="X359" s="54"/>
      <c r="Y359" s="54"/>
      <c r="AB359" s="54"/>
      <c r="AC359" s="54"/>
      <c r="AD359" s="54"/>
      <c r="AG359" s="54"/>
      <c r="AH359" s="54"/>
      <c r="AI359" s="54"/>
    </row>
    <row r="360" spans="18:35" x14ac:dyDescent="0.3">
      <c r="R360" s="54"/>
      <c r="S360" s="54"/>
      <c r="T360" s="54"/>
      <c r="W360" s="54"/>
      <c r="X360" s="54"/>
      <c r="Y360" s="54"/>
      <c r="AB360" s="54"/>
      <c r="AC360" s="54"/>
      <c r="AD360" s="54"/>
      <c r="AG360" s="54"/>
      <c r="AH360" s="54"/>
      <c r="AI360" s="54"/>
    </row>
    <row r="361" spans="18:35" x14ac:dyDescent="0.3">
      <c r="R361" s="54"/>
      <c r="S361" s="54"/>
      <c r="T361" s="54"/>
      <c r="W361" s="54"/>
      <c r="X361" s="54"/>
      <c r="Y361" s="54"/>
      <c r="AB361" s="54"/>
      <c r="AC361" s="54"/>
      <c r="AD361" s="54"/>
      <c r="AG361" s="54"/>
      <c r="AH361" s="54"/>
      <c r="AI361" s="54"/>
    </row>
    <row r="362" spans="18:35" x14ac:dyDescent="0.3">
      <c r="R362" s="54"/>
      <c r="S362" s="54"/>
      <c r="T362" s="54"/>
      <c r="W362" s="54"/>
      <c r="X362" s="54"/>
      <c r="Y362" s="54"/>
      <c r="AB362" s="54"/>
      <c r="AC362" s="54"/>
      <c r="AD362" s="54"/>
      <c r="AG362" s="54"/>
      <c r="AH362" s="54"/>
      <c r="AI362" s="54"/>
    </row>
    <row r="363" spans="18:35" x14ac:dyDescent="0.3">
      <c r="R363" s="54"/>
      <c r="S363" s="54"/>
      <c r="T363" s="54"/>
      <c r="W363" s="54"/>
      <c r="X363" s="54"/>
      <c r="Y363" s="54"/>
      <c r="AB363" s="54"/>
      <c r="AC363" s="54"/>
      <c r="AD363" s="54"/>
      <c r="AG363" s="54"/>
      <c r="AH363" s="54"/>
      <c r="AI363" s="54"/>
    </row>
    <row r="364" spans="18:35" x14ac:dyDescent="0.3">
      <c r="R364" s="54"/>
      <c r="S364" s="54"/>
      <c r="T364" s="54"/>
      <c r="W364" s="54"/>
      <c r="X364" s="54"/>
      <c r="Y364" s="54"/>
      <c r="AB364" s="54"/>
      <c r="AC364" s="54"/>
      <c r="AD364" s="54"/>
      <c r="AG364" s="54"/>
      <c r="AH364" s="54"/>
      <c r="AI364" s="54"/>
    </row>
    <row r="365" spans="18:35" x14ac:dyDescent="0.3">
      <c r="R365" s="54"/>
      <c r="S365" s="54"/>
      <c r="T365" s="54"/>
      <c r="W365" s="54"/>
      <c r="X365" s="54"/>
      <c r="Y365" s="54"/>
      <c r="AB365" s="54"/>
      <c r="AC365" s="54"/>
      <c r="AD365" s="54"/>
      <c r="AG365" s="54"/>
      <c r="AH365" s="54"/>
      <c r="AI365" s="54"/>
    </row>
    <row r="366" spans="18:35" x14ac:dyDescent="0.3">
      <c r="R366" s="54"/>
      <c r="S366" s="54"/>
      <c r="T366" s="54"/>
      <c r="W366" s="54"/>
      <c r="X366" s="54"/>
      <c r="Y366" s="54"/>
      <c r="AB366" s="54"/>
      <c r="AC366" s="54"/>
      <c r="AD366" s="54"/>
      <c r="AG366" s="54"/>
      <c r="AH366" s="54"/>
      <c r="AI366" s="54"/>
    </row>
    <row r="367" spans="18:35" x14ac:dyDescent="0.3">
      <c r="R367" s="54"/>
      <c r="S367" s="54"/>
      <c r="T367" s="54"/>
      <c r="W367" s="54"/>
      <c r="X367" s="54"/>
      <c r="Y367" s="54"/>
      <c r="AB367" s="54"/>
      <c r="AC367" s="54"/>
      <c r="AD367" s="54"/>
      <c r="AG367" s="54"/>
      <c r="AH367" s="54"/>
      <c r="AI367" s="54"/>
    </row>
    <row r="368" spans="18:35" x14ac:dyDescent="0.3">
      <c r="R368" s="54"/>
      <c r="S368" s="54"/>
      <c r="T368" s="54"/>
      <c r="W368" s="54"/>
      <c r="X368" s="54"/>
      <c r="Y368" s="54"/>
      <c r="AB368" s="54"/>
      <c r="AC368" s="54"/>
      <c r="AD368" s="54"/>
      <c r="AG368" s="54"/>
      <c r="AH368" s="54"/>
      <c r="AI368" s="54"/>
    </row>
    <row r="369" spans="18:35" x14ac:dyDescent="0.3">
      <c r="R369" s="54"/>
      <c r="S369" s="54"/>
      <c r="T369" s="54"/>
      <c r="W369" s="54"/>
      <c r="X369" s="54"/>
      <c r="Y369" s="54"/>
      <c r="AB369" s="54"/>
      <c r="AC369" s="54"/>
      <c r="AD369" s="54"/>
      <c r="AG369" s="54"/>
      <c r="AH369" s="54"/>
      <c r="AI369" s="54"/>
    </row>
    <row r="370" spans="18:35" x14ac:dyDescent="0.3">
      <c r="R370" s="54"/>
      <c r="S370" s="54"/>
      <c r="T370" s="54"/>
      <c r="W370" s="54"/>
      <c r="X370" s="54"/>
      <c r="Y370" s="54"/>
      <c r="AB370" s="54"/>
      <c r="AC370" s="54"/>
      <c r="AD370" s="54"/>
      <c r="AG370" s="54"/>
      <c r="AH370" s="54"/>
      <c r="AI370" s="54"/>
    </row>
    <row r="371" spans="18:35" x14ac:dyDescent="0.3">
      <c r="R371" s="54"/>
      <c r="S371" s="54"/>
      <c r="T371" s="54"/>
      <c r="W371" s="54"/>
      <c r="X371" s="54"/>
      <c r="Y371" s="54"/>
      <c r="AB371" s="54"/>
      <c r="AC371" s="54"/>
      <c r="AD371" s="54"/>
      <c r="AG371" s="54"/>
      <c r="AH371" s="54"/>
      <c r="AI371" s="54"/>
    </row>
    <row r="372" spans="18:35" x14ac:dyDescent="0.3">
      <c r="R372" s="54"/>
      <c r="S372" s="54"/>
      <c r="T372" s="54"/>
      <c r="W372" s="54"/>
      <c r="X372" s="54"/>
      <c r="Y372" s="54"/>
      <c r="AB372" s="54"/>
      <c r="AC372" s="54"/>
      <c r="AD372" s="54"/>
      <c r="AG372" s="54"/>
      <c r="AH372" s="54"/>
      <c r="AI372" s="54"/>
    </row>
    <row r="373" spans="18:35" x14ac:dyDescent="0.3">
      <c r="R373" s="54"/>
      <c r="S373" s="54"/>
      <c r="T373" s="54"/>
      <c r="W373" s="54"/>
      <c r="X373" s="54"/>
      <c r="Y373" s="54"/>
      <c r="AB373" s="54"/>
      <c r="AC373" s="54"/>
      <c r="AD373" s="54"/>
      <c r="AG373" s="54"/>
      <c r="AH373" s="54"/>
      <c r="AI373" s="54"/>
    </row>
    <row r="374" spans="18:35" x14ac:dyDescent="0.3">
      <c r="R374" s="54"/>
      <c r="S374" s="54"/>
      <c r="T374" s="54"/>
      <c r="W374" s="54"/>
      <c r="X374" s="54"/>
      <c r="Y374" s="54"/>
      <c r="AB374" s="54"/>
      <c r="AC374" s="54"/>
      <c r="AD374" s="54"/>
      <c r="AG374" s="54"/>
      <c r="AH374" s="54"/>
      <c r="AI374" s="54"/>
    </row>
    <row r="375" spans="18:35" x14ac:dyDescent="0.3">
      <c r="R375" s="54"/>
      <c r="S375" s="54"/>
      <c r="T375" s="54"/>
      <c r="W375" s="54"/>
      <c r="X375" s="54"/>
      <c r="Y375" s="54"/>
      <c r="AB375" s="54"/>
      <c r="AC375" s="54"/>
      <c r="AD375" s="54"/>
      <c r="AG375" s="54"/>
      <c r="AH375" s="54"/>
      <c r="AI375" s="54"/>
    </row>
    <row r="376" spans="18:35" x14ac:dyDescent="0.3">
      <c r="R376" s="54"/>
      <c r="S376" s="54"/>
      <c r="T376" s="54"/>
      <c r="W376" s="54"/>
      <c r="X376" s="54"/>
      <c r="Y376" s="54"/>
      <c r="AB376" s="54"/>
      <c r="AC376" s="54"/>
      <c r="AD376" s="54"/>
      <c r="AG376" s="54"/>
      <c r="AH376" s="54"/>
      <c r="AI376" s="54"/>
    </row>
    <row r="377" spans="18:35" x14ac:dyDescent="0.3">
      <c r="R377" s="54"/>
      <c r="S377" s="54"/>
      <c r="T377" s="54"/>
      <c r="W377" s="54"/>
      <c r="X377" s="54"/>
      <c r="Y377" s="54"/>
      <c r="AB377" s="54"/>
      <c r="AC377" s="54"/>
      <c r="AD377" s="54"/>
      <c r="AG377" s="54"/>
      <c r="AH377" s="54"/>
      <c r="AI377" s="54"/>
    </row>
    <row r="378" spans="18:35" x14ac:dyDescent="0.3">
      <c r="R378" s="54"/>
      <c r="S378" s="54"/>
      <c r="T378" s="54"/>
      <c r="W378" s="54"/>
      <c r="X378" s="54"/>
      <c r="Y378" s="54"/>
      <c r="AB378" s="54"/>
      <c r="AC378" s="54"/>
      <c r="AD378" s="54"/>
      <c r="AG378" s="54"/>
      <c r="AH378" s="54"/>
      <c r="AI378" s="54"/>
    </row>
    <row r="379" spans="18:35" x14ac:dyDescent="0.3">
      <c r="R379" s="54"/>
      <c r="S379" s="54"/>
      <c r="T379" s="54"/>
      <c r="W379" s="54"/>
      <c r="X379" s="54"/>
      <c r="Y379" s="54"/>
      <c r="AB379" s="54"/>
      <c r="AC379" s="54"/>
      <c r="AD379" s="54"/>
      <c r="AG379" s="54"/>
      <c r="AH379" s="54"/>
      <c r="AI379" s="54"/>
    </row>
    <row r="380" spans="18:35" x14ac:dyDescent="0.3">
      <c r="R380" s="54"/>
      <c r="S380" s="54"/>
      <c r="T380" s="54"/>
      <c r="W380" s="54"/>
      <c r="X380" s="54"/>
      <c r="Y380" s="54"/>
      <c r="AB380" s="54"/>
      <c r="AC380" s="54"/>
      <c r="AD380" s="54"/>
      <c r="AG380" s="54"/>
      <c r="AH380" s="54"/>
      <c r="AI380" s="54"/>
    </row>
    <row r="381" spans="18:35" x14ac:dyDescent="0.3">
      <c r="R381" s="54"/>
      <c r="S381" s="54"/>
      <c r="T381" s="54"/>
      <c r="W381" s="54"/>
      <c r="X381" s="54"/>
      <c r="Y381" s="54"/>
      <c r="AB381" s="54"/>
      <c r="AC381" s="54"/>
      <c r="AD381" s="54"/>
      <c r="AG381" s="54"/>
      <c r="AH381" s="54"/>
      <c r="AI381" s="54"/>
    </row>
    <row r="382" spans="18:35" x14ac:dyDescent="0.3">
      <c r="R382" s="54"/>
      <c r="S382" s="54"/>
      <c r="T382" s="54"/>
      <c r="W382" s="54"/>
      <c r="X382" s="54"/>
      <c r="Y382" s="54"/>
      <c r="AB382" s="54"/>
      <c r="AC382" s="54"/>
      <c r="AD382" s="54"/>
      <c r="AG382" s="54"/>
      <c r="AH382" s="54"/>
      <c r="AI382" s="54"/>
    </row>
    <row r="383" spans="18:35" x14ac:dyDescent="0.3">
      <c r="R383" s="54"/>
      <c r="S383" s="54"/>
      <c r="T383" s="54"/>
      <c r="W383" s="54"/>
      <c r="X383" s="54"/>
      <c r="Y383" s="54"/>
      <c r="AB383" s="54"/>
      <c r="AC383" s="54"/>
      <c r="AD383" s="54"/>
      <c r="AG383" s="54"/>
      <c r="AH383" s="54"/>
      <c r="AI383" s="54"/>
    </row>
    <row r="384" spans="18:35" x14ac:dyDescent="0.3">
      <c r="R384" s="54"/>
      <c r="S384" s="54"/>
      <c r="T384" s="54"/>
      <c r="W384" s="54"/>
      <c r="X384" s="54"/>
      <c r="Y384" s="54"/>
      <c r="AB384" s="54"/>
      <c r="AC384" s="54"/>
      <c r="AD384" s="54"/>
      <c r="AG384" s="54"/>
      <c r="AH384" s="54"/>
      <c r="AI384" s="54"/>
    </row>
    <row r="385" spans="18:35" x14ac:dyDescent="0.3">
      <c r="R385" s="54"/>
      <c r="S385" s="54"/>
      <c r="T385" s="54"/>
      <c r="W385" s="54"/>
      <c r="X385" s="54"/>
      <c r="Y385" s="54"/>
      <c r="AB385" s="54"/>
      <c r="AC385" s="54"/>
      <c r="AD385" s="54"/>
      <c r="AG385" s="54"/>
      <c r="AH385" s="54"/>
      <c r="AI385" s="54"/>
    </row>
    <row r="386" spans="18:35" x14ac:dyDescent="0.3">
      <c r="R386" s="54"/>
      <c r="S386" s="54"/>
      <c r="T386" s="54"/>
      <c r="W386" s="54"/>
      <c r="X386" s="54"/>
      <c r="Y386" s="54"/>
      <c r="AB386" s="54"/>
      <c r="AC386" s="54"/>
      <c r="AD386" s="54"/>
      <c r="AG386" s="54"/>
      <c r="AH386" s="54"/>
      <c r="AI386" s="54"/>
    </row>
    <row r="387" spans="18:35" x14ac:dyDescent="0.3">
      <c r="R387" s="54"/>
      <c r="S387" s="54"/>
      <c r="T387" s="54"/>
      <c r="W387" s="54"/>
      <c r="X387" s="54"/>
      <c r="Y387" s="54"/>
      <c r="AB387" s="54"/>
      <c r="AC387" s="54"/>
      <c r="AD387" s="54"/>
      <c r="AG387" s="54"/>
      <c r="AH387" s="54"/>
      <c r="AI387" s="54"/>
    </row>
    <row r="388" spans="18:35" x14ac:dyDescent="0.3">
      <c r="R388" s="54"/>
      <c r="S388" s="54"/>
      <c r="T388" s="54"/>
      <c r="W388" s="54"/>
      <c r="X388" s="54"/>
      <c r="Y388" s="54"/>
      <c r="AB388" s="54"/>
      <c r="AC388" s="54"/>
      <c r="AD388" s="54"/>
      <c r="AG388" s="54"/>
      <c r="AH388" s="54"/>
      <c r="AI388" s="54"/>
    </row>
    <row r="389" spans="18:35" x14ac:dyDescent="0.3">
      <c r="R389" s="54"/>
      <c r="S389" s="54"/>
      <c r="T389" s="54"/>
      <c r="W389" s="54"/>
      <c r="X389" s="54"/>
      <c r="Y389" s="54"/>
      <c r="AB389" s="54"/>
      <c r="AC389" s="54"/>
      <c r="AD389" s="54"/>
      <c r="AG389" s="54"/>
      <c r="AH389" s="54"/>
      <c r="AI389" s="54"/>
    </row>
    <row r="390" spans="18:35" x14ac:dyDescent="0.3">
      <c r="R390" s="54"/>
      <c r="S390" s="54"/>
      <c r="T390" s="54"/>
      <c r="W390" s="54"/>
      <c r="X390" s="54"/>
      <c r="Y390" s="54"/>
      <c r="AB390" s="54"/>
      <c r="AC390" s="54"/>
      <c r="AD390" s="54"/>
      <c r="AG390" s="54"/>
      <c r="AH390" s="54"/>
      <c r="AI390" s="54"/>
    </row>
    <row r="391" spans="18:35" x14ac:dyDescent="0.3">
      <c r="R391" s="54"/>
      <c r="S391" s="54"/>
      <c r="T391" s="54"/>
      <c r="W391" s="54"/>
      <c r="X391" s="54"/>
      <c r="Y391" s="54"/>
      <c r="AB391" s="54"/>
      <c r="AC391" s="54"/>
      <c r="AD391" s="54"/>
      <c r="AG391" s="54"/>
      <c r="AH391" s="54"/>
      <c r="AI391" s="54"/>
    </row>
    <row r="392" spans="18:35" x14ac:dyDescent="0.3">
      <c r="R392" s="54"/>
      <c r="S392" s="54"/>
      <c r="T392" s="54"/>
      <c r="W392" s="54"/>
      <c r="X392" s="54"/>
      <c r="Y392" s="54"/>
      <c r="AB392" s="54"/>
      <c r="AC392" s="54"/>
      <c r="AD392" s="54"/>
      <c r="AG392" s="54"/>
      <c r="AH392" s="54"/>
      <c r="AI392" s="54"/>
    </row>
    <row r="393" spans="18:35" x14ac:dyDescent="0.3">
      <c r="R393" s="54"/>
      <c r="S393" s="54"/>
      <c r="T393" s="54"/>
      <c r="W393" s="54"/>
      <c r="X393" s="54"/>
      <c r="Y393" s="54"/>
      <c r="AB393" s="54"/>
      <c r="AC393" s="54"/>
      <c r="AD393" s="54"/>
      <c r="AG393" s="54"/>
      <c r="AH393" s="54"/>
      <c r="AI393" s="54"/>
    </row>
    <row r="394" spans="18:35" x14ac:dyDescent="0.3">
      <c r="R394" s="54"/>
      <c r="S394" s="54"/>
      <c r="T394" s="54"/>
      <c r="W394" s="54"/>
      <c r="X394" s="54"/>
      <c r="Y394" s="54"/>
      <c r="AB394" s="54"/>
      <c r="AC394" s="54"/>
      <c r="AD394" s="54"/>
      <c r="AG394" s="54"/>
      <c r="AH394" s="54"/>
      <c r="AI394" s="54"/>
    </row>
    <row r="395" spans="18:35" x14ac:dyDescent="0.3">
      <c r="R395" s="54"/>
      <c r="S395" s="54"/>
      <c r="T395" s="54"/>
      <c r="W395" s="54"/>
      <c r="X395" s="54"/>
      <c r="Y395" s="54"/>
      <c r="AB395" s="54"/>
      <c r="AC395" s="54"/>
      <c r="AD395" s="54"/>
      <c r="AG395" s="54"/>
      <c r="AH395" s="54"/>
      <c r="AI395" s="54"/>
    </row>
    <row r="396" spans="18:35" x14ac:dyDescent="0.3">
      <c r="R396" s="54"/>
      <c r="S396" s="54"/>
      <c r="T396" s="54"/>
      <c r="W396" s="54"/>
      <c r="X396" s="54"/>
      <c r="Y396" s="54"/>
      <c r="AB396" s="54"/>
      <c r="AC396" s="54"/>
      <c r="AD396" s="54"/>
      <c r="AG396" s="54"/>
      <c r="AH396" s="54"/>
      <c r="AI396" s="54"/>
    </row>
    <row r="397" spans="18:35" x14ac:dyDescent="0.3">
      <c r="R397" s="54"/>
      <c r="S397" s="54"/>
      <c r="T397" s="54"/>
      <c r="W397" s="54"/>
      <c r="X397" s="54"/>
      <c r="Y397" s="54"/>
      <c r="AB397" s="54"/>
      <c r="AC397" s="54"/>
      <c r="AD397" s="54"/>
      <c r="AG397" s="54"/>
      <c r="AH397" s="54"/>
      <c r="AI397" s="54"/>
    </row>
    <row r="398" spans="18:35" x14ac:dyDescent="0.3">
      <c r="R398" s="54"/>
      <c r="S398" s="54"/>
      <c r="T398" s="54"/>
      <c r="W398" s="54"/>
      <c r="X398" s="54"/>
      <c r="Y398" s="54"/>
      <c r="AB398" s="54"/>
      <c r="AC398" s="54"/>
      <c r="AD398" s="54"/>
      <c r="AG398" s="54"/>
      <c r="AH398" s="54"/>
      <c r="AI398" s="54"/>
    </row>
    <row r="399" spans="18:35" x14ac:dyDescent="0.3">
      <c r="R399" s="54"/>
      <c r="S399" s="54"/>
      <c r="T399" s="54"/>
      <c r="W399" s="54"/>
      <c r="X399" s="54"/>
      <c r="Y399" s="54"/>
      <c r="AB399" s="54"/>
      <c r="AC399" s="54"/>
      <c r="AD399" s="54"/>
      <c r="AG399" s="54"/>
      <c r="AH399" s="54"/>
      <c r="AI399" s="54"/>
    </row>
    <row r="400" spans="18:35" x14ac:dyDescent="0.3">
      <c r="R400" s="54"/>
      <c r="S400" s="54"/>
      <c r="T400" s="54"/>
      <c r="W400" s="54"/>
      <c r="X400" s="54"/>
      <c r="Y400" s="54"/>
      <c r="AB400" s="54"/>
      <c r="AC400" s="54"/>
      <c r="AD400" s="54"/>
      <c r="AG400" s="54"/>
      <c r="AH400" s="54"/>
      <c r="AI400" s="54"/>
    </row>
    <row r="401" spans="18:35" x14ac:dyDescent="0.3">
      <c r="R401" s="54"/>
      <c r="S401" s="54"/>
      <c r="T401" s="54"/>
      <c r="W401" s="54"/>
      <c r="X401" s="54"/>
      <c r="Y401" s="54"/>
      <c r="AB401" s="54"/>
      <c r="AC401" s="54"/>
      <c r="AD401" s="54"/>
      <c r="AG401" s="54"/>
      <c r="AH401" s="54"/>
      <c r="AI401" s="54"/>
    </row>
    <row r="402" spans="18:35" x14ac:dyDescent="0.3">
      <c r="R402" s="54"/>
      <c r="S402" s="54"/>
      <c r="T402" s="54"/>
      <c r="W402" s="54"/>
      <c r="X402" s="54"/>
      <c r="Y402" s="54"/>
      <c r="AB402" s="54"/>
      <c r="AC402" s="54"/>
      <c r="AD402" s="54"/>
      <c r="AG402" s="54"/>
      <c r="AH402" s="54"/>
      <c r="AI402" s="54"/>
    </row>
    <row r="403" spans="18:35" x14ac:dyDescent="0.3">
      <c r="R403" s="54"/>
      <c r="S403" s="54"/>
      <c r="T403" s="54"/>
      <c r="W403" s="54"/>
      <c r="X403" s="54"/>
      <c r="Y403" s="54"/>
      <c r="AB403" s="54"/>
      <c r="AC403" s="54"/>
      <c r="AD403" s="54"/>
      <c r="AG403" s="54"/>
      <c r="AH403" s="54"/>
      <c r="AI403" s="54"/>
    </row>
    <row r="404" spans="18:35" x14ac:dyDescent="0.3">
      <c r="R404" s="54"/>
      <c r="S404" s="54"/>
      <c r="T404" s="54"/>
      <c r="W404" s="54"/>
      <c r="X404" s="54"/>
      <c r="Y404" s="54"/>
      <c r="AB404" s="54"/>
      <c r="AC404" s="54"/>
      <c r="AD404" s="54"/>
      <c r="AG404" s="54"/>
      <c r="AH404" s="54"/>
      <c r="AI404" s="54"/>
    </row>
    <row r="405" spans="18:35" x14ac:dyDescent="0.3">
      <c r="R405" s="54"/>
      <c r="S405" s="54"/>
      <c r="T405" s="54"/>
      <c r="W405" s="54"/>
      <c r="X405" s="54"/>
      <c r="Y405" s="54"/>
      <c r="AB405" s="54"/>
      <c r="AC405" s="54"/>
      <c r="AD405" s="54"/>
      <c r="AG405" s="54"/>
      <c r="AH405" s="54"/>
      <c r="AI405" s="54"/>
    </row>
    <row r="406" spans="18:35" x14ac:dyDescent="0.3">
      <c r="R406" s="54"/>
      <c r="S406" s="54"/>
      <c r="T406" s="54"/>
      <c r="W406" s="54"/>
      <c r="X406" s="54"/>
      <c r="Y406" s="54"/>
      <c r="AB406" s="54"/>
      <c r="AC406" s="54"/>
      <c r="AD406" s="54"/>
      <c r="AG406" s="54"/>
      <c r="AH406" s="54"/>
      <c r="AI406" s="54"/>
    </row>
    <row r="407" spans="18:35" x14ac:dyDescent="0.3">
      <c r="R407" s="54"/>
      <c r="S407" s="54"/>
      <c r="T407" s="54"/>
      <c r="W407" s="54"/>
      <c r="X407" s="54"/>
      <c r="Y407" s="54"/>
      <c r="AB407" s="54"/>
      <c r="AC407" s="54"/>
      <c r="AD407" s="54"/>
      <c r="AG407" s="54"/>
      <c r="AH407" s="54"/>
      <c r="AI407" s="54"/>
    </row>
    <row r="408" spans="18:35" x14ac:dyDescent="0.3">
      <c r="R408" s="54"/>
      <c r="S408" s="54"/>
      <c r="T408" s="54"/>
      <c r="W408" s="54"/>
      <c r="X408" s="54"/>
      <c r="Y408" s="54"/>
      <c r="AB408" s="54"/>
      <c r="AC408" s="54"/>
      <c r="AD408" s="54"/>
      <c r="AG408" s="54"/>
      <c r="AH408" s="54"/>
      <c r="AI408" s="54"/>
    </row>
    <row r="409" spans="18:35" x14ac:dyDescent="0.3">
      <c r="R409" s="54"/>
      <c r="S409" s="54"/>
      <c r="T409" s="54"/>
      <c r="W409" s="54"/>
      <c r="X409" s="54"/>
      <c r="Y409" s="54"/>
      <c r="AB409" s="54"/>
      <c r="AC409" s="54"/>
      <c r="AD409" s="54"/>
      <c r="AG409" s="54"/>
      <c r="AH409" s="54"/>
      <c r="AI409" s="54"/>
    </row>
    <row r="410" spans="18:35" x14ac:dyDescent="0.3">
      <c r="R410" s="54"/>
      <c r="S410" s="54"/>
      <c r="T410" s="54"/>
      <c r="W410" s="54"/>
      <c r="X410" s="54"/>
      <c r="Y410" s="54"/>
      <c r="AB410" s="54"/>
      <c r="AC410" s="54"/>
      <c r="AD410" s="54"/>
      <c r="AG410" s="54"/>
      <c r="AH410" s="54"/>
      <c r="AI410" s="54"/>
    </row>
    <row r="411" spans="18:35" x14ac:dyDescent="0.3">
      <c r="R411" s="54"/>
      <c r="S411" s="54"/>
      <c r="T411" s="54"/>
      <c r="W411" s="54"/>
      <c r="X411" s="54"/>
      <c r="Y411" s="54"/>
      <c r="AB411" s="54"/>
      <c r="AC411" s="54"/>
      <c r="AD411" s="54"/>
      <c r="AG411" s="54"/>
      <c r="AH411" s="54"/>
      <c r="AI411" s="54"/>
    </row>
    <row r="412" spans="18:35" x14ac:dyDescent="0.3">
      <c r="R412" s="54"/>
      <c r="S412" s="54"/>
      <c r="T412" s="54"/>
      <c r="W412" s="54"/>
      <c r="X412" s="54"/>
      <c r="Y412" s="54"/>
      <c r="AB412" s="54"/>
      <c r="AC412" s="54"/>
      <c r="AD412" s="54"/>
      <c r="AG412" s="54"/>
      <c r="AH412" s="54"/>
      <c r="AI412" s="54"/>
    </row>
    <row r="413" spans="18:35" x14ac:dyDescent="0.3">
      <c r="R413" s="54"/>
      <c r="S413" s="54"/>
      <c r="T413" s="54"/>
      <c r="W413" s="54"/>
      <c r="X413" s="54"/>
      <c r="Y413" s="54"/>
      <c r="AB413" s="54"/>
      <c r="AC413" s="54"/>
      <c r="AD413" s="54"/>
      <c r="AG413" s="54"/>
      <c r="AH413" s="54"/>
      <c r="AI413" s="54"/>
    </row>
    <row r="414" spans="18:35" x14ac:dyDescent="0.3">
      <c r="R414" s="54"/>
      <c r="S414" s="54"/>
      <c r="T414" s="54"/>
      <c r="W414" s="54"/>
      <c r="X414" s="54"/>
      <c r="Y414" s="54"/>
      <c r="AB414" s="54"/>
      <c r="AC414" s="54"/>
      <c r="AD414" s="54"/>
      <c r="AG414" s="54"/>
      <c r="AH414" s="54"/>
      <c r="AI414" s="54"/>
    </row>
    <row r="415" spans="18:35" x14ac:dyDescent="0.3">
      <c r="R415" s="54"/>
      <c r="S415" s="54"/>
      <c r="T415" s="54"/>
      <c r="W415" s="54"/>
      <c r="X415" s="54"/>
      <c r="Y415" s="54"/>
      <c r="AB415" s="54"/>
      <c r="AC415" s="54"/>
      <c r="AD415" s="54"/>
      <c r="AG415" s="54"/>
      <c r="AH415" s="54"/>
      <c r="AI415" s="54"/>
    </row>
    <row r="416" spans="18:35" x14ac:dyDescent="0.3">
      <c r="R416" s="54"/>
      <c r="S416" s="54"/>
      <c r="T416" s="54"/>
      <c r="W416" s="54"/>
      <c r="X416" s="54"/>
      <c r="Y416" s="54"/>
      <c r="AB416" s="54"/>
      <c r="AC416" s="54"/>
      <c r="AD416" s="54"/>
      <c r="AG416" s="54"/>
      <c r="AH416" s="54"/>
      <c r="AI416" s="54"/>
    </row>
    <row r="417" spans="18:35" x14ac:dyDescent="0.3">
      <c r="R417" s="54"/>
      <c r="S417" s="54"/>
      <c r="T417" s="54"/>
      <c r="W417" s="54"/>
      <c r="X417" s="54"/>
      <c r="Y417" s="54"/>
      <c r="AB417" s="54"/>
      <c r="AC417" s="54"/>
      <c r="AD417" s="54"/>
      <c r="AG417" s="54"/>
      <c r="AH417" s="54"/>
      <c r="AI417" s="54"/>
    </row>
    <row r="418" spans="18:35" x14ac:dyDescent="0.3">
      <c r="R418" s="54"/>
      <c r="S418" s="54"/>
      <c r="T418" s="54"/>
      <c r="W418" s="54"/>
      <c r="X418" s="54"/>
      <c r="Y418" s="54"/>
      <c r="AB418" s="54"/>
      <c r="AC418" s="54"/>
      <c r="AD418" s="54"/>
      <c r="AG418" s="54"/>
      <c r="AH418" s="54"/>
      <c r="AI418" s="54"/>
    </row>
    <row r="419" spans="18:35" x14ac:dyDescent="0.3">
      <c r="R419" s="54"/>
      <c r="S419" s="54"/>
      <c r="T419" s="54"/>
      <c r="W419" s="54"/>
      <c r="X419" s="54"/>
      <c r="Y419" s="54"/>
      <c r="AB419" s="54"/>
      <c r="AC419" s="54"/>
      <c r="AD419" s="54"/>
      <c r="AG419" s="54"/>
      <c r="AH419" s="54"/>
      <c r="AI419" s="54"/>
    </row>
    <row r="420" spans="18:35" x14ac:dyDescent="0.3">
      <c r="R420" s="54"/>
      <c r="S420" s="54"/>
      <c r="T420" s="54"/>
      <c r="W420" s="54"/>
      <c r="X420" s="54"/>
      <c r="Y420" s="54"/>
      <c r="AB420" s="54"/>
      <c r="AC420" s="54"/>
      <c r="AD420" s="54"/>
      <c r="AG420" s="54"/>
      <c r="AH420" s="54"/>
      <c r="AI420" s="54"/>
    </row>
    <row r="421" spans="18:35" x14ac:dyDescent="0.3">
      <c r="R421" s="54"/>
      <c r="S421" s="54"/>
      <c r="T421" s="54"/>
      <c r="W421" s="54"/>
      <c r="X421" s="54"/>
      <c r="Y421" s="54"/>
      <c r="AB421" s="54"/>
      <c r="AC421" s="54"/>
      <c r="AD421" s="54"/>
      <c r="AG421" s="54"/>
      <c r="AH421" s="54"/>
      <c r="AI421" s="54"/>
    </row>
    <row r="422" spans="18:35" x14ac:dyDescent="0.3">
      <c r="R422" s="54"/>
      <c r="S422" s="54"/>
      <c r="T422" s="54"/>
      <c r="W422" s="54"/>
      <c r="X422" s="54"/>
      <c r="Y422" s="54"/>
      <c r="AB422" s="54"/>
      <c r="AC422" s="54"/>
      <c r="AD422" s="54"/>
      <c r="AG422" s="54"/>
      <c r="AH422" s="54"/>
      <c r="AI422" s="54"/>
    </row>
    <row r="423" spans="18:35" x14ac:dyDescent="0.3">
      <c r="R423" s="54"/>
      <c r="S423" s="54"/>
      <c r="T423" s="54"/>
      <c r="W423" s="54"/>
      <c r="X423" s="54"/>
      <c r="Y423" s="54"/>
      <c r="AB423" s="54"/>
      <c r="AC423" s="54"/>
      <c r="AD423" s="54"/>
      <c r="AG423" s="54"/>
      <c r="AH423" s="54"/>
      <c r="AI423" s="54"/>
    </row>
    <row r="424" spans="18:35" x14ac:dyDescent="0.3">
      <c r="R424" s="54"/>
      <c r="S424" s="54"/>
      <c r="T424" s="54"/>
      <c r="W424" s="54"/>
      <c r="X424" s="54"/>
      <c r="Y424" s="54"/>
      <c r="AB424" s="54"/>
      <c r="AC424" s="54"/>
      <c r="AD424" s="54"/>
      <c r="AG424" s="54"/>
      <c r="AH424" s="54"/>
      <c r="AI424" s="54"/>
    </row>
    <row r="425" spans="18:35" x14ac:dyDescent="0.3">
      <c r="R425" s="54"/>
      <c r="S425" s="54"/>
      <c r="T425" s="54"/>
      <c r="W425" s="54"/>
      <c r="X425" s="54"/>
      <c r="Y425" s="54"/>
      <c r="AB425" s="54"/>
      <c r="AC425" s="54"/>
      <c r="AD425" s="54"/>
      <c r="AG425" s="54"/>
      <c r="AH425" s="54"/>
      <c r="AI425" s="54"/>
    </row>
    <row r="426" spans="18:35" x14ac:dyDescent="0.3">
      <c r="R426" s="54"/>
      <c r="S426" s="54"/>
      <c r="T426" s="54"/>
      <c r="W426" s="54"/>
      <c r="X426" s="54"/>
      <c r="Y426" s="54"/>
      <c r="AB426" s="54"/>
      <c r="AC426" s="54"/>
      <c r="AD426" s="54"/>
      <c r="AG426" s="54"/>
      <c r="AH426" s="54"/>
      <c r="AI426" s="54"/>
    </row>
    <row r="427" spans="18:35" x14ac:dyDescent="0.3">
      <c r="R427" s="54"/>
      <c r="S427" s="54"/>
      <c r="T427" s="54"/>
      <c r="W427" s="54"/>
      <c r="X427" s="54"/>
      <c r="Y427" s="54"/>
      <c r="AB427" s="54"/>
      <c r="AC427" s="54"/>
      <c r="AD427" s="54"/>
      <c r="AG427" s="54"/>
      <c r="AH427" s="54"/>
      <c r="AI427" s="54"/>
    </row>
    <row r="428" spans="18:35" x14ac:dyDescent="0.3">
      <c r="R428" s="54"/>
      <c r="S428" s="54"/>
      <c r="T428" s="54"/>
      <c r="W428" s="54"/>
      <c r="X428" s="54"/>
      <c r="Y428" s="54"/>
      <c r="AB428" s="54"/>
      <c r="AC428" s="54"/>
      <c r="AD428" s="54"/>
      <c r="AG428" s="54"/>
      <c r="AH428" s="54"/>
      <c r="AI428" s="54"/>
    </row>
    <row r="429" spans="18:35" x14ac:dyDescent="0.3">
      <c r="R429" s="54"/>
      <c r="S429" s="54"/>
      <c r="T429" s="54"/>
      <c r="W429" s="54"/>
      <c r="X429" s="54"/>
      <c r="Y429" s="54"/>
      <c r="AB429" s="54"/>
      <c r="AC429" s="54"/>
      <c r="AD429" s="54"/>
      <c r="AG429" s="54"/>
      <c r="AH429" s="54"/>
      <c r="AI429" s="54"/>
    </row>
    <row r="430" spans="18:35" x14ac:dyDescent="0.3">
      <c r="R430" s="54"/>
      <c r="S430" s="54"/>
      <c r="T430" s="54"/>
      <c r="W430" s="54"/>
      <c r="X430" s="54"/>
      <c r="Y430" s="54"/>
      <c r="AB430" s="54"/>
      <c r="AC430" s="54"/>
      <c r="AD430" s="54"/>
      <c r="AG430" s="54"/>
      <c r="AH430" s="54"/>
      <c r="AI430" s="54"/>
    </row>
    <row r="431" spans="18:35" x14ac:dyDescent="0.3">
      <c r="R431" s="54"/>
      <c r="S431" s="54"/>
      <c r="T431" s="54"/>
      <c r="W431" s="54"/>
      <c r="X431" s="54"/>
      <c r="Y431" s="54"/>
      <c r="AB431" s="54"/>
      <c r="AC431" s="54"/>
      <c r="AD431" s="54"/>
      <c r="AG431" s="54"/>
      <c r="AH431" s="54"/>
      <c r="AI431" s="54"/>
    </row>
    <row r="432" spans="18:35" x14ac:dyDescent="0.3">
      <c r="R432" s="54"/>
      <c r="S432" s="54"/>
      <c r="T432" s="54"/>
      <c r="W432" s="54"/>
      <c r="X432" s="54"/>
      <c r="Y432" s="54"/>
      <c r="AB432" s="54"/>
      <c r="AC432" s="54"/>
      <c r="AD432" s="54"/>
      <c r="AG432" s="54"/>
      <c r="AH432" s="54"/>
      <c r="AI432" s="54"/>
    </row>
    <row r="433" spans="18:35" x14ac:dyDescent="0.3">
      <c r="R433" s="54"/>
      <c r="S433" s="54"/>
      <c r="T433" s="54"/>
      <c r="W433" s="54"/>
      <c r="X433" s="54"/>
      <c r="Y433" s="54"/>
      <c r="AB433" s="54"/>
      <c r="AC433" s="54"/>
      <c r="AD433" s="54"/>
      <c r="AG433" s="54"/>
      <c r="AH433" s="54"/>
      <c r="AI433" s="54"/>
    </row>
    <row r="434" spans="18:35" x14ac:dyDescent="0.3">
      <c r="R434" s="54"/>
      <c r="S434" s="54"/>
      <c r="T434" s="54"/>
      <c r="W434" s="54"/>
      <c r="X434" s="54"/>
      <c r="Y434" s="54"/>
      <c r="AB434" s="54"/>
      <c r="AC434" s="54"/>
      <c r="AD434" s="54"/>
      <c r="AG434" s="54"/>
      <c r="AH434" s="54"/>
      <c r="AI434" s="54"/>
    </row>
    <row r="435" spans="18:35" x14ac:dyDescent="0.3">
      <c r="R435" s="54"/>
      <c r="S435" s="54"/>
      <c r="T435" s="54"/>
      <c r="W435" s="54"/>
      <c r="X435" s="54"/>
      <c r="Y435" s="54"/>
      <c r="AB435" s="54"/>
      <c r="AC435" s="54"/>
      <c r="AD435" s="54"/>
      <c r="AG435" s="54"/>
      <c r="AH435" s="54"/>
      <c r="AI435" s="54"/>
    </row>
    <row r="436" spans="18:35" x14ac:dyDescent="0.3">
      <c r="R436" s="54"/>
      <c r="S436" s="54"/>
      <c r="T436" s="54"/>
      <c r="W436" s="54"/>
      <c r="X436" s="54"/>
      <c r="Y436" s="54"/>
      <c r="AB436" s="54"/>
      <c r="AC436" s="54"/>
      <c r="AD436" s="54"/>
      <c r="AG436" s="54"/>
      <c r="AH436" s="54"/>
      <c r="AI436" s="54"/>
    </row>
    <row r="437" spans="18:35" x14ac:dyDescent="0.3">
      <c r="R437" s="54"/>
      <c r="S437" s="54"/>
      <c r="T437" s="54"/>
      <c r="W437" s="54"/>
      <c r="X437" s="54"/>
      <c r="Y437" s="54"/>
      <c r="AB437" s="54"/>
      <c r="AC437" s="54"/>
      <c r="AD437" s="54"/>
      <c r="AG437" s="54"/>
      <c r="AH437" s="54"/>
      <c r="AI437" s="54"/>
    </row>
    <row r="438" spans="18:35" x14ac:dyDescent="0.3">
      <c r="R438" s="54"/>
      <c r="S438" s="54"/>
      <c r="T438" s="54"/>
      <c r="W438" s="54"/>
      <c r="X438" s="54"/>
      <c r="Y438" s="54"/>
      <c r="AB438" s="54"/>
      <c r="AC438" s="54"/>
      <c r="AD438" s="54"/>
      <c r="AG438" s="54"/>
      <c r="AH438" s="54"/>
      <c r="AI438" s="54"/>
    </row>
    <row r="439" spans="18:35" x14ac:dyDescent="0.3">
      <c r="R439" s="54"/>
      <c r="S439" s="54"/>
      <c r="T439" s="54"/>
      <c r="W439" s="54"/>
      <c r="X439" s="54"/>
      <c r="Y439" s="54"/>
      <c r="AB439" s="54"/>
      <c r="AC439" s="54"/>
      <c r="AD439" s="54"/>
      <c r="AG439" s="54"/>
      <c r="AH439" s="54"/>
      <c r="AI439" s="54"/>
    </row>
    <row r="440" spans="18:35" x14ac:dyDescent="0.3">
      <c r="R440" s="54"/>
      <c r="S440" s="54"/>
      <c r="T440" s="54"/>
      <c r="W440" s="54"/>
      <c r="X440" s="54"/>
      <c r="Y440" s="54"/>
      <c r="AB440" s="54"/>
      <c r="AC440" s="54"/>
      <c r="AD440" s="54"/>
      <c r="AG440" s="54"/>
      <c r="AH440" s="54"/>
      <c r="AI440" s="54"/>
    </row>
    <row r="441" spans="18:35" x14ac:dyDescent="0.3">
      <c r="R441" s="54"/>
      <c r="S441" s="54"/>
      <c r="T441" s="54"/>
      <c r="W441" s="54"/>
      <c r="X441" s="54"/>
      <c r="Y441" s="54"/>
      <c r="AB441" s="54"/>
      <c r="AC441" s="54"/>
      <c r="AD441" s="54"/>
      <c r="AG441" s="54"/>
      <c r="AH441" s="54"/>
      <c r="AI441" s="54"/>
    </row>
    <row r="442" spans="18:35" x14ac:dyDescent="0.3">
      <c r="R442" s="54"/>
      <c r="S442" s="54"/>
      <c r="T442" s="54"/>
      <c r="W442" s="54"/>
      <c r="X442" s="54"/>
      <c r="Y442" s="54"/>
      <c r="AB442" s="54"/>
      <c r="AC442" s="54"/>
      <c r="AD442" s="54"/>
      <c r="AG442" s="54"/>
      <c r="AH442" s="54"/>
      <c r="AI442" s="54"/>
    </row>
    <row r="443" spans="18:35" x14ac:dyDescent="0.3">
      <c r="R443" s="54"/>
      <c r="S443" s="54"/>
      <c r="T443" s="54"/>
      <c r="W443" s="54"/>
      <c r="X443" s="54"/>
      <c r="Y443" s="54"/>
      <c r="AB443" s="54"/>
      <c r="AC443" s="54"/>
      <c r="AD443" s="54"/>
      <c r="AG443" s="54"/>
      <c r="AH443" s="54"/>
      <c r="AI443" s="54"/>
    </row>
    <row r="444" spans="18:35" x14ac:dyDescent="0.3">
      <c r="R444" s="54"/>
      <c r="S444" s="54"/>
      <c r="T444" s="54"/>
      <c r="W444" s="54"/>
      <c r="X444" s="54"/>
      <c r="Y444" s="54"/>
      <c r="AB444" s="54"/>
      <c r="AC444" s="54"/>
      <c r="AD444" s="54"/>
      <c r="AG444" s="54"/>
      <c r="AH444" s="54"/>
      <c r="AI444" s="54"/>
    </row>
    <row r="445" spans="18:35" x14ac:dyDescent="0.3">
      <c r="R445" s="54"/>
      <c r="S445" s="54"/>
      <c r="T445" s="54"/>
      <c r="W445" s="54"/>
      <c r="X445" s="54"/>
      <c r="Y445" s="54"/>
      <c r="AB445" s="54"/>
      <c r="AC445" s="54"/>
      <c r="AD445" s="54"/>
      <c r="AG445" s="54"/>
      <c r="AH445" s="54"/>
      <c r="AI445" s="54"/>
    </row>
    <row r="446" spans="18:35" x14ac:dyDescent="0.3">
      <c r="R446" s="54"/>
      <c r="S446" s="54"/>
      <c r="T446" s="54"/>
      <c r="W446" s="54"/>
      <c r="X446" s="54"/>
      <c r="Y446" s="54"/>
      <c r="AB446" s="54"/>
      <c r="AC446" s="54"/>
      <c r="AD446" s="54"/>
      <c r="AG446" s="54"/>
      <c r="AH446" s="54"/>
      <c r="AI446" s="54"/>
    </row>
    <row r="447" spans="18:35" x14ac:dyDescent="0.3">
      <c r="R447" s="54"/>
      <c r="S447" s="54"/>
      <c r="T447" s="54"/>
      <c r="W447" s="54"/>
      <c r="X447" s="54"/>
      <c r="Y447" s="54"/>
      <c r="AB447" s="54"/>
      <c r="AC447" s="54"/>
      <c r="AD447" s="54"/>
      <c r="AG447" s="54"/>
      <c r="AH447" s="54"/>
      <c r="AI447" s="54"/>
    </row>
    <row r="448" spans="18:35" x14ac:dyDescent="0.3">
      <c r="R448" s="54"/>
      <c r="S448" s="54"/>
      <c r="T448" s="54"/>
      <c r="W448" s="54"/>
      <c r="X448" s="54"/>
      <c r="Y448" s="54"/>
      <c r="AB448" s="54"/>
      <c r="AC448" s="54"/>
      <c r="AD448" s="54"/>
      <c r="AG448" s="54"/>
      <c r="AH448" s="54"/>
      <c r="AI448" s="54"/>
    </row>
    <row r="449" spans="18:35" x14ac:dyDescent="0.3">
      <c r="R449" s="54"/>
      <c r="S449" s="54"/>
      <c r="T449" s="54"/>
      <c r="W449" s="54"/>
      <c r="X449" s="54"/>
      <c r="Y449" s="54"/>
      <c r="AB449" s="54"/>
      <c r="AC449" s="54"/>
      <c r="AD449" s="54"/>
      <c r="AG449" s="54"/>
      <c r="AH449" s="54"/>
      <c r="AI449" s="54"/>
    </row>
    <row r="450" spans="18:35" x14ac:dyDescent="0.3">
      <c r="R450" s="54"/>
      <c r="S450" s="54"/>
      <c r="T450" s="54"/>
      <c r="W450" s="54"/>
      <c r="X450" s="54"/>
      <c r="Y450" s="54"/>
      <c r="AB450" s="54"/>
      <c r="AC450" s="54"/>
      <c r="AD450" s="54"/>
      <c r="AG450" s="54"/>
      <c r="AH450" s="54"/>
      <c r="AI450" s="54"/>
    </row>
    <row r="451" spans="18:35" x14ac:dyDescent="0.3">
      <c r="R451" s="54"/>
      <c r="S451" s="54"/>
      <c r="T451" s="54"/>
      <c r="W451" s="54"/>
      <c r="X451" s="54"/>
      <c r="Y451" s="54"/>
      <c r="AB451" s="54"/>
      <c r="AC451" s="54"/>
      <c r="AD451" s="54"/>
      <c r="AG451" s="54"/>
      <c r="AH451" s="54"/>
      <c r="AI451" s="54"/>
    </row>
    <row r="452" spans="18:35" x14ac:dyDescent="0.3">
      <c r="R452" s="54"/>
      <c r="S452" s="54"/>
      <c r="T452" s="54"/>
      <c r="W452" s="54"/>
      <c r="X452" s="54"/>
      <c r="Y452" s="54"/>
      <c r="AB452" s="54"/>
      <c r="AC452" s="54"/>
      <c r="AD452" s="54"/>
      <c r="AG452" s="54"/>
      <c r="AH452" s="54"/>
      <c r="AI452" s="54"/>
    </row>
    <row r="453" spans="18:35" x14ac:dyDescent="0.3">
      <c r="R453" s="54"/>
      <c r="S453" s="54"/>
      <c r="T453" s="54"/>
      <c r="W453" s="54"/>
      <c r="X453" s="54"/>
      <c r="Y453" s="54"/>
      <c r="AB453" s="54"/>
      <c r="AC453" s="54"/>
      <c r="AD453" s="54"/>
      <c r="AG453" s="54"/>
      <c r="AH453" s="54"/>
      <c r="AI453" s="54"/>
    </row>
    <row r="454" spans="18:35" x14ac:dyDescent="0.3">
      <c r="R454" s="54"/>
      <c r="S454" s="54"/>
      <c r="T454" s="54"/>
      <c r="W454" s="54"/>
      <c r="X454" s="54"/>
      <c r="Y454" s="54"/>
      <c r="AB454" s="54"/>
      <c r="AC454" s="54"/>
      <c r="AD454" s="54"/>
      <c r="AG454" s="54"/>
      <c r="AH454" s="54"/>
      <c r="AI454" s="54"/>
    </row>
    <row r="455" spans="18:35" x14ac:dyDescent="0.3">
      <c r="R455" s="54"/>
      <c r="S455" s="54"/>
      <c r="T455" s="54"/>
      <c r="W455" s="54"/>
      <c r="X455" s="54"/>
      <c r="Y455" s="54"/>
      <c r="AB455" s="54"/>
      <c r="AC455" s="54"/>
      <c r="AD455" s="54"/>
      <c r="AG455" s="54"/>
      <c r="AH455" s="54"/>
      <c r="AI455" s="54"/>
    </row>
    <row r="456" spans="18:35" x14ac:dyDescent="0.3">
      <c r="R456" s="54"/>
      <c r="S456" s="54"/>
      <c r="T456" s="54"/>
      <c r="W456" s="54"/>
      <c r="X456" s="54"/>
      <c r="Y456" s="54"/>
      <c r="AB456" s="54"/>
      <c r="AC456" s="54"/>
      <c r="AD456" s="54"/>
      <c r="AG456" s="54"/>
      <c r="AH456" s="54"/>
      <c r="AI456" s="54"/>
    </row>
    <row r="457" spans="18:35" x14ac:dyDescent="0.3">
      <c r="AG457" s="54"/>
      <c r="AH457" s="54"/>
      <c r="AI457" s="54"/>
    </row>
  </sheetData>
  <sheetProtection algorithmName="SHA-512" hashValue="LuMi5JKQoEbHFolvfoY33ZCHLWAengPhdzvNG2LZ4iKaWlkCv2mIE5XiL7YvUCahCdbj3iJVZbNU6vdGgYxKxA==" saltValue="uXnht86mJ+Lzi0OBfJLlUg==" spinCount="100000" sheet="1" objects="1" scenarios="1" selectLockedCells="1"/>
  <mergeCells count="5">
    <mergeCell ref="F69:H69"/>
    <mergeCell ref="O3:P3"/>
    <mergeCell ref="A1:Q1"/>
    <mergeCell ref="F82:G82"/>
    <mergeCell ref="L35:Q36"/>
  </mergeCells>
  <phoneticPr fontId="5" type="noConversion"/>
  <conditionalFormatting sqref="E7 E9">
    <cfRule type="cellIs" dxfId="29" priority="39" stopIfTrue="1" operator="notBetween">
      <formula>3.5</formula>
      <formula>VIN_MAX_RATING</formula>
    </cfRule>
  </conditionalFormatting>
  <conditionalFormatting sqref="E10">
    <cfRule type="cellIs" dxfId="28" priority="36" stopIfTrue="1" operator="notBetween">
      <formula>0.6</formula>
      <formula>VOUT_MAX_RATING</formula>
    </cfRule>
  </conditionalFormatting>
  <conditionalFormatting sqref="E33">
    <cfRule type="cellIs" dxfId="27" priority="34" stopIfTrue="1" operator="lessThanOrEqual">
      <formula>0</formula>
    </cfRule>
  </conditionalFormatting>
  <conditionalFormatting sqref="E35">
    <cfRule type="cellIs" dxfId="26" priority="33" stopIfTrue="1" operator="lessThan">
      <formula>$E$34</formula>
    </cfRule>
  </conditionalFormatting>
  <conditionalFormatting sqref="E37">
    <cfRule type="cellIs" dxfId="25" priority="32" stopIfTrue="1" operator="greaterThan">
      <formula>$E$36</formula>
    </cfRule>
  </conditionalFormatting>
  <conditionalFormatting sqref="E42">
    <cfRule type="cellIs" dxfId="24" priority="30" stopIfTrue="1" operator="equal">
      <formula>0</formula>
    </cfRule>
  </conditionalFormatting>
  <conditionalFormatting sqref="E44">
    <cfRule type="cellIs" dxfId="23" priority="29" stopIfTrue="1" operator="lessThan">
      <formula>$E$43</formula>
    </cfRule>
  </conditionalFormatting>
  <conditionalFormatting sqref="E46">
    <cfRule type="cellIs" dxfId="22" priority="27" stopIfTrue="1" operator="greaterThan">
      <formula>$E$45</formula>
    </cfRule>
    <cfRule type="cellIs" dxfId="21" priority="28" stopIfTrue="1" operator="equal">
      <formula>0</formula>
    </cfRule>
  </conditionalFormatting>
  <conditionalFormatting sqref="E51">
    <cfRule type="cellIs" dxfId="20" priority="23" operator="lessThan">
      <formula>0.1</formula>
    </cfRule>
  </conditionalFormatting>
  <conditionalFormatting sqref="E12">
    <cfRule type="cellIs" dxfId="19" priority="42" stopIfTrue="1" operator="notBetween">
      <formula>2500</formula>
      <formula>100</formula>
    </cfRule>
  </conditionalFormatting>
  <conditionalFormatting sqref="E55">
    <cfRule type="expression" dxfId="18" priority="21">
      <formula>DITHER=2</formula>
    </cfRule>
  </conditionalFormatting>
  <conditionalFormatting sqref="D56">
    <cfRule type="expression" dxfId="17" priority="20">
      <formula>DITHER=2</formula>
    </cfRule>
  </conditionalFormatting>
  <conditionalFormatting sqref="D55">
    <cfRule type="expression" dxfId="16" priority="19">
      <formula>DITHER=2</formula>
    </cfRule>
  </conditionalFormatting>
  <conditionalFormatting sqref="E8">
    <cfRule type="cellIs" dxfId="15" priority="43" operator="notBetween">
      <formula>$E$7</formula>
      <formula>$E$9</formula>
    </cfRule>
  </conditionalFormatting>
  <conditionalFormatting sqref="J10">
    <cfRule type="cellIs" dxfId="14" priority="16" stopIfTrue="1" operator="notBetween">
      <formula>0.6</formula>
      <formula>VOUT_MAX_RATING</formula>
    </cfRule>
  </conditionalFormatting>
  <conditionalFormatting sqref="J33">
    <cfRule type="cellIs" dxfId="13" priority="15" stopIfTrue="1" operator="lessThanOrEqual">
      <formula>0</formula>
    </cfRule>
  </conditionalFormatting>
  <conditionalFormatting sqref="J35">
    <cfRule type="cellIs" dxfId="12" priority="14" stopIfTrue="1" operator="lessThan">
      <formula>$J$34</formula>
    </cfRule>
  </conditionalFormatting>
  <conditionalFormatting sqref="J37">
    <cfRule type="cellIs" dxfId="11" priority="13" stopIfTrue="1" operator="greaterThan">
      <formula>$J$36</formula>
    </cfRule>
  </conditionalFormatting>
  <conditionalFormatting sqref="E53">
    <cfRule type="cellIs" dxfId="10" priority="12" operator="lessThan">
      <formula>0</formula>
    </cfRule>
  </conditionalFormatting>
  <conditionalFormatting sqref="A73:G75">
    <cfRule type="expression" dxfId="9" priority="11">
      <formula>MODE=2</formula>
    </cfRule>
  </conditionalFormatting>
  <conditionalFormatting sqref="G61:K66 G33:K39 G17:K24 G27:K30 G10:K11">
    <cfRule type="expression" dxfId="8" priority="8">
      <formula>MODE=2</formula>
    </cfRule>
  </conditionalFormatting>
  <conditionalFormatting sqref="D65">
    <cfRule type="expression" dxfId="7" priority="9">
      <formula>OR((Ch1_VOUT=1),(Ch1_VOUT=2))</formula>
    </cfRule>
  </conditionalFormatting>
  <conditionalFormatting sqref="I65">
    <cfRule type="expression" dxfId="6" priority="10">
      <formula>OR((Ch2_VOUT=1),(Ch2_VOUT=2))</formula>
    </cfRule>
  </conditionalFormatting>
  <conditionalFormatting sqref="E65:F66">
    <cfRule type="expression" dxfId="5" priority="7">
      <formula>OR((Ch1_VOUT=1),(Ch1_VOUT=2))</formula>
    </cfRule>
  </conditionalFormatting>
  <conditionalFormatting sqref="J65:K66">
    <cfRule type="expression" dxfId="4" priority="6">
      <formula>OR((Ch2_VOUT=1),(Ch2_VOUT=2))</formula>
    </cfRule>
  </conditionalFormatting>
  <conditionalFormatting sqref="F97:F98">
    <cfRule type="expression" dxfId="3" priority="5">
      <formula>MODE=2</formula>
    </cfRule>
  </conditionalFormatting>
  <conditionalFormatting sqref="D81 G80">
    <cfRule type="expression" dxfId="2" priority="4">
      <formula>MODE=2</formula>
    </cfRule>
  </conditionalFormatting>
  <conditionalFormatting sqref="H80:J94">
    <cfRule type="expression" dxfId="1" priority="2">
      <formula>MODE=2</formula>
    </cfRule>
  </conditionalFormatting>
  <conditionalFormatting sqref="D19:F19 D21:F21 D18:F18 I18:K18 I19:K19 I21:K21">
    <cfRule type="expression" dxfId="0" priority="1">
      <formula>SENSING_TYPE=2</formula>
    </cfRule>
  </conditionalFormatting>
  <hyperlinks>
    <hyperlink ref="O2" r:id="rId1" xr:uid="{00000000-0004-0000-0000-000000000000}"/>
    <hyperlink ref="C3" r:id="rId2" xr:uid="{00000000-0004-0000-0000-000001000000}"/>
  </hyperlinks>
  <printOptions horizontalCentered="1" verticalCentered="1"/>
  <pageMargins left="0.1" right="0.1" top="0.1" bottom="0.1" header="0.25" footer="0.25"/>
  <pageSetup scale="44" orientation="portrait" r:id="rId3"/>
  <headerFooter alignWithMargins="0"/>
  <rowBreaks count="1" manualBreakCount="1">
    <brk id="109" max="16383" man="1"/>
  </rowBreaks>
  <ignoredErrors>
    <ignoredError sqref="E68"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700372" r:id="rId7" name="Drop Down 3028">
              <controlPr defaultSize="0" autoLine="0" autoPict="0">
                <anchor moveWithCells="1">
                  <from>
                    <xdr:col>16</xdr:col>
                    <xdr:colOff>4826000</xdr:colOff>
                    <xdr:row>0</xdr:row>
                    <xdr:rowOff>482600</xdr:rowOff>
                  </from>
                  <to>
                    <xdr:col>16</xdr:col>
                    <xdr:colOff>5207000</xdr:colOff>
                    <xdr:row>1</xdr:row>
                    <xdr:rowOff>139700</xdr:rowOff>
                  </to>
                </anchor>
              </controlPr>
            </control>
          </mc:Choice>
        </mc:AlternateContent>
        <mc:AlternateContent xmlns:mc="http://schemas.openxmlformats.org/markup-compatibility/2006">
          <mc:Choice Requires="x14">
            <control shapeId="673288" r:id="rId8" name="Button 520">
              <controlPr locked="0" defaultSize="0" print="0" autoFill="0" autoPict="0" macro="[0]!FIXValues">
                <anchor moveWithCells="1" sizeWithCells="1">
                  <from>
                    <xdr:col>2</xdr:col>
                    <xdr:colOff>311150</xdr:colOff>
                    <xdr:row>69</xdr:row>
                    <xdr:rowOff>76200</xdr:rowOff>
                  </from>
                  <to>
                    <xdr:col>2</xdr:col>
                    <xdr:colOff>901700</xdr:colOff>
                    <xdr:row>71</xdr:row>
                    <xdr:rowOff>139700</xdr:rowOff>
                  </to>
                </anchor>
              </controlPr>
            </control>
          </mc:Choice>
        </mc:AlternateContent>
        <mc:AlternateContent xmlns:mc="http://schemas.openxmlformats.org/markup-compatibility/2006">
          <mc:Choice Requires="x14">
            <control shapeId="673260" r:id="rId9" name="Button 492">
              <controlPr locked="0" defaultSize="0" print="0" autoFill="0" autoPict="0" macro="[0]!RESETValues">
                <anchor moveWithCells="1" sizeWithCells="1">
                  <from>
                    <xdr:col>2</xdr:col>
                    <xdr:colOff>311150</xdr:colOff>
                    <xdr:row>69</xdr:row>
                    <xdr:rowOff>76200</xdr:rowOff>
                  </from>
                  <to>
                    <xdr:col>2</xdr:col>
                    <xdr:colOff>901700</xdr:colOff>
                    <xdr:row>71</xdr:row>
                    <xdr:rowOff>139700</xdr:rowOff>
                  </to>
                </anchor>
              </controlPr>
            </control>
          </mc:Choice>
        </mc:AlternateContent>
        <mc:AlternateContent xmlns:mc="http://schemas.openxmlformats.org/markup-compatibility/2006">
          <mc:Choice Requires="x14">
            <control shapeId="672829" r:id="rId10" name="Spinner 61">
              <controlPr defaultSize="0" autoPict="0">
                <anchor moveWithCells="1" sizeWithCells="1">
                  <from>
                    <xdr:col>5</xdr:col>
                    <xdr:colOff>6350</xdr:colOff>
                    <xdr:row>62</xdr:row>
                    <xdr:rowOff>0</xdr:rowOff>
                  </from>
                  <to>
                    <xdr:col>5</xdr:col>
                    <xdr:colOff>184150</xdr:colOff>
                    <xdr:row>62</xdr:row>
                    <xdr:rowOff>184150</xdr:rowOff>
                  </to>
                </anchor>
              </controlPr>
            </control>
          </mc:Choice>
        </mc:AlternateContent>
        <mc:AlternateContent xmlns:mc="http://schemas.openxmlformats.org/markup-compatibility/2006">
          <mc:Choice Requires="x14">
            <control shapeId="672895" r:id="rId11" name="Spinner 127">
              <controlPr defaultSize="0" autoPict="0">
                <anchor moveWithCells="1" sizeWithCells="1">
                  <from>
                    <xdr:col>5</xdr:col>
                    <xdr:colOff>120650</xdr:colOff>
                    <xdr:row>7</xdr:row>
                    <xdr:rowOff>6350</xdr:rowOff>
                  </from>
                  <to>
                    <xdr:col>5</xdr:col>
                    <xdr:colOff>304800</xdr:colOff>
                    <xdr:row>8</xdr:row>
                    <xdr:rowOff>25400</xdr:rowOff>
                  </to>
                </anchor>
              </controlPr>
            </control>
          </mc:Choice>
        </mc:AlternateContent>
        <mc:AlternateContent xmlns:mc="http://schemas.openxmlformats.org/markup-compatibility/2006">
          <mc:Choice Requires="x14">
            <control shapeId="672924" r:id="rId12" name="Drop Down 156">
              <controlPr defaultSize="0" autoLine="0" autoPict="0">
                <anchor>
                  <from>
                    <xdr:col>11</xdr:col>
                    <xdr:colOff>374650</xdr:colOff>
                    <xdr:row>77</xdr:row>
                    <xdr:rowOff>31750</xdr:rowOff>
                  </from>
                  <to>
                    <xdr:col>13</xdr:col>
                    <xdr:colOff>425450</xdr:colOff>
                    <xdr:row>78</xdr:row>
                    <xdr:rowOff>107950</xdr:rowOff>
                  </to>
                </anchor>
              </controlPr>
            </control>
          </mc:Choice>
        </mc:AlternateContent>
        <mc:AlternateContent xmlns:mc="http://schemas.openxmlformats.org/markup-compatibility/2006">
          <mc:Choice Requires="x14">
            <control shapeId="673029" r:id="rId13" name="Drop Down 261">
              <controlPr defaultSize="0" autoLine="0" autoPict="0">
                <anchor moveWithCells="1">
                  <from>
                    <xdr:col>0</xdr:col>
                    <xdr:colOff>6350</xdr:colOff>
                    <xdr:row>54</xdr:row>
                    <xdr:rowOff>0</xdr:rowOff>
                  </from>
                  <to>
                    <xdr:col>1</xdr:col>
                    <xdr:colOff>482600</xdr:colOff>
                    <xdr:row>55</xdr:row>
                    <xdr:rowOff>0</xdr:rowOff>
                  </to>
                </anchor>
              </controlPr>
            </control>
          </mc:Choice>
        </mc:AlternateContent>
        <mc:AlternateContent xmlns:mc="http://schemas.openxmlformats.org/markup-compatibility/2006">
          <mc:Choice Requires="x14">
            <control shapeId="685346" r:id="rId14" name="Drop Down 1314">
              <controlPr defaultSize="0" autoLine="0" autoPict="0">
                <anchor moveWithCells="1">
                  <from>
                    <xdr:col>2</xdr:col>
                    <xdr:colOff>520700</xdr:colOff>
                    <xdr:row>5</xdr:row>
                    <xdr:rowOff>6350</xdr:rowOff>
                  </from>
                  <to>
                    <xdr:col>5</xdr:col>
                    <xdr:colOff>101600</xdr:colOff>
                    <xdr:row>6</xdr:row>
                    <xdr:rowOff>6350</xdr:rowOff>
                  </to>
                </anchor>
              </controlPr>
            </control>
          </mc:Choice>
        </mc:AlternateContent>
        <mc:AlternateContent xmlns:mc="http://schemas.openxmlformats.org/markup-compatibility/2006">
          <mc:Choice Requires="x14">
            <control shapeId="685442" r:id="rId15" name="Drop Down 1410">
              <controlPr defaultSize="0" autoLine="0" autoPict="0">
                <anchor moveWithCells="1">
                  <from>
                    <xdr:col>0</xdr:col>
                    <xdr:colOff>6350</xdr:colOff>
                    <xdr:row>56</xdr:row>
                    <xdr:rowOff>0</xdr:rowOff>
                  </from>
                  <to>
                    <xdr:col>1</xdr:col>
                    <xdr:colOff>76200</xdr:colOff>
                    <xdr:row>56</xdr:row>
                    <xdr:rowOff>184150</xdr:rowOff>
                  </to>
                </anchor>
              </controlPr>
            </control>
          </mc:Choice>
        </mc:AlternateContent>
        <mc:AlternateContent xmlns:mc="http://schemas.openxmlformats.org/markup-compatibility/2006">
          <mc:Choice Requires="x14">
            <control shapeId="685525" r:id="rId16" name="Spinner 1493">
              <controlPr defaultSize="0" autoPict="0">
                <anchor moveWithCells="1" sizeWithCells="1">
                  <from>
                    <xdr:col>10</xdr:col>
                    <xdr:colOff>6350</xdr:colOff>
                    <xdr:row>62</xdr:row>
                    <xdr:rowOff>0</xdr:rowOff>
                  </from>
                  <to>
                    <xdr:col>10</xdr:col>
                    <xdr:colOff>184150</xdr:colOff>
                    <xdr:row>62</xdr:row>
                    <xdr:rowOff>184150</xdr:rowOff>
                  </to>
                </anchor>
              </controlPr>
            </control>
          </mc:Choice>
        </mc:AlternateContent>
        <mc:AlternateContent xmlns:mc="http://schemas.openxmlformats.org/markup-compatibility/2006">
          <mc:Choice Requires="x14">
            <control shapeId="685729" r:id="rId17" name="Drop Down 1697">
              <controlPr defaultSize="0" autoLine="0" autoPict="0">
                <anchor>
                  <from>
                    <xdr:col>11</xdr:col>
                    <xdr:colOff>69850</xdr:colOff>
                    <xdr:row>41</xdr:row>
                    <xdr:rowOff>76200</xdr:rowOff>
                  </from>
                  <to>
                    <xdr:col>12</xdr:col>
                    <xdr:colOff>336550</xdr:colOff>
                    <xdr:row>43</xdr:row>
                    <xdr:rowOff>0</xdr:rowOff>
                  </to>
                </anchor>
              </controlPr>
            </control>
          </mc:Choice>
        </mc:AlternateContent>
        <mc:AlternateContent xmlns:mc="http://schemas.openxmlformats.org/markup-compatibility/2006">
          <mc:Choice Requires="x14">
            <control shapeId="685906" r:id="rId18" name="Drop Down 1874">
              <controlPr defaultSize="0" autoLine="0" autoPict="0">
                <anchor moveWithCells="1">
                  <from>
                    <xdr:col>0</xdr:col>
                    <xdr:colOff>25400</xdr:colOff>
                    <xdr:row>102</xdr:row>
                    <xdr:rowOff>0</xdr:rowOff>
                  </from>
                  <to>
                    <xdr:col>2</xdr:col>
                    <xdr:colOff>6350</xdr:colOff>
                    <xdr:row>103</xdr:row>
                    <xdr:rowOff>0</xdr:rowOff>
                  </to>
                </anchor>
              </controlPr>
            </control>
          </mc:Choice>
        </mc:AlternateContent>
        <mc:AlternateContent xmlns:mc="http://schemas.openxmlformats.org/markup-compatibility/2006">
          <mc:Choice Requires="x14">
            <control shapeId="700259" r:id="rId19" name="Drop Down 2915">
              <controlPr locked="0" defaultSize="0" autoLine="0" autoPict="0">
                <anchor moveWithCells="1">
                  <from>
                    <xdr:col>6</xdr:col>
                    <xdr:colOff>374650</xdr:colOff>
                    <xdr:row>4</xdr:row>
                    <xdr:rowOff>6350</xdr:rowOff>
                  </from>
                  <to>
                    <xdr:col>7</xdr:col>
                    <xdr:colOff>520700</xdr:colOff>
                    <xdr:row>4</xdr:row>
                    <xdr:rowOff>234950</xdr:rowOff>
                  </to>
                </anchor>
              </controlPr>
            </control>
          </mc:Choice>
        </mc:AlternateContent>
        <mc:AlternateContent xmlns:mc="http://schemas.openxmlformats.org/markup-compatibility/2006">
          <mc:Choice Requires="x14">
            <control shapeId="713934" r:id="rId20" name="Drop Down 3278">
              <controlPr locked="0" defaultSize="0" autoLine="0" autoPict="0">
                <anchor moveWithCells="1">
                  <from>
                    <xdr:col>5</xdr:col>
                    <xdr:colOff>222250</xdr:colOff>
                    <xdr:row>15</xdr:row>
                    <xdr:rowOff>6350</xdr:rowOff>
                  </from>
                  <to>
                    <xdr:col>7</xdr:col>
                    <xdr:colOff>469900</xdr:colOff>
                    <xdr:row>15</xdr:row>
                    <xdr:rowOff>234950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0000"/>
  </sheetPr>
  <dimension ref="A1:M81"/>
  <sheetViews>
    <sheetView topLeftCell="A42" zoomScaleNormal="100" workbookViewId="0">
      <selection activeCell="D77" sqref="D77"/>
    </sheetView>
  </sheetViews>
  <sheetFormatPr defaultRowHeight="12.5" x14ac:dyDescent="0.25"/>
  <cols>
    <col min="1" max="1" width="9.54296875" style="214" customWidth="1"/>
    <col min="2" max="2" width="20.36328125" style="214" customWidth="1"/>
    <col min="3" max="3" width="16.08984375" style="214" customWidth="1"/>
    <col min="4" max="4" width="20.08984375" style="214" customWidth="1"/>
    <col min="5" max="5" width="17.36328125" style="214" customWidth="1"/>
    <col min="6" max="6" width="20.54296875" style="214" bestFit="1" customWidth="1"/>
    <col min="7" max="7" width="9.6328125" style="214" customWidth="1"/>
    <col min="8" max="8" width="16.08984375" style="214" customWidth="1"/>
    <col min="9" max="9" width="17.36328125" style="214" customWidth="1"/>
    <col min="10" max="10" width="18.453125" style="214" customWidth="1"/>
    <col min="11" max="11" width="26.453125" style="214" customWidth="1"/>
    <col min="12" max="12" width="9.08984375" style="214"/>
    <col min="13" max="13" width="9.08984375" style="215"/>
    <col min="14" max="256" width="9.08984375" style="214"/>
    <col min="257" max="257" width="8.6328125" style="214" bestFit="1" customWidth="1"/>
    <col min="258" max="258" width="13.36328125" style="214" customWidth="1"/>
    <col min="259" max="259" width="16.08984375" style="214" bestFit="1" customWidth="1"/>
    <col min="260" max="260" width="23.54296875" style="214" customWidth="1"/>
    <col min="261" max="261" width="17.36328125" style="214" customWidth="1"/>
    <col min="262" max="262" width="20.54296875" style="214" bestFit="1" customWidth="1"/>
    <col min="263" max="263" width="17.08984375" style="214" customWidth="1"/>
    <col min="264" max="264" width="21.90625" style="214" bestFit="1" customWidth="1"/>
    <col min="265" max="265" width="17.08984375" style="214" bestFit="1" customWidth="1"/>
    <col min="266" max="266" width="18.08984375" style="214" bestFit="1" customWidth="1"/>
    <col min="267" max="267" width="26.453125" style="214" customWidth="1"/>
    <col min="268" max="512" width="9.08984375" style="214"/>
    <col min="513" max="513" width="8.6328125" style="214" bestFit="1" customWidth="1"/>
    <col min="514" max="514" width="13.36328125" style="214" customWidth="1"/>
    <col min="515" max="515" width="16.08984375" style="214" bestFit="1" customWidth="1"/>
    <col min="516" max="516" width="23.54296875" style="214" customWidth="1"/>
    <col min="517" max="517" width="17.36328125" style="214" customWidth="1"/>
    <col min="518" max="518" width="20.54296875" style="214" bestFit="1" customWidth="1"/>
    <col min="519" max="519" width="17.08984375" style="214" customWidth="1"/>
    <col min="520" max="520" width="21.90625" style="214" bestFit="1" customWidth="1"/>
    <col min="521" max="521" width="17.08984375" style="214" bestFit="1" customWidth="1"/>
    <col min="522" max="522" width="18.08984375" style="214" bestFit="1" customWidth="1"/>
    <col min="523" max="523" width="26.453125" style="214" customWidth="1"/>
    <col min="524" max="768" width="9.08984375" style="214"/>
    <col min="769" max="769" width="8.6328125" style="214" bestFit="1" customWidth="1"/>
    <col min="770" max="770" width="13.36328125" style="214" customWidth="1"/>
    <col min="771" max="771" width="16.08984375" style="214" bestFit="1" customWidth="1"/>
    <col min="772" max="772" width="23.54296875" style="214" customWidth="1"/>
    <col min="773" max="773" width="17.36328125" style="214" customWidth="1"/>
    <col min="774" max="774" width="20.54296875" style="214" bestFit="1" customWidth="1"/>
    <col min="775" max="775" width="17.08984375" style="214" customWidth="1"/>
    <col min="776" max="776" width="21.90625" style="214" bestFit="1" customWidth="1"/>
    <col min="777" max="777" width="17.08984375" style="214" bestFit="1" customWidth="1"/>
    <col min="778" max="778" width="18.08984375" style="214" bestFit="1" customWidth="1"/>
    <col min="779" max="779" width="26.453125" style="214" customWidth="1"/>
    <col min="780" max="1024" width="9.08984375" style="214"/>
    <col min="1025" max="1025" width="8.6328125" style="214" bestFit="1" customWidth="1"/>
    <col min="1026" max="1026" width="13.36328125" style="214" customWidth="1"/>
    <col min="1027" max="1027" width="16.08984375" style="214" bestFit="1" customWidth="1"/>
    <col min="1028" max="1028" width="23.54296875" style="214" customWidth="1"/>
    <col min="1029" max="1029" width="17.36328125" style="214" customWidth="1"/>
    <col min="1030" max="1030" width="20.54296875" style="214" bestFit="1" customWidth="1"/>
    <col min="1031" max="1031" width="17.08984375" style="214" customWidth="1"/>
    <col min="1032" max="1032" width="21.90625" style="214" bestFit="1" customWidth="1"/>
    <col min="1033" max="1033" width="17.08984375" style="214" bestFit="1" customWidth="1"/>
    <col min="1034" max="1034" width="18.08984375" style="214" bestFit="1" customWidth="1"/>
    <col min="1035" max="1035" width="26.453125" style="214" customWidth="1"/>
    <col min="1036" max="1280" width="9.08984375" style="214"/>
    <col min="1281" max="1281" width="8.6328125" style="214" bestFit="1" customWidth="1"/>
    <col min="1282" max="1282" width="13.36328125" style="214" customWidth="1"/>
    <col min="1283" max="1283" width="16.08984375" style="214" bestFit="1" customWidth="1"/>
    <col min="1284" max="1284" width="23.54296875" style="214" customWidth="1"/>
    <col min="1285" max="1285" width="17.36328125" style="214" customWidth="1"/>
    <col min="1286" max="1286" width="20.54296875" style="214" bestFit="1" customWidth="1"/>
    <col min="1287" max="1287" width="17.08984375" style="214" customWidth="1"/>
    <col min="1288" max="1288" width="21.90625" style="214" bestFit="1" customWidth="1"/>
    <col min="1289" max="1289" width="17.08984375" style="214" bestFit="1" customWidth="1"/>
    <col min="1290" max="1290" width="18.08984375" style="214" bestFit="1" customWidth="1"/>
    <col min="1291" max="1291" width="26.453125" style="214" customWidth="1"/>
    <col min="1292" max="1536" width="9.08984375" style="214"/>
    <col min="1537" max="1537" width="8.6328125" style="214" bestFit="1" customWidth="1"/>
    <col min="1538" max="1538" width="13.36328125" style="214" customWidth="1"/>
    <col min="1539" max="1539" width="16.08984375" style="214" bestFit="1" customWidth="1"/>
    <col min="1540" max="1540" width="23.54296875" style="214" customWidth="1"/>
    <col min="1541" max="1541" width="17.36328125" style="214" customWidth="1"/>
    <col min="1542" max="1542" width="20.54296875" style="214" bestFit="1" customWidth="1"/>
    <col min="1543" max="1543" width="17.08984375" style="214" customWidth="1"/>
    <col min="1544" max="1544" width="21.90625" style="214" bestFit="1" customWidth="1"/>
    <col min="1545" max="1545" width="17.08984375" style="214" bestFit="1" customWidth="1"/>
    <col min="1546" max="1546" width="18.08984375" style="214" bestFit="1" customWidth="1"/>
    <col min="1547" max="1547" width="26.453125" style="214" customWidth="1"/>
    <col min="1548" max="1792" width="9.08984375" style="214"/>
    <col min="1793" max="1793" width="8.6328125" style="214" bestFit="1" customWidth="1"/>
    <col min="1794" max="1794" width="13.36328125" style="214" customWidth="1"/>
    <col min="1795" max="1795" width="16.08984375" style="214" bestFit="1" customWidth="1"/>
    <col min="1796" max="1796" width="23.54296875" style="214" customWidth="1"/>
    <col min="1797" max="1797" width="17.36328125" style="214" customWidth="1"/>
    <col min="1798" max="1798" width="20.54296875" style="214" bestFit="1" customWidth="1"/>
    <col min="1799" max="1799" width="17.08984375" style="214" customWidth="1"/>
    <col min="1800" max="1800" width="21.90625" style="214" bestFit="1" customWidth="1"/>
    <col min="1801" max="1801" width="17.08984375" style="214" bestFit="1" customWidth="1"/>
    <col min="1802" max="1802" width="18.08984375" style="214" bestFit="1" customWidth="1"/>
    <col min="1803" max="1803" width="26.453125" style="214" customWidth="1"/>
    <col min="1804" max="2048" width="9.08984375" style="214"/>
    <col min="2049" max="2049" width="8.6328125" style="214" bestFit="1" customWidth="1"/>
    <col min="2050" max="2050" width="13.36328125" style="214" customWidth="1"/>
    <col min="2051" max="2051" width="16.08984375" style="214" bestFit="1" customWidth="1"/>
    <col min="2052" max="2052" width="23.54296875" style="214" customWidth="1"/>
    <col min="2053" max="2053" width="17.36328125" style="214" customWidth="1"/>
    <col min="2054" max="2054" width="20.54296875" style="214" bestFit="1" customWidth="1"/>
    <col min="2055" max="2055" width="17.08984375" style="214" customWidth="1"/>
    <col min="2056" max="2056" width="21.90625" style="214" bestFit="1" customWidth="1"/>
    <col min="2057" max="2057" width="17.08984375" style="214" bestFit="1" customWidth="1"/>
    <col min="2058" max="2058" width="18.08984375" style="214" bestFit="1" customWidth="1"/>
    <col min="2059" max="2059" width="26.453125" style="214" customWidth="1"/>
    <col min="2060" max="2304" width="9.08984375" style="214"/>
    <col min="2305" max="2305" width="8.6328125" style="214" bestFit="1" customWidth="1"/>
    <col min="2306" max="2306" width="13.36328125" style="214" customWidth="1"/>
    <col min="2307" max="2307" width="16.08984375" style="214" bestFit="1" customWidth="1"/>
    <col min="2308" max="2308" width="23.54296875" style="214" customWidth="1"/>
    <col min="2309" max="2309" width="17.36328125" style="214" customWidth="1"/>
    <col min="2310" max="2310" width="20.54296875" style="214" bestFit="1" customWidth="1"/>
    <col min="2311" max="2311" width="17.08984375" style="214" customWidth="1"/>
    <col min="2312" max="2312" width="21.90625" style="214" bestFit="1" customWidth="1"/>
    <col min="2313" max="2313" width="17.08984375" style="214" bestFit="1" customWidth="1"/>
    <col min="2314" max="2314" width="18.08984375" style="214" bestFit="1" customWidth="1"/>
    <col min="2315" max="2315" width="26.453125" style="214" customWidth="1"/>
    <col min="2316" max="2560" width="9.08984375" style="214"/>
    <col min="2561" max="2561" width="8.6328125" style="214" bestFit="1" customWidth="1"/>
    <col min="2562" max="2562" width="13.36328125" style="214" customWidth="1"/>
    <col min="2563" max="2563" width="16.08984375" style="214" bestFit="1" customWidth="1"/>
    <col min="2564" max="2564" width="23.54296875" style="214" customWidth="1"/>
    <col min="2565" max="2565" width="17.36328125" style="214" customWidth="1"/>
    <col min="2566" max="2566" width="20.54296875" style="214" bestFit="1" customWidth="1"/>
    <col min="2567" max="2567" width="17.08984375" style="214" customWidth="1"/>
    <col min="2568" max="2568" width="21.90625" style="214" bestFit="1" customWidth="1"/>
    <col min="2569" max="2569" width="17.08984375" style="214" bestFit="1" customWidth="1"/>
    <col min="2570" max="2570" width="18.08984375" style="214" bestFit="1" customWidth="1"/>
    <col min="2571" max="2571" width="26.453125" style="214" customWidth="1"/>
    <col min="2572" max="2816" width="9.08984375" style="214"/>
    <col min="2817" max="2817" width="8.6328125" style="214" bestFit="1" customWidth="1"/>
    <col min="2818" max="2818" width="13.36328125" style="214" customWidth="1"/>
    <col min="2819" max="2819" width="16.08984375" style="214" bestFit="1" customWidth="1"/>
    <col min="2820" max="2820" width="23.54296875" style="214" customWidth="1"/>
    <col min="2821" max="2821" width="17.36328125" style="214" customWidth="1"/>
    <col min="2822" max="2822" width="20.54296875" style="214" bestFit="1" customWidth="1"/>
    <col min="2823" max="2823" width="17.08984375" style="214" customWidth="1"/>
    <col min="2824" max="2824" width="21.90625" style="214" bestFit="1" customWidth="1"/>
    <col min="2825" max="2825" width="17.08984375" style="214" bestFit="1" customWidth="1"/>
    <col min="2826" max="2826" width="18.08984375" style="214" bestFit="1" customWidth="1"/>
    <col min="2827" max="2827" width="26.453125" style="214" customWidth="1"/>
    <col min="2828" max="3072" width="9.08984375" style="214"/>
    <col min="3073" max="3073" width="8.6328125" style="214" bestFit="1" customWidth="1"/>
    <col min="3074" max="3074" width="13.36328125" style="214" customWidth="1"/>
    <col min="3075" max="3075" width="16.08984375" style="214" bestFit="1" customWidth="1"/>
    <col min="3076" max="3076" width="23.54296875" style="214" customWidth="1"/>
    <col min="3077" max="3077" width="17.36328125" style="214" customWidth="1"/>
    <col min="3078" max="3078" width="20.54296875" style="214" bestFit="1" customWidth="1"/>
    <col min="3079" max="3079" width="17.08984375" style="214" customWidth="1"/>
    <col min="3080" max="3080" width="21.90625" style="214" bestFit="1" customWidth="1"/>
    <col min="3081" max="3081" width="17.08984375" style="214" bestFit="1" customWidth="1"/>
    <col min="3082" max="3082" width="18.08984375" style="214" bestFit="1" customWidth="1"/>
    <col min="3083" max="3083" width="26.453125" style="214" customWidth="1"/>
    <col min="3084" max="3328" width="9.08984375" style="214"/>
    <col min="3329" max="3329" width="8.6328125" style="214" bestFit="1" customWidth="1"/>
    <col min="3330" max="3330" width="13.36328125" style="214" customWidth="1"/>
    <col min="3331" max="3331" width="16.08984375" style="214" bestFit="1" customWidth="1"/>
    <col min="3332" max="3332" width="23.54296875" style="214" customWidth="1"/>
    <col min="3333" max="3333" width="17.36328125" style="214" customWidth="1"/>
    <col min="3334" max="3334" width="20.54296875" style="214" bestFit="1" customWidth="1"/>
    <col min="3335" max="3335" width="17.08984375" style="214" customWidth="1"/>
    <col min="3336" max="3336" width="21.90625" style="214" bestFit="1" customWidth="1"/>
    <col min="3337" max="3337" width="17.08984375" style="214" bestFit="1" customWidth="1"/>
    <col min="3338" max="3338" width="18.08984375" style="214" bestFit="1" customWidth="1"/>
    <col min="3339" max="3339" width="26.453125" style="214" customWidth="1"/>
    <col min="3340" max="3584" width="9.08984375" style="214"/>
    <col min="3585" max="3585" width="8.6328125" style="214" bestFit="1" customWidth="1"/>
    <col min="3586" max="3586" width="13.36328125" style="214" customWidth="1"/>
    <col min="3587" max="3587" width="16.08984375" style="214" bestFit="1" customWidth="1"/>
    <col min="3588" max="3588" width="23.54296875" style="214" customWidth="1"/>
    <col min="3589" max="3589" width="17.36328125" style="214" customWidth="1"/>
    <col min="3590" max="3590" width="20.54296875" style="214" bestFit="1" customWidth="1"/>
    <col min="3591" max="3591" width="17.08984375" style="214" customWidth="1"/>
    <col min="3592" max="3592" width="21.90625" style="214" bestFit="1" customWidth="1"/>
    <col min="3593" max="3593" width="17.08984375" style="214" bestFit="1" customWidth="1"/>
    <col min="3594" max="3594" width="18.08984375" style="214" bestFit="1" customWidth="1"/>
    <col min="3595" max="3595" width="26.453125" style="214" customWidth="1"/>
    <col min="3596" max="3840" width="9.08984375" style="214"/>
    <col min="3841" max="3841" width="8.6328125" style="214" bestFit="1" customWidth="1"/>
    <col min="3842" max="3842" width="13.36328125" style="214" customWidth="1"/>
    <col min="3843" max="3843" width="16.08984375" style="214" bestFit="1" customWidth="1"/>
    <col min="3844" max="3844" width="23.54296875" style="214" customWidth="1"/>
    <col min="3845" max="3845" width="17.36328125" style="214" customWidth="1"/>
    <col min="3846" max="3846" width="20.54296875" style="214" bestFit="1" customWidth="1"/>
    <col min="3847" max="3847" width="17.08984375" style="214" customWidth="1"/>
    <col min="3848" max="3848" width="21.90625" style="214" bestFit="1" customWidth="1"/>
    <col min="3849" max="3849" width="17.08984375" style="214" bestFit="1" customWidth="1"/>
    <col min="3850" max="3850" width="18.08984375" style="214" bestFit="1" customWidth="1"/>
    <col min="3851" max="3851" width="26.453125" style="214" customWidth="1"/>
    <col min="3852" max="4096" width="9.08984375" style="214"/>
    <col min="4097" max="4097" width="8.6328125" style="214" bestFit="1" customWidth="1"/>
    <col min="4098" max="4098" width="13.36328125" style="214" customWidth="1"/>
    <col min="4099" max="4099" width="16.08984375" style="214" bestFit="1" customWidth="1"/>
    <col min="4100" max="4100" width="23.54296875" style="214" customWidth="1"/>
    <col min="4101" max="4101" width="17.36328125" style="214" customWidth="1"/>
    <col min="4102" max="4102" width="20.54296875" style="214" bestFit="1" customWidth="1"/>
    <col min="4103" max="4103" width="17.08984375" style="214" customWidth="1"/>
    <col min="4104" max="4104" width="21.90625" style="214" bestFit="1" customWidth="1"/>
    <col min="4105" max="4105" width="17.08984375" style="214" bestFit="1" customWidth="1"/>
    <col min="4106" max="4106" width="18.08984375" style="214" bestFit="1" customWidth="1"/>
    <col min="4107" max="4107" width="26.453125" style="214" customWidth="1"/>
    <col min="4108" max="4352" width="9.08984375" style="214"/>
    <col min="4353" max="4353" width="8.6328125" style="214" bestFit="1" customWidth="1"/>
    <col min="4354" max="4354" width="13.36328125" style="214" customWidth="1"/>
    <col min="4355" max="4355" width="16.08984375" style="214" bestFit="1" customWidth="1"/>
    <col min="4356" max="4356" width="23.54296875" style="214" customWidth="1"/>
    <col min="4357" max="4357" width="17.36328125" style="214" customWidth="1"/>
    <col min="4358" max="4358" width="20.54296875" style="214" bestFit="1" customWidth="1"/>
    <col min="4359" max="4359" width="17.08984375" style="214" customWidth="1"/>
    <col min="4360" max="4360" width="21.90625" style="214" bestFit="1" customWidth="1"/>
    <col min="4361" max="4361" width="17.08984375" style="214" bestFit="1" customWidth="1"/>
    <col min="4362" max="4362" width="18.08984375" style="214" bestFit="1" customWidth="1"/>
    <col min="4363" max="4363" width="26.453125" style="214" customWidth="1"/>
    <col min="4364" max="4608" width="9.08984375" style="214"/>
    <col min="4609" max="4609" width="8.6328125" style="214" bestFit="1" customWidth="1"/>
    <col min="4610" max="4610" width="13.36328125" style="214" customWidth="1"/>
    <col min="4611" max="4611" width="16.08984375" style="214" bestFit="1" customWidth="1"/>
    <col min="4612" max="4612" width="23.54296875" style="214" customWidth="1"/>
    <col min="4613" max="4613" width="17.36328125" style="214" customWidth="1"/>
    <col min="4614" max="4614" width="20.54296875" style="214" bestFit="1" customWidth="1"/>
    <col min="4615" max="4615" width="17.08984375" style="214" customWidth="1"/>
    <col min="4616" max="4616" width="21.90625" style="214" bestFit="1" customWidth="1"/>
    <col min="4617" max="4617" width="17.08984375" style="214" bestFit="1" customWidth="1"/>
    <col min="4618" max="4618" width="18.08984375" style="214" bestFit="1" customWidth="1"/>
    <col min="4619" max="4619" width="26.453125" style="214" customWidth="1"/>
    <col min="4620" max="4864" width="9.08984375" style="214"/>
    <col min="4865" max="4865" width="8.6328125" style="214" bestFit="1" customWidth="1"/>
    <col min="4866" max="4866" width="13.36328125" style="214" customWidth="1"/>
    <col min="4867" max="4867" width="16.08984375" style="214" bestFit="1" customWidth="1"/>
    <col min="4868" max="4868" width="23.54296875" style="214" customWidth="1"/>
    <col min="4869" max="4869" width="17.36328125" style="214" customWidth="1"/>
    <col min="4870" max="4870" width="20.54296875" style="214" bestFit="1" customWidth="1"/>
    <col min="4871" max="4871" width="17.08984375" style="214" customWidth="1"/>
    <col min="4872" max="4872" width="21.90625" style="214" bestFit="1" customWidth="1"/>
    <col min="4873" max="4873" width="17.08984375" style="214" bestFit="1" customWidth="1"/>
    <col min="4874" max="4874" width="18.08984375" style="214" bestFit="1" customWidth="1"/>
    <col min="4875" max="4875" width="26.453125" style="214" customWidth="1"/>
    <col min="4876" max="5120" width="9.08984375" style="214"/>
    <col min="5121" max="5121" width="8.6328125" style="214" bestFit="1" customWidth="1"/>
    <col min="5122" max="5122" width="13.36328125" style="214" customWidth="1"/>
    <col min="5123" max="5123" width="16.08984375" style="214" bestFit="1" customWidth="1"/>
    <col min="5124" max="5124" width="23.54296875" style="214" customWidth="1"/>
    <col min="5125" max="5125" width="17.36328125" style="214" customWidth="1"/>
    <col min="5126" max="5126" width="20.54296875" style="214" bestFit="1" customWidth="1"/>
    <col min="5127" max="5127" width="17.08984375" style="214" customWidth="1"/>
    <col min="5128" max="5128" width="21.90625" style="214" bestFit="1" customWidth="1"/>
    <col min="5129" max="5129" width="17.08984375" style="214" bestFit="1" customWidth="1"/>
    <col min="5130" max="5130" width="18.08984375" style="214" bestFit="1" customWidth="1"/>
    <col min="5131" max="5131" width="26.453125" style="214" customWidth="1"/>
    <col min="5132" max="5376" width="9.08984375" style="214"/>
    <col min="5377" max="5377" width="8.6328125" style="214" bestFit="1" customWidth="1"/>
    <col min="5378" max="5378" width="13.36328125" style="214" customWidth="1"/>
    <col min="5379" max="5379" width="16.08984375" style="214" bestFit="1" customWidth="1"/>
    <col min="5380" max="5380" width="23.54296875" style="214" customWidth="1"/>
    <col min="5381" max="5381" width="17.36328125" style="214" customWidth="1"/>
    <col min="5382" max="5382" width="20.54296875" style="214" bestFit="1" customWidth="1"/>
    <col min="5383" max="5383" width="17.08984375" style="214" customWidth="1"/>
    <col min="5384" max="5384" width="21.90625" style="214" bestFit="1" customWidth="1"/>
    <col min="5385" max="5385" width="17.08984375" style="214" bestFit="1" customWidth="1"/>
    <col min="5386" max="5386" width="18.08984375" style="214" bestFit="1" customWidth="1"/>
    <col min="5387" max="5387" width="26.453125" style="214" customWidth="1"/>
    <col min="5388" max="5632" width="9.08984375" style="214"/>
    <col min="5633" max="5633" width="8.6328125" style="214" bestFit="1" customWidth="1"/>
    <col min="5634" max="5634" width="13.36328125" style="214" customWidth="1"/>
    <col min="5635" max="5635" width="16.08984375" style="214" bestFit="1" customWidth="1"/>
    <col min="5636" max="5636" width="23.54296875" style="214" customWidth="1"/>
    <col min="5637" max="5637" width="17.36328125" style="214" customWidth="1"/>
    <col min="5638" max="5638" width="20.54296875" style="214" bestFit="1" customWidth="1"/>
    <col min="5639" max="5639" width="17.08984375" style="214" customWidth="1"/>
    <col min="5640" max="5640" width="21.90625" style="214" bestFit="1" customWidth="1"/>
    <col min="5641" max="5641" width="17.08984375" style="214" bestFit="1" customWidth="1"/>
    <col min="5642" max="5642" width="18.08984375" style="214" bestFit="1" customWidth="1"/>
    <col min="5643" max="5643" width="26.453125" style="214" customWidth="1"/>
    <col min="5644" max="5888" width="9.08984375" style="214"/>
    <col min="5889" max="5889" width="8.6328125" style="214" bestFit="1" customWidth="1"/>
    <col min="5890" max="5890" width="13.36328125" style="214" customWidth="1"/>
    <col min="5891" max="5891" width="16.08984375" style="214" bestFit="1" customWidth="1"/>
    <col min="5892" max="5892" width="23.54296875" style="214" customWidth="1"/>
    <col min="5893" max="5893" width="17.36328125" style="214" customWidth="1"/>
    <col min="5894" max="5894" width="20.54296875" style="214" bestFit="1" customWidth="1"/>
    <col min="5895" max="5895" width="17.08984375" style="214" customWidth="1"/>
    <col min="5896" max="5896" width="21.90625" style="214" bestFit="1" customWidth="1"/>
    <col min="5897" max="5897" width="17.08984375" style="214" bestFit="1" customWidth="1"/>
    <col min="5898" max="5898" width="18.08984375" style="214" bestFit="1" customWidth="1"/>
    <col min="5899" max="5899" width="26.453125" style="214" customWidth="1"/>
    <col min="5900" max="6144" width="9.08984375" style="214"/>
    <col min="6145" max="6145" width="8.6328125" style="214" bestFit="1" customWidth="1"/>
    <col min="6146" max="6146" width="13.36328125" style="214" customWidth="1"/>
    <col min="6147" max="6147" width="16.08984375" style="214" bestFit="1" customWidth="1"/>
    <col min="6148" max="6148" width="23.54296875" style="214" customWidth="1"/>
    <col min="6149" max="6149" width="17.36328125" style="214" customWidth="1"/>
    <col min="6150" max="6150" width="20.54296875" style="214" bestFit="1" customWidth="1"/>
    <col min="6151" max="6151" width="17.08984375" style="214" customWidth="1"/>
    <col min="6152" max="6152" width="21.90625" style="214" bestFit="1" customWidth="1"/>
    <col min="6153" max="6153" width="17.08984375" style="214" bestFit="1" customWidth="1"/>
    <col min="6154" max="6154" width="18.08984375" style="214" bestFit="1" customWidth="1"/>
    <col min="6155" max="6155" width="26.453125" style="214" customWidth="1"/>
    <col min="6156" max="6400" width="9.08984375" style="214"/>
    <col min="6401" max="6401" width="8.6328125" style="214" bestFit="1" customWidth="1"/>
    <col min="6402" max="6402" width="13.36328125" style="214" customWidth="1"/>
    <col min="6403" max="6403" width="16.08984375" style="214" bestFit="1" customWidth="1"/>
    <col min="6404" max="6404" width="23.54296875" style="214" customWidth="1"/>
    <col min="6405" max="6405" width="17.36328125" style="214" customWidth="1"/>
    <col min="6406" max="6406" width="20.54296875" style="214" bestFit="1" customWidth="1"/>
    <col min="6407" max="6407" width="17.08984375" style="214" customWidth="1"/>
    <col min="6408" max="6408" width="21.90625" style="214" bestFit="1" customWidth="1"/>
    <col min="6409" max="6409" width="17.08984375" style="214" bestFit="1" customWidth="1"/>
    <col min="6410" max="6410" width="18.08984375" style="214" bestFit="1" customWidth="1"/>
    <col min="6411" max="6411" width="26.453125" style="214" customWidth="1"/>
    <col min="6412" max="6656" width="9.08984375" style="214"/>
    <col min="6657" max="6657" width="8.6328125" style="214" bestFit="1" customWidth="1"/>
    <col min="6658" max="6658" width="13.36328125" style="214" customWidth="1"/>
    <col min="6659" max="6659" width="16.08984375" style="214" bestFit="1" customWidth="1"/>
    <col min="6660" max="6660" width="23.54296875" style="214" customWidth="1"/>
    <col min="6661" max="6661" width="17.36328125" style="214" customWidth="1"/>
    <col min="6662" max="6662" width="20.54296875" style="214" bestFit="1" customWidth="1"/>
    <col min="6663" max="6663" width="17.08984375" style="214" customWidth="1"/>
    <col min="6664" max="6664" width="21.90625" style="214" bestFit="1" customWidth="1"/>
    <col min="6665" max="6665" width="17.08984375" style="214" bestFit="1" customWidth="1"/>
    <col min="6666" max="6666" width="18.08984375" style="214" bestFit="1" customWidth="1"/>
    <col min="6667" max="6667" width="26.453125" style="214" customWidth="1"/>
    <col min="6668" max="6912" width="9.08984375" style="214"/>
    <col min="6913" max="6913" width="8.6328125" style="214" bestFit="1" customWidth="1"/>
    <col min="6914" max="6914" width="13.36328125" style="214" customWidth="1"/>
    <col min="6915" max="6915" width="16.08984375" style="214" bestFit="1" customWidth="1"/>
    <col min="6916" max="6916" width="23.54296875" style="214" customWidth="1"/>
    <col min="6917" max="6917" width="17.36328125" style="214" customWidth="1"/>
    <col min="6918" max="6918" width="20.54296875" style="214" bestFit="1" customWidth="1"/>
    <col min="6919" max="6919" width="17.08984375" style="214" customWidth="1"/>
    <col min="6920" max="6920" width="21.90625" style="214" bestFit="1" customWidth="1"/>
    <col min="6921" max="6921" width="17.08984375" style="214" bestFit="1" customWidth="1"/>
    <col min="6922" max="6922" width="18.08984375" style="214" bestFit="1" customWidth="1"/>
    <col min="6923" max="6923" width="26.453125" style="214" customWidth="1"/>
    <col min="6924" max="7168" width="9.08984375" style="214"/>
    <col min="7169" max="7169" width="8.6328125" style="214" bestFit="1" customWidth="1"/>
    <col min="7170" max="7170" width="13.36328125" style="214" customWidth="1"/>
    <col min="7171" max="7171" width="16.08984375" style="214" bestFit="1" customWidth="1"/>
    <col min="7172" max="7172" width="23.54296875" style="214" customWidth="1"/>
    <col min="7173" max="7173" width="17.36328125" style="214" customWidth="1"/>
    <col min="7174" max="7174" width="20.54296875" style="214" bestFit="1" customWidth="1"/>
    <col min="7175" max="7175" width="17.08984375" style="214" customWidth="1"/>
    <col min="7176" max="7176" width="21.90625" style="214" bestFit="1" customWidth="1"/>
    <col min="7177" max="7177" width="17.08984375" style="214" bestFit="1" customWidth="1"/>
    <col min="7178" max="7178" width="18.08984375" style="214" bestFit="1" customWidth="1"/>
    <col min="7179" max="7179" width="26.453125" style="214" customWidth="1"/>
    <col min="7180" max="7424" width="9.08984375" style="214"/>
    <col min="7425" max="7425" width="8.6328125" style="214" bestFit="1" customWidth="1"/>
    <col min="7426" max="7426" width="13.36328125" style="214" customWidth="1"/>
    <col min="7427" max="7427" width="16.08984375" style="214" bestFit="1" customWidth="1"/>
    <col min="7428" max="7428" width="23.54296875" style="214" customWidth="1"/>
    <col min="7429" max="7429" width="17.36328125" style="214" customWidth="1"/>
    <col min="7430" max="7430" width="20.54296875" style="214" bestFit="1" customWidth="1"/>
    <col min="7431" max="7431" width="17.08984375" style="214" customWidth="1"/>
    <col min="7432" max="7432" width="21.90625" style="214" bestFit="1" customWidth="1"/>
    <col min="7433" max="7433" width="17.08984375" style="214" bestFit="1" customWidth="1"/>
    <col min="7434" max="7434" width="18.08984375" style="214" bestFit="1" customWidth="1"/>
    <col min="7435" max="7435" width="26.453125" style="214" customWidth="1"/>
    <col min="7436" max="7680" width="9.08984375" style="214"/>
    <col min="7681" max="7681" width="8.6328125" style="214" bestFit="1" customWidth="1"/>
    <col min="7682" max="7682" width="13.36328125" style="214" customWidth="1"/>
    <col min="7683" max="7683" width="16.08984375" style="214" bestFit="1" customWidth="1"/>
    <col min="7684" max="7684" width="23.54296875" style="214" customWidth="1"/>
    <col min="7685" max="7685" width="17.36328125" style="214" customWidth="1"/>
    <col min="7686" max="7686" width="20.54296875" style="214" bestFit="1" customWidth="1"/>
    <col min="7687" max="7687" width="17.08984375" style="214" customWidth="1"/>
    <col min="7688" max="7688" width="21.90625" style="214" bestFit="1" customWidth="1"/>
    <col min="7689" max="7689" width="17.08984375" style="214" bestFit="1" customWidth="1"/>
    <col min="7690" max="7690" width="18.08984375" style="214" bestFit="1" customWidth="1"/>
    <col min="7691" max="7691" width="26.453125" style="214" customWidth="1"/>
    <col min="7692" max="7936" width="9.08984375" style="214"/>
    <col min="7937" max="7937" width="8.6328125" style="214" bestFit="1" customWidth="1"/>
    <col min="7938" max="7938" width="13.36328125" style="214" customWidth="1"/>
    <col min="7939" max="7939" width="16.08984375" style="214" bestFit="1" customWidth="1"/>
    <col min="7940" max="7940" width="23.54296875" style="214" customWidth="1"/>
    <col min="7941" max="7941" width="17.36328125" style="214" customWidth="1"/>
    <col min="7942" max="7942" width="20.54296875" style="214" bestFit="1" customWidth="1"/>
    <col min="7943" max="7943" width="17.08984375" style="214" customWidth="1"/>
    <col min="7944" max="7944" width="21.90625" style="214" bestFit="1" customWidth="1"/>
    <col min="7945" max="7945" width="17.08984375" style="214" bestFit="1" customWidth="1"/>
    <col min="7946" max="7946" width="18.08984375" style="214" bestFit="1" customWidth="1"/>
    <col min="7947" max="7947" width="26.453125" style="214" customWidth="1"/>
    <col min="7948" max="8192" width="9.08984375" style="214"/>
    <col min="8193" max="8193" width="8.6328125" style="214" bestFit="1" customWidth="1"/>
    <col min="8194" max="8194" width="13.36328125" style="214" customWidth="1"/>
    <col min="8195" max="8195" width="16.08984375" style="214" bestFit="1" customWidth="1"/>
    <col min="8196" max="8196" width="23.54296875" style="214" customWidth="1"/>
    <col min="8197" max="8197" width="17.36328125" style="214" customWidth="1"/>
    <col min="8198" max="8198" width="20.54296875" style="214" bestFit="1" customWidth="1"/>
    <col min="8199" max="8199" width="17.08984375" style="214" customWidth="1"/>
    <col min="8200" max="8200" width="21.90625" style="214" bestFit="1" customWidth="1"/>
    <col min="8201" max="8201" width="17.08984375" style="214" bestFit="1" customWidth="1"/>
    <col min="8202" max="8202" width="18.08984375" style="214" bestFit="1" customWidth="1"/>
    <col min="8203" max="8203" width="26.453125" style="214" customWidth="1"/>
    <col min="8204" max="8448" width="9.08984375" style="214"/>
    <col min="8449" max="8449" width="8.6328125" style="214" bestFit="1" customWidth="1"/>
    <col min="8450" max="8450" width="13.36328125" style="214" customWidth="1"/>
    <col min="8451" max="8451" width="16.08984375" style="214" bestFit="1" customWidth="1"/>
    <col min="8452" max="8452" width="23.54296875" style="214" customWidth="1"/>
    <col min="8453" max="8453" width="17.36328125" style="214" customWidth="1"/>
    <col min="8454" max="8454" width="20.54296875" style="214" bestFit="1" customWidth="1"/>
    <col min="8455" max="8455" width="17.08984375" style="214" customWidth="1"/>
    <col min="8456" max="8456" width="21.90625" style="214" bestFit="1" customWidth="1"/>
    <col min="8457" max="8457" width="17.08984375" style="214" bestFit="1" customWidth="1"/>
    <col min="8458" max="8458" width="18.08984375" style="214" bestFit="1" customWidth="1"/>
    <col min="8459" max="8459" width="26.453125" style="214" customWidth="1"/>
    <col min="8460" max="8704" width="9.08984375" style="214"/>
    <col min="8705" max="8705" width="8.6328125" style="214" bestFit="1" customWidth="1"/>
    <col min="8706" max="8706" width="13.36328125" style="214" customWidth="1"/>
    <col min="8707" max="8707" width="16.08984375" style="214" bestFit="1" customWidth="1"/>
    <col min="8708" max="8708" width="23.54296875" style="214" customWidth="1"/>
    <col min="8709" max="8709" width="17.36328125" style="214" customWidth="1"/>
    <col min="8710" max="8710" width="20.54296875" style="214" bestFit="1" customWidth="1"/>
    <col min="8711" max="8711" width="17.08984375" style="214" customWidth="1"/>
    <col min="8712" max="8712" width="21.90625" style="214" bestFit="1" customWidth="1"/>
    <col min="8713" max="8713" width="17.08984375" style="214" bestFit="1" customWidth="1"/>
    <col min="8714" max="8714" width="18.08984375" style="214" bestFit="1" customWidth="1"/>
    <col min="8715" max="8715" width="26.453125" style="214" customWidth="1"/>
    <col min="8716" max="8960" width="9.08984375" style="214"/>
    <col min="8961" max="8961" width="8.6328125" style="214" bestFit="1" customWidth="1"/>
    <col min="8962" max="8962" width="13.36328125" style="214" customWidth="1"/>
    <col min="8963" max="8963" width="16.08984375" style="214" bestFit="1" customWidth="1"/>
    <col min="8964" max="8964" width="23.54296875" style="214" customWidth="1"/>
    <col min="8965" max="8965" width="17.36328125" style="214" customWidth="1"/>
    <col min="8966" max="8966" width="20.54296875" style="214" bestFit="1" customWidth="1"/>
    <col min="8967" max="8967" width="17.08984375" style="214" customWidth="1"/>
    <col min="8968" max="8968" width="21.90625" style="214" bestFit="1" customWidth="1"/>
    <col min="8969" max="8969" width="17.08984375" style="214" bestFit="1" customWidth="1"/>
    <col min="8970" max="8970" width="18.08984375" style="214" bestFit="1" customWidth="1"/>
    <col min="8971" max="8971" width="26.453125" style="214" customWidth="1"/>
    <col min="8972" max="9216" width="9.08984375" style="214"/>
    <col min="9217" max="9217" width="8.6328125" style="214" bestFit="1" customWidth="1"/>
    <col min="9218" max="9218" width="13.36328125" style="214" customWidth="1"/>
    <col min="9219" max="9219" width="16.08984375" style="214" bestFit="1" customWidth="1"/>
    <col min="9220" max="9220" width="23.54296875" style="214" customWidth="1"/>
    <col min="9221" max="9221" width="17.36328125" style="214" customWidth="1"/>
    <col min="9222" max="9222" width="20.54296875" style="214" bestFit="1" customWidth="1"/>
    <col min="9223" max="9223" width="17.08984375" style="214" customWidth="1"/>
    <col min="9224" max="9224" width="21.90625" style="214" bestFit="1" customWidth="1"/>
    <col min="9225" max="9225" width="17.08984375" style="214" bestFit="1" customWidth="1"/>
    <col min="9226" max="9226" width="18.08984375" style="214" bestFit="1" customWidth="1"/>
    <col min="9227" max="9227" width="26.453125" style="214" customWidth="1"/>
    <col min="9228" max="9472" width="9.08984375" style="214"/>
    <col min="9473" max="9473" width="8.6328125" style="214" bestFit="1" customWidth="1"/>
    <col min="9474" max="9474" width="13.36328125" style="214" customWidth="1"/>
    <col min="9475" max="9475" width="16.08984375" style="214" bestFit="1" customWidth="1"/>
    <col min="9476" max="9476" width="23.54296875" style="214" customWidth="1"/>
    <col min="9477" max="9477" width="17.36328125" style="214" customWidth="1"/>
    <col min="9478" max="9478" width="20.54296875" style="214" bestFit="1" customWidth="1"/>
    <col min="9479" max="9479" width="17.08984375" style="214" customWidth="1"/>
    <col min="9480" max="9480" width="21.90625" style="214" bestFit="1" customWidth="1"/>
    <col min="9481" max="9481" width="17.08984375" style="214" bestFit="1" customWidth="1"/>
    <col min="9482" max="9482" width="18.08984375" style="214" bestFit="1" customWidth="1"/>
    <col min="9483" max="9483" width="26.453125" style="214" customWidth="1"/>
    <col min="9484" max="9728" width="9.08984375" style="214"/>
    <col min="9729" max="9729" width="8.6328125" style="214" bestFit="1" customWidth="1"/>
    <col min="9730" max="9730" width="13.36328125" style="214" customWidth="1"/>
    <col min="9731" max="9731" width="16.08984375" style="214" bestFit="1" customWidth="1"/>
    <col min="9732" max="9732" width="23.54296875" style="214" customWidth="1"/>
    <col min="9733" max="9733" width="17.36328125" style="214" customWidth="1"/>
    <col min="9734" max="9734" width="20.54296875" style="214" bestFit="1" customWidth="1"/>
    <col min="9735" max="9735" width="17.08984375" style="214" customWidth="1"/>
    <col min="9736" max="9736" width="21.90625" style="214" bestFit="1" customWidth="1"/>
    <col min="9737" max="9737" width="17.08984375" style="214" bestFit="1" customWidth="1"/>
    <col min="9738" max="9738" width="18.08984375" style="214" bestFit="1" customWidth="1"/>
    <col min="9739" max="9739" width="26.453125" style="214" customWidth="1"/>
    <col min="9740" max="9984" width="9.08984375" style="214"/>
    <col min="9985" max="9985" width="8.6328125" style="214" bestFit="1" customWidth="1"/>
    <col min="9986" max="9986" width="13.36328125" style="214" customWidth="1"/>
    <col min="9987" max="9987" width="16.08984375" style="214" bestFit="1" customWidth="1"/>
    <col min="9988" max="9988" width="23.54296875" style="214" customWidth="1"/>
    <col min="9989" max="9989" width="17.36328125" style="214" customWidth="1"/>
    <col min="9990" max="9990" width="20.54296875" style="214" bestFit="1" customWidth="1"/>
    <col min="9991" max="9991" width="17.08984375" style="214" customWidth="1"/>
    <col min="9992" max="9992" width="21.90625" style="214" bestFit="1" customWidth="1"/>
    <col min="9993" max="9993" width="17.08984375" style="214" bestFit="1" customWidth="1"/>
    <col min="9994" max="9994" width="18.08984375" style="214" bestFit="1" customWidth="1"/>
    <col min="9995" max="9995" width="26.453125" style="214" customWidth="1"/>
    <col min="9996" max="10240" width="9.08984375" style="214"/>
    <col min="10241" max="10241" width="8.6328125" style="214" bestFit="1" customWidth="1"/>
    <col min="10242" max="10242" width="13.36328125" style="214" customWidth="1"/>
    <col min="10243" max="10243" width="16.08984375" style="214" bestFit="1" customWidth="1"/>
    <col min="10244" max="10244" width="23.54296875" style="214" customWidth="1"/>
    <col min="10245" max="10245" width="17.36328125" style="214" customWidth="1"/>
    <col min="10246" max="10246" width="20.54296875" style="214" bestFit="1" customWidth="1"/>
    <col min="10247" max="10247" width="17.08984375" style="214" customWidth="1"/>
    <col min="10248" max="10248" width="21.90625" style="214" bestFit="1" customWidth="1"/>
    <col min="10249" max="10249" width="17.08984375" style="214" bestFit="1" customWidth="1"/>
    <col min="10250" max="10250" width="18.08984375" style="214" bestFit="1" customWidth="1"/>
    <col min="10251" max="10251" width="26.453125" style="214" customWidth="1"/>
    <col min="10252" max="10496" width="9.08984375" style="214"/>
    <col min="10497" max="10497" width="8.6328125" style="214" bestFit="1" customWidth="1"/>
    <col min="10498" max="10498" width="13.36328125" style="214" customWidth="1"/>
    <col min="10499" max="10499" width="16.08984375" style="214" bestFit="1" customWidth="1"/>
    <col min="10500" max="10500" width="23.54296875" style="214" customWidth="1"/>
    <col min="10501" max="10501" width="17.36328125" style="214" customWidth="1"/>
    <col min="10502" max="10502" width="20.54296875" style="214" bestFit="1" customWidth="1"/>
    <col min="10503" max="10503" width="17.08984375" style="214" customWidth="1"/>
    <col min="10504" max="10504" width="21.90625" style="214" bestFit="1" customWidth="1"/>
    <col min="10505" max="10505" width="17.08984375" style="214" bestFit="1" customWidth="1"/>
    <col min="10506" max="10506" width="18.08984375" style="214" bestFit="1" customWidth="1"/>
    <col min="10507" max="10507" width="26.453125" style="214" customWidth="1"/>
    <col min="10508" max="10752" width="9.08984375" style="214"/>
    <col min="10753" max="10753" width="8.6328125" style="214" bestFit="1" customWidth="1"/>
    <col min="10754" max="10754" width="13.36328125" style="214" customWidth="1"/>
    <col min="10755" max="10755" width="16.08984375" style="214" bestFit="1" customWidth="1"/>
    <col min="10756" max="10756" width="23.54296875" style="214" customWidth="1"/>
    <col min="10757" max="10757" width="17.36328125" style="214" customWidth="1"/>
    <col min="10758" max="10758" width="20.54296875" style="214" bestFit="1" customWidth="1"/>
    <col min="10759" max="10759" width="17.08984375" style="214" customWidth="1"/>
    <col min="10760" max="10760" width="21.90625" style="214" bestFit="1" customWidth="1"/>
    <col min="10761" max="10761" width="17.08984375" style="214" bestFit="1" customWidth="1"/>
    <col min="10762" max="10762" width="18.08984375" style="214" bestFit="1" customWidth="1"/>
    <col min="10763" max="10763" width="26.453125" style="214" customWidth="1"/>
    <col min="10764" max="11008" width="9.08984375" style="214"/>
    <col min="11009" max="11009" width="8.6328125" style="214" bestFit="1" customWidth="1"/>
    <col min="11010" max="11010" width="13.36328125" style="214" customWidth="1"/>
    <col min="11011" max="11011" width="16.08984375" style="214" bestFit="1" customWidth="1"/>
    <col min="11012" max="11012" width="23.54296875" style="214" customWidth="1"/>
    <col min="11013" max="11013" width="17.36328125" style="214" customWidth="1"/>
    <col min="11014" max="11014" width="20.54296875" style="214" bestFit="1" customWidth="1"/>
    <col min="11015" max="11015" width="17.08984375" style="214" customWidth="1"/>
    <col min="11016" max="11016" width="21.90625" style="214" bestFit="1" customWidth="1"/>
    <col min="11017" max="11017" width="17.08984375" style="214" bestFit="1" customWidth="1"/>
    <col min="11018" max="11018" width="18.08984375" style="214" bestFit="1" customWidth="1"/>
    <col min="11019" max="11019" width="26.453125" style="214" customWidth="1"/>
    <col min="11020" max="11264" width="9.08984375" style="214"/>
    <col min="11265" max="11265" width="8.6328125" style="214" bestFit="1" customWidth="1"/>
    <col min="11266" max="11266" width="13.36328125" style="214" customWidth="1"/>
    <col min="11267" max="11267" width="16.08984375" style="214" bestFit="1" customWidth="1"/>
    <col min="11268" max="11268" width="23.54296875" style="214" customWidth="1"/>
    <col min="11269" max="11269" width="17.36328125" style="214" customWidth="1"/>
    <col min="11270" max="11270" width="20.54296875" style="214" bestFit="1" customWidth="1"/>
    <col min="11271" max="11271" width="17.08984375" style="214" customWidth="1"/>
    <col min="11272" max="11272" width="21.90625" style="214" bestFit="1" customWidth="1"/>
    <col min="11273" max="11273" width="17.08984375" style="214" bestFit="1" customWidth="1"/>
    <col min="11274" max="11274" width="18.08984375" style="214" bestFit="1" customWidth="1"/>
    <col min="11275" max="11275" width="26.453125" style="214" customWidth="1"/>
    <col min="11276" max="11520" width="9.08984375" style="214"/>
    <col min="11521" max="11521" width="8.6328125" style="214" bestFit="1" customWidth="1"/>
    <col min="11522" max="11522" width="13.36328125" style="214" customWidth="1"/>
    <col min="11523" max="11523" width="16.08984375" style="214" bestFit="1" customWidth="1"/>
    <col min="11524" max="11524" width="23.54296875" style="214" customWidth="1"/>
    <col min="11525" max="11525" width="17.36328125" style="214" customWidth="1"/>
    <col min="11526" max="11526" width="20.54296875" style="214" bestFit="1" customWidth="1"/>
    <col min="11527" max="11527" width="17.08984375" style="214" customWidth="1"/>
    <col min="11528" max="11528" width="21.90625" style="214" bestFit="1" customWidth="1"/>
    <col min="11529" max="11529" width="17.08984375" style="214" bestFit="1" customWidth="1"/>
    <col min="11530" max="11530" width="18.08984375" style="214" bestFit="1" customWidth="1"/>
    <col min="11531" max="11531" width="26.453125" style="214" customWidth="1"/>
    <col min="11532" max="11776" width="9.08984375" style="214"/>
    <col min="11777" max="11777" width="8.6328125" style="214" bestFit="1" customWidth="1"/>
    <col min="11778" max="11778" width="13.36328125" style="214" customWidth="1"/>
    <col min="11779" max="11779" width="16.08984375" style="214" bestFit="1" customWidth="1"/>
    <col min="11780" max="11780" width="23.54296875" style="214" customWidth="1"/>
    <col min="11781" max="11781" width="17.36328125" style="214" customWidth="1"/>
    <col min="11782" max="11782" width="20.54296875" style="214" bestFit="1" customWidth="1"/>
    <col min="11783" max="11783" width="17.08984375" style="214" customWidth="1"/>
    <col min="11784" max="11784" width="21.90625" style="214" bestFit="1" customWidth="1"/>
    <col min="11785" max="11785" width="17.08984375" style="214" bestFit="1" customWidth="1"/>
    <col min="11786" max="11786" width="18.08984375" style="214" bestFit="1" customWidth="1"/>
    <col min="11787" max="11787" width="26.453125" style="214" customWidth="1"/>
    <col min="11788" max="12032" width="9.08984375" style="214"/>
    <col min="12033" max="12033" width="8.6328125" style="214" bestFit="1" customWidth="1"/>
    <col min="12034" max="12034" width="13.36328125" style="214" customWidth="1"/>
    <col min="12035" max="12035" width="16.08984375" style="214" bestFit="1" customWidth="1"/>
    <col min="12036" max="12036" width="23.54296875" style="214" customWidth="1"/>
    <col min="12037" max="12037" width="17.36328125" style="214" customWidth="1"/>
    <col min="12038" max="12038" width="20.54296875" style="214" bestFit="1" customWidth="1"/>
    <col min="12039" max="12039" width="17.08984375" style="214" customWidth="1"/>
    <col min="12040" max="12040" width="21.90625" style="214" bestFit="1" customWidth="1"/>
    <col min="12041" max="12041" width="17.08984375" style="214" bestFit="1" customWidth="1"/>
    <col min="12042" max="12042" width="18.08984375" style="214" bestFit="1" customWidth="1"/>
    <col min="12043" max="12043" width="26.453125" style="214" customWidth="1"/>
    <col min="12044" max="12288" width="9.08984375" style="214"/>
    <col min="12289" max="12289" width="8.6328125" style="214" bestFit="1" customWidth="1"/>
    <col min="12290" max="12290" width="13.36328125" style="214" customWidth="1"/>
    <col min="12291" max="12291" width="16.08984375" style="214" bestFit="1" customWidth="1"/>
    <col min="12292" max="12292" width="23.54296875" style="214" customWidth="1"/>
    <col min="12293" max="12293" width="17.36328125" style="214" customWidth="1"/>
    <col min="12294" max="12294" width="20.54296875" style="214" bestFit="1" customWidth="1"/>
    <col min="12295" max="12295" width="17.08984375" style="214" customWidth="1"/>
    <col min="12296" max="12296" width="21.90625" style="214" bestFit="1" customWidth="1"/>
    <col min="12297" max="12297" width="17.08984375" style="214" bestFit="1" customWidth="1"/>
    <col min="12298" max="12298" width="18.08984375" style="214" bestFit="1" customWidth="1"/>
    <col min="12299" max="12299" width="26.453125" style="214" customWidth="1"/>
    <col min="12300" max="12544" width="9.08984375" style="214"/>
    <col min="12545" max="12545" width="8.6328125" style="214" bestFit="1" customWidth="1"/>
    <col min="12546" max="12546" width="13.36328125" style="214" customWidth="1"/>
    <col min="12547" max="12547" width="16.08984375" style="214" bestFit="1" customWidth="1"/>
    <col min="12548" max="12548" width="23.54296875" style="214" customWidth="1"/>
    <col min="12549" max="12549" width="17.36328125" style="214" customWidth="1"/>
    <col min="12550" max="12550" width="20.54296875" style="214" bestFit="1" customWidth="1"/>
    <col min="12551" max="12551" width="17.08984375" style="214" customWidth="1"/>
    <col min="12552" max="12552" width="21.90625" style="214" bestFit="1" customWidth="1"/>
    <col min="12553" max="12553" width="17.08984375" style="214" bestFit="1" customWidth="1"/>
    <col min="12554" max="12554" width="18.08984375" style="214" bestFit="1" customWidth="1"/>
    <col min="12555" max="12555" width="26.453125" style="214" customWidth="1"/>
    <col min="12556" max="12800" width="9.08984375" style="214"/>
    <col min="12801" max="12801" width="8.6328125" style="214" bestFit="1" customWidth="1"/>
    <col min="12802" max="12802" width="13.36328125" style="214" customWidth="1"/>
    <col min="12803" max="12803" width="16.08984375" style="214" bestFit="1" customWidth="1"/>
    <col min="12804" max="12804" width="23.54296875" style="214" customWidth="1"/>
    <col min="12805" max="12805" width="17.36328125" style="214" customWidth="1"/>
    <col min="12806" max="12806" width="20.54296875" style="214" bestFit="1" customWidth="1"/>
    <col min="12807" max="12807" width="17.08984375" style="214" customWidth="1"/>
    <col min="12808" max="12808" width="21.90625" style="214" bestFit="1" customWidth="1"/>
    <col min="12809" max="12809" width="17.08984375" style="214" bestFit="1" customWidth="1"/>
    <col min="12810" max="12810" width="18.08984375" style="214" bestFit="1" customWidth="1"/>
    <col min="12811" max="12811" width="26.453125" style="214" customWidth="1"/>
    <col min="12812" max="13056" width="9.08984375" style="214"/>
    <col min="13057" max="13057" width="8.6328125" style="214" bestFit="1" customWidth="1"/>
    <col min="13058" max="13058" width="13.36328125" style="214" customWidth="1"/>
    <col min="13059" max="13059" width="16.08984375" style="214" bestFit="1" customWidth="1"/>
    <col min="13060" max="13060" width="23.54296875" style="214" customWidth="1"/>
    <col min="13061" max="13061" width="17.36328125" style="214" customWidth="1"/>
    <col min="13062" max="13062" width="20.54296875" style="214" bestFit="1" customWidth="1"/>
    <col min="13063" max="13063" width="17.08984375" style="214" customWidth="1"/>
    <col min="13064" max="13064" width="21.90625" style="214" bestFit="1" customWidth="1"/>
    <col min="13065" max="13065" width="17.08984375" style="214" bestFit="1" customWidth="1"/>
    <col min="13066" max="13066" width="18.08984375" style="214" bestFit="1" customWidth="1"/>
    <col min="13067" max="13067" width="26.453125" style="214" customWidth="1"/>
    <col min="13068" max="13312" width="9.08984375" style="214"/>
    <col min="13313" max="13313" width="8.6328125" style="214" bestFit="1" customWidth="1"/>
    <col min="13314" max="13314" width="13.36328125" style="214" customWidth="1"/>
    <col min="13315" max="13315" width="16.08984375" style="214" bestFit="1" customWidth="1"/>
    <col min="13316" max="13316" width="23.54296875" style="214" customWidth="1"/>
    <col min="13317" max="13317" width="17.36328125" style="214" customWidth="1"/>
    <col min="13318" max="13318" width="20.54296875" style="214" bestFit="1" customWidth="1"/>
    <col min="13319" max="13319" width="17.08984375" style="214" customWidth="1"/>
    <col min="13320" max="13320" width="21.90625" style="214" bestFit="1" customWidth="1"/>
    <col min="13321" max="13321" width="17.08984375" style="214" bestFit="1" customWidth="1"/>
    <col min="13322" max="13322" width="18.08984375" style="214" bestFit="1" customWidth="1"/>
    <col min="13323" max="13323" width="26.453125" style="214" customWidth="1"/>
    <col min="13324" max="13568" width="9.08984375" style="214"/>
    <col min="13569" max="13569" width="8.6328125" style="214" bestFit="1" customWidth="1"/>
    <col min="13570" max="13570" width="13.36328125" style="214" customWidth="1"/>
    <col min="13571" max="13571" width="16.08984375" style="214" bestFit="1" customWidth="1"/>
    <col min="13572" max="13572" width="23.54296875" style="214" customWidth="1"/>
    <col min="13573" max="13573" width="17.36328125" style="214" customWidth="1"/>
    <col min="13574" max="13574" width="20.54296875" style="214" bestFit="1" customWidth="1"/>
    <col min="13575" max="13575" width="17.08984375" style="214" customWidth="1"/>
    <col min="13576" max="13576" width="21.90625" style="214" bestFit="1" customWidth="1"/>
    <col min="13577" max="13577" width="17.08984375" style="214" bestFit="1" customWidth="1"/>
    <col min="13578" max="13578" width="18.08984375" style="214" bestFit="1" customWidth="1"/>
    <col min="13579" max="13579" width="26.453125" style="214" customWidth="1"/>
    <col min="13580" max="13824" width="9.08984375" style="214"/>
    <col min="13825" max="13825" width="8.6328125" style="214" bestFit="1" customWidth="1"/>
    <col min="13826" max="13826" width="13.36328125" style="214" customWidth="1"/>
    <col min="13827" max="13827" width="16.08984375" style="214" bestFit="1" customWidth="1"/>
    <col min="13828" max="13828" width="23.54296875" style="214" customWidth="1"/>
    <col min="13829" max="13829" width="17.36328125" style="214" customWidth="1"/>
    <col min="13830" max="13830" width="20.54296875" style="214" bestFit="1" customWidth="1"/>
    <col min="13831" max="13831" width="17.08984375" style="214" customWidth="1"/>
    <col min="13832" max="13832" width="21.90625" style="214" bestFit="1" customWidth="1"/>
    <col min="13833" max="13833" width="17.08984375" style="214" bestFit="1" customWidth="1"/>
    <col min="13834" max="13834" width="18.08984375" style="214" bestFit="1" customWidth="1"/>
    <col min="13835" max="13835" width="26.453125" style="214" customWidth="1"/>
    <col min="13836" max="14080" width="9.08984375" style="214"/>
    <col min="14081" max="14081" width="8.6328125" style="214" bestFit="1" customWidth="1"/>
    <col min="14082" max="14082" width="13.36328125" style="214" customWidth="1"/>
    <col min="14083" max="14083" width="16.08984375" style="214" bestFit="1" customWidth="1"/>
    <col min="14084" max="14084" width="23.54296875" style="214" customWidth="1"/>
    <col min="14085" max="14085" width="17.36328125" style="214" customWidth="1"/>
    <col min="14086" max="14086" width="20.54296875" style="214" bestFit="1" customWidth="1"/>
    <col min="14087" max="14087" width="17.08984375" style="214" customWidth="1"/>
    <col min="14088" max="14088" width="21.90625" style="214" bestFit="1" customWidth="1"/>
    <col min="14089" max="14089" width="17.08984375" style="214" bestFit="1" customWidth="1"/>
    <col min="14090" max="14090" width="18.08984375" style="214" bestFit="1" customWidth="1"/>
    <col min="14091" max="14091" width="26.453125" style="214" customWidth="1"/>
    <col min="14092" max="14336" width="9.08984375" style="214"/>
    <col min="14337" max="14337" width="8.6328125" style="214" bestFit="1" customWidth="1"/>
    <col min="14338" max="14338" width="13.36328125" style="214" customWidth="1"/>
    <col min="14339" max="14339" width="16.08984375" style="214" bestFit="1" customWidth="1"/>
    <col min="14340" max="14340" width="23.54296875" style="214" customWidth="1"/>
    <col min="14341" max="14341" width="17.36328125" style="214" customWidth="1"/>
    <col min="14342" max="14342" width="20.54296875" style="214" bestFit="1" customWidth="1"/>
    <col min="14343" max="14343" width="17.08984375" style="214" customWidth="1"/>
    <col min="14344" max="14344" width="21.90625" style="214" bestFit="1" customWidth="1"/>
    <col min="14345" max="14345" width="17.08984375" style="214" bestFit="1" customWidth="1"/>
    <col min="14346" max="14346" width="18.08984375" style="214" bestFit="1" customWidth="1"/>
    <col min="14347" max="14347" width="26.453125" style="214" customWidth="1"/>
    <col min="14348" max="14592" width="9.08984375" style="214"/>
    <col min="14593" max="14593" width="8.6328125" style="214" bestFit="1" customWidth="1"/>
    <col min="14594" max="14594" width="13.36328125" style="214" customWidth="1"/>
    <col min="14595" max="14595" width="16.08984375" style="214" bestFit="1" customWidth="1"/>
    <col min="14596" max="14596" width="23.54296875" style="214" customWidth="1"/>
    <col min="14597" max="14597" width="17.36328125" style="214" customWidth="1"/>
    <col min="14598" max="14598" width="20.54296875" style="214" bestFit="1" customWidth="1"/>
    <col min="14599" max="14599" width="17.08984375" style="214" customWidth="1"/>
    <col min="14600" max="14600" width="21.90625" style="214" bestFit="1" customWidth="1"/>
    <col min="14601" max="14601" width="17.08984375" style="214" bestFit="1" customWidth="1"/>
    <col min="14602" max="14602" width="18.08984375" style="214" bestFit="1" customWidth="1"/>
    <col min="14603" max="14603" width="26.453125" style="214" customWidth="1"/>
    <col min="14604" max="14848" width="9.08984375" style="214"/>
    <col min="14849" max="14849" width="8.6328125" style="214" bestFit="1" customWidth="1"/>
    <col min="14850" max="14850" width="13.36328125" style="214" customWidth="1"/>
    <col min="14851" max="14851" width="16.08984375" style="214" bestFit="1" customWidth="1"/>
    <col min="14852" max="14852" width="23.54296875" style="214" customWidth="1"/>
    <col min="14853" max="14853" width="17.36328125" style="214" customWidth="1"/>
    <col min="14854" max="14854" width="20.54296875" style="214" bestFit="1" customWidth="1"/>
    <col min="14855" max="14855" width="17.08984375" style="214" customWidth="1"/>
    <col min="14856" max="14856" width="21.90625" style="214" bestFit="1" customWidth="1"/>
    <col min="14857" max="14857" width="17.08984375" style="214" bestFit="1" customWidth="1"/>
    <col min="14858" max="14858" width="18.08984375" style="214" bestFit="1" customWidth="1"/>
    <col min="14859" max="14859" width="26.453125" style="214" customWidth="1"/>
    <col min="14860" max="15104" width="9.08984375" style="214"/>
    <col min="15105" max="15105" width="8.6328125" style="214" bestFit="1" customWidth="1"/>
    <col min="15106" max="15106" width="13.36328125" style="214" customWidth="1"/>
    <col min="15107" max="15107" width="16.08984375" style="214" bestFit="1" customWidth="1"/>
    <col min="15108" max="15108" width="23.54296875" style="214" customWidth="1"/>
    <col min="15109" max="15109" width="17.36328125" style="214" customWidth="1"/>
    <col min="15110" max="15110" width="20.54296875" style="214" bestFit="1" customWidth="1"/>
    <col min="15111" max="15111" width="17.08984375" style="214" customWidth="1"/>
    <col min="15112" max="15112" width="21.90625" style="214" bestFit="1" customWidth="1"/>
    <col min="15113" max="15113" width="17.08984375" style="214" bestFit="1" customWidth="1"/>
    <col min="15114" max="15114" width="18.08984375" style="214" bestFit="1" customWidth="1"/>
    <col min="15115" max="15115" width="26.453125" style="214" customWidth="1"/>
    <col min="15116" max="15360" width="9.08984375" style="214"/>
    <col min="15361" max="15361" width="8.6328125" style="214" bestFit="1" customWidth="1"/>
    <col min="15362" max="15362" width="13.36328125" style="214" customWidth="1"/>
    <col min="15363" max="15363" width="16.08984375" style="214" bestFit="1" customWidth="1"/>
    <col min="15364" max="15364" width="23.54296875" style="214" customWidth="1"/>
    <col min="15365" max="15365" width="17.36328125" style="214" customWidth="1"/>
    <col min="15366" max="15366" width="20.54296875" style="214" bestFit="1" customWidth="1"/>
    <col min="15367" max="15367" width="17.08984375" style="214" customWidth="1"/>
    <col min="15368" max="15368" width="21.90625" style="214" bestFit="1" customWidth="1"/>
    <col min="15369" max="15369" width="17.08984375" style="214" bestFit="1" customWidth="1"/>
    <col min="15370" max="15370" width="18.08984375" style="214" bestFit="1" customWidth="1"/>
    <col min="15371" max="15371" width="26.453125" style="214" customWidth="1"/>
    <col min="15372" max="15616" width="9.08984375" style="214"/>
    <col min="15617" max="15617" width="8.6328125" style="214" bestFit="1" customWidth="1"/>
    <col min="15618" max="15618" width="13.36328125" style="214" customWidth="1"/>
    <col min="15619" max="15619" width="16.08984375" style="214" bestFit="1" customWidth="1"/>
    <col min="15620" max="15620" width="23.54296875" style="214" customWidth="1"/>
    <col min="15621" max="15621" width="17.36328125" style="214" customWidth="1"/>
    <col min="15622" max="15622" width="20.54296875" style="214" bestFit="1" customWidth="1"/>
    <col min="15623" max="15623" width="17.08984375" style="214" customWidth="1"/>
    <col min="15624" max="15624" width="21.90625" style="214" bestFit="1" customWidth="1"/>
    <col min="15625" max="15625" width="17.08984375" style="214" bestFit="1" customWidth="1"/>
    <col min="15626" max="15626" width="18.08984375" style="214" bestFit="1" customWidth="1"/>
    <col min="15627" max="15627" width="26.453125" style="214" customWidth="1"/>
    <col min="15628" max="15872" width="9.08984375" style="214"/>
    <col min="15873" max="15873" width="8.6328125" style="214" bestFit="1" customWidth="1"/>
    <col min="15874" max="15874" width="13.36328125" style="214" customWidth="1"/>
    <col min="15875" max="15875" width="16.08984375" style="214" bestFit="1" customWidth="1"/>
    <col min="15876" max="15876" width="23.54296875" style="214" customWidth="1"/>
    <col min="15877" max="15877" width="17.36328125" style="214" customWidth="1"/>
    <col min="15878" max="15878" width="20.54296875" style="214" bestFit="1" customWidth="1"/>
    <col min="15879" max="15879" width="17.08984375" style="214" customWidth="1"/>
    <col min="15880" max="15880" width="21.90625" style="214" bestFit="1" customWidth="1"/>
    <col min="15881" max="15881" width="17.08984375" style="214" bestFit="1" customWidth="1"/>
    <col min="15882" max="15882" width="18.08984375" style="214" bestFit="1" customWidth="1"/>
    <col min="15883" max="15883" width="26.453125" style="214" customWidth="1"/>
    <col min="15884" max="16128" width="9.08984375" style="214"/>
    <col min="16129" max="16129" width="8.6328125" style="214" bestFit="1" customWidth="1"/>
    <col min="16130" max="16130" width="13.36328125" style="214" customWidth="1"/>
    <col min="16131" max="16131" width="16.08984375" style="214" bestFit="1" customWidth="1"/>
    <col min="16132" max="16132" width="23.54296875" style="214" customWidth="1"/>
    <col min="16133" max="16133" width="17.36328125" style="214" customWidth="1"/>
    <col min="16134" max="16134" width="20.54296875" style="214" bestFit="1" customWidth="1"/>
    <col min="16135" max="16135" width="17.08984375" style="214" customWidth="1"/>
    <col min="16136" max="16136" width="21.90625" style="214" bestFit="1" customWidth="1"/>
    <col min="16137" max="16137" width="17.08984375" style="214" bestFit="1" customWidth="1"/>
    <col min="16138" max="16138" width="18.08984375" style="214" bestFit="1" customWidth="1"/>
    <col min="16139" max="16139" width="26.453125" style="214" customWidth="1"/>
    <col min="16140" max="16384" width="9.08984375" style="214"/>
  </cols>
  <sheetData>
    <row r="1" spans="13:13" s="248" customFormat="1" x14ac:dyDescent="0.25">
      <c r="M1" s="249"/>
    </row>
    <row r="2" spans="13:13" s="248" customFormat="1" x14ac:dyDescent="0.25">
      <c r="M2" s="249"/>
    </row>
    <row r="3" spans="13:13" s="248" customFormat="1" x14ac:dyDescent="0.25">
      <c r="M3" s="249"/>
    </row>
    <row r="4" spans="13:13" s="248" customFormat="1" x14ac:dyDescent="0.25">
      <c r="M4" s="249"/>
    </row>
    <row r="5" spans="13:13" s="248" customFormat="1" x14ac:dyDescent="0.25">
      <c r="M5" s="249"/>
    </row>
    <row r="6" spans="13:13" s="248" customFormat="1" x14ac:dyDescent="0.25">
      <c r="M6" s="249"/>
    </row>
    <row r="7" spans="13:13" s="248" customFormat="1" x14ac:dyDescent="0.25">
      <c r="M7" s="249"/>
    </row>
    <row r="8" spans="13:13" s="248" customFormat="1" x14ac:dyDescent="0.25">
      <c r="M8" s="249"/>
    </row>
    <row r="9" spans="13:13" s="248" customFormat="1" x14ac:dyDescent="0.25">
      <c r="M9" s="249"/>
    </row>
    <row r="10" spans="13:13" s="248" customFormat="1" x14ac:dyDescent="0.25">
      <c r="M10" s="249"/>
    </row>
    <row r="11" spans="13:13" s="248" customFormat="1" x14ac:dyDescent="0.25">
      <c r="M11" s="249"/>
    </row>
    <row r="12" spans="13:13" s="248" customFormat="1" x14ac:dyDescent="0.25">
      <c r="M12" s="249"/>
    </row>
    <row r="13" spans="13:13" s="248" customFormat="1" x14ac:dyDescent="0.25">
      <c r="M13" s="249"/>
    </row>
    <row r="14" spans="13:13" s="248" customFormat="1" x14ac:dyDescent="0.25">
      <c r="M14" s="249"/>
    </row>
    <row r="15" spans="13:13" s="248" customFormat="1" x14ac:dyDescent="0.25">
      <c r="M15" s="249"/>
    </row>
    <row r="16" spans="13:13" s="248" customFormat="1" x14ac:dyDescent="0.25">
      <c r="M16" s="249"/>
    </row>
    <row r="17" spans="13:13" s="248" customFormat="1" x14ac:dyDescent="0.25">
      <c r="M17" s="249"/>
    </row>
    <row r="18" spans="13:13" s="248" customFormat="1" x14ac:dyDescent="0.25">
      <c r="M18" s="249"/>
    </row>
    <row r="19" spans="13:13" s="248" customFormat="1" x14ac:dyDescent="0.25">
      <c r="M19" s="249"/>
    </row>
    <row r="20" spans="13:13" s="248" customFormat="1" x14ac:dyDescent="0.25">
      <c r="M20" s="249"/>
    </row>
    <row r="21" spans="13:13" s="248" customFormat="1" x14ac:dyDescent="0.25">
      <c r="M21" s="249"/>
    </row>
    <row r="22" spans="13:13" s="248" customFormat="1" x14ac:dyDescent="0.25">
      <c r="M22" s="249"/>
    </row>
    <row r="23" spans="13:13" s="248" customFormat="1" x14ac:dyDescent="0.25">
      <c r="M23" s="249"/>
    </row>
    <row r="24" spans="13:13" s="248" customFormat="1" x14ac:dyDescent="0.25">
      <c r="M24" s="249"/>
    </row>
    <row r="25" spans="13:13" s="248" customFormat="1" x14ac:dyDescent="0.25">
      <c r="M25" s="249"/>
    </row>
    <row r="26" spans="13:13" s="248" customFormat="1" x14ac:dyDescent="0.25">
      <c r="M26" s="249"/>
    </row>
    <row r="27" spans="13:13" s="248" customFormat="1" x14ac:dyDescent="0.25">
      <c r="M27" s="249"/>
    </row>
    <row r="28" spans="13:13" s="248" customFormat="1" x14ac:dyDescent="0.25">
      <c r="M28" s="249"/>
    </row>
    <row r="29" spans="13:13" s="248" customFormat="1" x14ac:dyDescent="0.25">
      <c r="M29" s="249"/>
    </row>
    <row r="30" spans="13:13" s="248" customFormat="1" x14ac:dyDescent="0.25">
      <c r="M30" s="249"/>
    </row>
    <row r="31" spans="13:13" s="248" customFormat="1" x14ac:dyDescent="0.25">
      <c r="M31" s="249"/>
    </row>
    <row r="32" spans="13:13" s="248" customFormat="1" x14ac:dyDescent="0.25">
      <c r="M32" s="249"/>
    </row>
    <row r="33" spans="1:13" s="248" customFormat="1" x14ac:dyDescent="0.25">
      <c r="M33" s="249"/>
    </row>
    <row r="34" spans="1:13" s="248" customFormat="1" x14ac:dyDescent="0.25">
      <c r="M34" s="249"/>
    </row>
    <row r="35" spans="1:13" s="248" customFormat="1" x14ac:dyDescent="0.25">
      <c r="M35" s="249"/>
    </row>
    <row r="36" spans="1:13" s="248" customFormat="1" x14ac:dyDescent="0.25">
      <c r="M36" s="249"/>
    </row>
    <row r="37" spans="1:13" s="248" customFormat="1" ht="15.75" customHeight="1" x14ac:dyDescent="0.3">
      <c r="A37" s="248" t="s">
        <v>787</v>
      </c>
      <c r="I37" s="158" t="str">
        <f>IF(OR(SCH_MODE=3, SCH_MODE=4), "** Slave controller (CNTRL2) not shown **","** Tie VCCX to GND if not used **")</f>
        <v>** Tie VCCX to GND if not used **</v>
      </c>
    </row>
    <row r="38" spans="1:13" s="248" customFormat="1" ht="15.75" customHeight="1" x14ac:dyDescent="0.25">
      <c r="A38" s="248" t="s">
        <v>786</v>
      </c>
      <c r="I38" s="279" t="str">
        <f>IF(OR(SCH_MODE=3, SCH_MODE=4),"** Tie VCCX to GND if not used **", "")</f>
        <v/>
      </c>
    </row>
    <row r="39" spans="1:13" s="248" customFormat="1" ht="15.75" customHeight="1" x14ac:dyDescent="0.3">
      <c r="A39" s="248" t="s">
        <v>785</v>
      </c>
    </row>
    <row r="40" spans="1:13" s="248" customFormat="1" ht="15.75" customHeight="1" x14ac:dyDescent="0.3">
      <c r="A40" s="248" t="s">
        <v>788</v>
      </c>
    </row>
    <row r="41" spans="1:13" s="248" customFormat="1" ht="15.75" customHeight="1" x14ac:dyDescent="0.3">
      <c r="A41" s="248" t="s">
        <v>789</v>
      </c>
    </row>
    <row r="42" spans="1:13" s="248" customFormat="1" ht="24.75" customHeight="1" x14ac:dyDescent="0.35">
      <c r="A42" s="253" t="str">
        <f>CHOOSE(MODE, "VIN = "&amp;VIN_min&amp;" V to "&amp;VIN_max&amp;" V, VOUT1 = "&amp; Vout &amp;" V, IOUT1 = " &amp;Iout &amp;"A"&amp;", VOUT2 = "&amp; Vout2 &amp;" V, IOUT2 = " &amp;Iout2 &amp; " A,  Fsw = " &amp; Fsw/1000 &amp;" kHz, Current Limit = "&amp;ROUNDUP(Ilimit_DC,0)&amp;" A", "VIN = "&amp;VIN_min&amp;" V to "&amp;VIN_max&amp;" V, VOUT = "&amp; Vout &amp;" V, IOUT = " &amp;Iout &amp; " A,  Fsw = " &amp; Fsw/1000 &amp;" kHz, Current Limit = "&amp;ROUNDUP(Ilimit_DC,0)&amp;" A")</f>
        <v>VIN = 36 V to 51 V, VOUT = 24 V, IOUT = 60 A,  Fsw = 220 kHz, Current Limit = 60 A</v>
      </c>
    </row>
    <row r="43" spans="1:13" ht="24.75" customHeight="1" thickBot="1" x14ac:dyDescent="0.3">
      <c r="A43" s="216" t="s">
        <v>755</v>
      </c>
    </row>
    <row r="44" spans="1:13" ht="18" customHeight="1" x14ac:dyDescent="0.25">
      <c r="A44" s="487" t="s">
        <v>254</v>
      </c>
      <c r="B44" s="488" t="s">
        <v>253</v>
      </c>
      <c r="C44" s="488" t="s">
        <v>7</v>
      </c>
      <c r="D44" s="690" t="s">
        <v>107</v>
      </c>
      <c r="E44" s="691"/>
      <c r="F44" s="691"/>
      <c r="G44" s="692"/>
      <c r="H44" s="489" t="s">
        <v>243</v>
      </c>
      <c r="I44" s="489" t="s">
        <v>159</v>
      </c>
      <c r="J44" s="489" t="s">
        <v>244</v>
      </c>
      <c r="L44" s="215"/>
      <c r="M44" s="214"/>
    </row>
    <row r="45" spans="1:13" s="221" customFormat="1" ht="15.75" customHeight="1" x14ac:dyDescent="0.25">
      <c r="A45" s="218">
        <v>2</v>
      </c>
      <c r="B45" s="219" t="s">
        <v>463</v>
      </c>
      <c r="C45" s="233">
        <v>0.1</v>
      </c>
      <c r="D45" s="710">
        <f t="shared" ref="D45:D56" si="0">C45</f>
        <v>0.1</v>
      </c>
      <c r="E45" s="711"/>
      <c r="F45" s="711"/>
      <c r="G45" s="234"/>
      <c r="H45" s="235" t="s">
        <v>248</v>
      </c>
      <c r="I45" s="220" t="s">
        <v>245</v>
      </c>
      <c r="J45" s="220" t="s">
        <v>245</v>
      </c>
      <c r="L45" s="222"/>
    </row>
    <row r="46" spans="1:13" s="221" customFormat="1" ht="15.5" x14ac:dyDescent="0.25">
      <c r="A46" s="217">
        <v>1</v>
      </c>
      <c r="B46" s="236" t="s">
        <v>249</v>
      </c>
      <c r="C46" s="244">
        <f>'Design Regulator'!D71</f>
        <v>3.3000000000000003</v>
      </c>
      <c r="D46" s="712">
        <f t="shared" si="0"/>
        <v>3.3000000000000003</v>
      </c>
      <c r="E46" s="713"/>
      <c r="F46" s="713"/>
      <c r="G46" s="238"/>
      <c r="H46" s="239" t="s">
        <v>248</v>
      </c>
      <c r="I46" s="240" t="s">
        <v>245</v>
      </c>
      <c r="J46" s="240" t="s">
        <v>245</v>
      </c>
      <c r="L46" s="222"/>
    </row>
    <row r="47" spans="1:13" s="221" customFormat="1" ht="15.5" x14ac:dyDescent="0.25">
      <c r="A47" s="217">
        <v>1</v>
      </c>
      <c r="B47" s="236" t="s">
        <v>250</v>
      </c>
      <c r="C47" s="237">
        <f>'Design Regulator'!D72</f>
        <v>82</v>
      </c>
      <c r="D47" s="714">
        <f t="shared" si="0"/>
        <v>82</v>
      </c>
      <c r="E47" s="715"/>
      <c r="F47" s="715"/>
      <c r="G47" s="238"/>
      <c r="H47" s="239" t="s">
        <v>248</v>
      </c>
      <c r="I47" s="240" t="s">
        <v>245</v>
      </c>
      <c r="J47" s="240" t="s">
        <v>245</v>
      </c>
      <c r="L47" s="222"/>
    </row>
    <row r="48" spans="1:13" s="221" customFormat="1" ht="15.5" x14ac:dyDescent="0.25">
      <c r="A48" s="217">
        <v>1</v>
      </c>
      <c r="B48" s="236" t="s">
        <v>770</v>
      </c>
      <c r="C48" s="244" t="str">
        <f>IF(MODE=1, 'Variable Management'!E354, "N/A")</f>
        <v>N/A</v>
      </c>
      <c r="D48" s="712" t="str">
        <f t="shared" ref="D48:D49" si="1">C48</f>
        <v>N/A</v>
      </c>
      <c r="E48" s="713"/>
      <c r="F48" s="713"/>
      <c r="G48" s="238"/>
      <c r="H48" s="239" t="str">
        <f>IF(MODE=1, "0603", "-")</f>
        <v>-</v>
      </c>
      <c r="I48" s="239" t="str">
        <f>IF(MODE=1, "Std", "-")</f>
        <v>-</v>
      </c>
      <c r="J48" s="239" t="str">
        <f>IF(MODE=1, "Std", "-")</f>
        <v>-</v>
      </c>
      <c r="L48" s="222"/>
    </row>
    <row r="49" spans="1:12" s="221" customFormat="1" ht="15.5" x14ac:dyDescent="0.25">
      <c r="A49" s="217">
        <v>1</v>
      </c>
      <c r="B49" s="236" t="s">
        <v>771</v>
      </c>
      <c r="C49" s="237" t="str">
        <f>IF(MODE=1, 'Variable Management'!E355, "N/A")</f>
        <v>N/A</v>
      </c>
      <c r="D49" s="714" t="str">
        <f t="shared" si="1"/>
        <v>N/A</v>
      </c>
      <c r="E49" s="715"/>
      <c r="F49" s="715"/>
      <c r="G49" s="238"/>
      <c r="H49" s="239" t="str">
        <f>IF(MODE=1, "0603", "-")</f>
        <v>-</v>
      </c>
      <c r="I49" s="239" t="str">
        <f>IF(MODE=1, "Std", "-")</f>
        <v>-</v>
      </c>
      <c r="J49" s="239" t="str">
        <f>IF(MODE=1, "Std", "-")</f>
        <v>-</v>
      </c>
      <c r="L49" s="222"/>
    </row>
    <row r="50" spans="1:12" s="221" customFormat="1" ht="15.5" x14ac:dyDescent="0.25">
      <c r="A50" s="223">
        <v>1</v>
      </c>
      <c r="B50" s="224" t="s">
        <v>769</v>
      </c>
      <c r="C50" s="438">
        <f>Cres_u*1000000000</f>
        <v>470</v>
      </c>
      <c r="D50" s="693">
        <f>C50</f>
        <v>470</v>
      </c>
      <c r="E50" s="694"/>
      <c r="F50" s="694"/>
      <c r="G50" s="439"/>
      <c r="H50" s="226" t="s">
        <v>248</v>
      </c>
      <c r="I50" s="227" t="s">
        <v>245</v>
      </c>
      <c r="J50" s="227" t="s">
        <v>245</v>
      </c>
      <c r="L50" s="222"/>
    </row>
    <row r="51" spans="1:12" s="221" customFormat="1" ht="15.5" x14ac:dyDescent="0.25">
      <c r="A51" s="223">
        <v>1</v>
      </c>
      <c r="B51" s="224" t="s">
        <v>462</v>
      </c>
      <c r="C51" s="438">
        <f>Cdither*1000000000</f>
        <v>10</v>
      </c>
      <c r="D51" s="693">
        <f>C51</f>
        <v>10</v>
      </c>
      <c r="E51" s="694"/>
      <c r="F51" s="694"/>
      <c r="G51" s="439"/>
      <c r="H51" s="226" t="s">
        <v>248</v>
      </c>
      <c r="I51" s="227" t="s">
        <v>245</v>
      </c>
      <c r="J51" s="227" t="s">
        <v>245</v>
      </c>
      <c r="L51" s="222"/>
    </row>
    <row r="52" spans="1:12" s="221" customFormat="1" ht="15.5" x14ac:dyDescent="0.25">
      <c r="A52" s="217">
        <f>ROUNDUP('Design Regulator'!E44/10,0)</f>
        <v>133</v>
      </c>
      <c r="B52" s="236" t="s">
        <v>251</v>
      </c>
      <c r="C52" s="243">
        <v>10</v>
      </c>
      <c r="D52" s="718">
        <f>C52</f>
        <v>10</v>
      </c>
      <c r="E52" s="719"/>
      <c r="F52" s="719"/>
      <c r="G52" s="238"/>
      <c r="H52" s="239">
        <v>1210</v>
      </c>
      <c r="I52" s="240" t="s">
        <v>245</v>
      </c>
      <c r="J52" s="240" t="s">
        <v>245</v>
      </c>
      <c r="L52" s="222"/>
    </row>
    <row r="53" spans="1:12" s="221" customFormat="1" ht="15.5" x14ac:dyDescent="0.25">
      <c r="A53" s="217">
        <f>ROUNDUP('Design Regulator'!E35/47,0)</f>
        <v>5</v>
      </c>
      <c r="B53" s="236" t="s">
        <v>252</v>
      </c>
      <c r="C53" s="243">
        <v>47</v>
      </c>
      <c r="D53" s="725">
        <f>C53</f>
        <v>47</v>
      </c>
      <c r="E53" s="726"/>
      <c r="F53" s="726"/>
      <c r="G53" s="238"/>
      <c r="H53" s="239">
        <v>1210</v>
      </c>
      <c r="I53" s="240" t="s">
        <v>245</v>
      </c>
      <c r="J53" s="240" t="s">
        <v>245</v>
      </c>
      <c r="L53" s="222"/>
    </row>
    <row r="54" spans="1:12" s="221" customFormat="1" ht="15.5" x14ac:dyDescent="0.25">
      <c r="A54" s="217">
        <v>2</v>
      </c>
      <c r="B54" s="236" t="s">
        <v>767</v>
      </c>
      <c r="C54" s="244">
        <f>'Design Regulator'!E52</f>
        <v>100</v>
      </c>
      <c r="D54" s="712">
        <f>C54</f>
        <v>100</v>
      </c>
      <c r="E54" s="713"/>
      <c r="F54" s="713"/>
      <c r="G54" s="238"/>
      <c r="H54" s="239" t="s">
        <v>248</v>
      </c>
      <c r="I54" s="240" t="s">
        <v>245</v>
      </c>
      <c r="J54" s="240" t="s">
        <v>245</v>
      </c>
      <c r="L54" s="222"/>
    </row>
    <row r="55" spans="1:12" s="221" customFormat="1" ht="15.5" x14ac:dyDescent="0.25">
      <c r="A55" s="228">
        <v>3</v>
      </c>
      <c r="B55" s="229" t="s">
        <v>768</v>
      </c>
      <c r="C55" s="242">
        <v>2.2000000000000002</v>
      </c>
      <c r="D55" s="716">
        <f t="shared" si="0"/>
        <v>2.2000000000000002</v>
      </c>
      <c r="E55" s="717"/>
      <c r="F55" s="717"/>
      <c r="G55" s="241"/>
      <c r="H55" s="231" t="s">
        <v>248</v>
      </c>
      <c r="I55" s="232" t="s">
        <v>245</v>
      </c>
      <c r="J55" s="232" t="s">
        <v>245</v>
      </c>
      <c r="L55" s="222"/>
    </row>
    <row r="56" spans="1:12" s="221" customFormat="1" ht="15.5" x14ac:dyDescent="0.25">
      <c r="A56" s="228">
        <v>1</v>
      </c>
      <c r="B56" s="229" t="s">
        <v>772</v>
      </c>
      <c r="C56" s="242">
        <v>0.47</v>
      </c>
      <c r="D56" s="716">
        <f t="shared" si="0"/>
        <v>0.47</v>
      </c>
      <c r="E56" s="717"/>
      <c r="F56" s="717"/>
      <c r="G56" s="241"/>
      <c r="H56" s="231" t="s">
        <v>248</v>
      </c>
      <c r="I56" s="232" t="s">
        <v>245</v>
      </c>
      <c r="J56" s="232" t="s">
        <v>245</v>
      </c>
      <c r="L56" s="222"/>
    </row>
    <row r="57" spans="1:12" s="221" customFormat="1" ht="15.75" customHeight="1" x14ac:dyDescent="0.25">
      <c r="A57" s="228">
        <v>2</v>
      </c>
      <c r="B57" s="229" t="s">
        <v>760</v>
      </c>
      <c r="C57" s="245" t="s">
        <v>246</v>
      </c>
      <c r="D57" s="723" t="s">
        <v>802</v>
      </c>
      <c r="E57" s="724"/>
      <c r="F57" s="724"/>
      <c r="G57" s="241"/>
      <c r="H57" s="246" t="s">
        <v>256</v>
      </c>
      <c r="I57" s="232" t="s">
        <v>256</v>
      </c>
      <c r="J57" s="232" t="s">
        <v>255</v>
      </c>
      <c r="L57" s="222"/>
    </row>
    <row r="58" spans="1:12" s="221" customFormat="1" ht="15.5" x14ac:dyDescent="0.25">
      <c r="A58" s="217">
        <v>1</v>
      </c>
      <c r="B58" s="236" t="s">
        <v>758</v>
      </c>
      <c r="C58" s="247">
        <f>'Design Regulator'!E28</f>
        <v>10</v>
      </c>
      <c r="D58" s="707" t="str">
        <f>"Inductor, "&amp;Lf*1000000&amp;"µH, "&amp;Rdcr*1000&amp;"mΩ, &gt;"&amp;ROUNDUP(Ilimit_DC*1.3/SCH_MODE,0)&amp;"A"</f>
        <v>Inductor, 10µH, 1.86mΩ, &gt;39A</v>
      </c>
      <c r="E58" s="708"/>
      <c r="F58" s="708"/>
      <c r="G58" s="709"/>
      <c r="H58" s="240" t="s">
        <v>256</v>
      </c>
      <c r="I58" s="240" t="s">
        <v>256</v>
      </c>
      <c r="J58" s="240" t="s">
        <v>255</v>
      </c>
      <c r="L58" s="222"/>
    </row>
    <row r="59" spans="1:12" s="221" customFormat="1" ht="15.5" x14ac:dyDescent="0.25">
      <c r="A59" s="217">
        <v>1</v>
      </c>
      <c r="B59" s="236" t="s">
        <v>759</v>
      </c>
      <c r="C59" s="247">
        <f>IF(MODE = 1, 'Design Regulator'!J28, 'Design Regulator'!E28)</f>
        <v>10</v>
      </c>
      <c r="D59" s="707" t="str">
        <f>IF(MODE=1, "Inductor, "&amp;Lo_2*1000000&amp;"µH, "&amp;Rdcr2*1000&amp;"mΩ, &gt;"&amp;ROUNDUP(Ilimit2_DC*1.3,0)&amp;"A", "Inductor, "&amp;Lf*1000000&amp;"µH, "&amp;Rdcr*1000&amp;"mΩ, &gt;"&amp;ROUNDUP(Ilimit_DC*1.3/SCH_MODE,0)&amp;"A")</f>
        <v>Inductor, 10µH, 1.86mΩ, &gt;39A</v>
      </c>
      <c r="E59" s="708"/>
      <c r="F59" s="708"/>
      <c r="G59" s="709"/>
      <c r="H59" s="240" t="s">
        <v>256</v>
      </c>
      <c r="I59" s="240" t="s">
        <v>256</v>
      </c>
      <c r="J59" s="240" t="s">
        <v>255</v>
      </c>
      <c r="L59" s="222"/>
    </row>
    <row r="60" spans="1:12" s="221" customFormat="1" ht="15.5" x14ac:dyDescent="0.25">
      <c r="A60" s="228">
        <v>2</v>
      </c>
      <c r="B60" s="229" t="s">
        <v>523</v>
      </c>
      <c r="C60" s="245" t="s">
        <v>246</v>
      </c>
      <c r="D60" s="701">
        <f>'Design Regulator'!E83</f>
        <v>1.3</v>
      </c>
      <c r="E60" s="702"/>
      <c r="F60" s="702"/>
      <c r="G60" s="703"/>
      <c r="H60" s="232" t="s">
        <v>245</v>
      </c>
      <c r="I60" s="232" t="str">
        <f>'Design Regulator'!E81</f>
        <v>IGC019S06S1, IGC019S06S1</v>
      </c>
      <c r="J60" s="232" t="s">
        <v>256</v>
      </c>
      <c r="L60" s="222"/>
    </row>
    <row r="61" spans="1:12" s="221" customFormat="1" ht="15.5" x14ac:dyDescent="0.25">
      <c r="A61" s="228">
        <v>2</v>
      </c>
      <c r="B61" s="229" t="s">
        <v>524</v>
      </c>
      <c r="C61" s="245" t="s">
        <v>246</v>
      </c>
      <c r="D61" s="701">
        <f>'Design Regulator'!H83</f>
        <v>6</v>
      </c>
      <c r="E61" s="702"/>
      <c r="F61" s="702"/>
      <c r="G61" s="703"/>
      <c r="H61" s="232" t="s">
        <v>245</v>
      </c>
      <c r="I61" s="232" t="str">
        <f>IF(MODE=1, 'Design Regulator'!H81, 'Design Regulator'!E81)</f>
        <v>IGC019S06S1, IGC019S06S1</v>
      </c>
      <c r="J61" s="232" t="s">
        <v>256</v>
      </c>
      <c r="L61" s="222"/>
    </row>
    <row r="62" spans="1:12" s="221" customFormat="1" ht="15.5" x14ac:dyDescent="0.25">
      <c r="A62" s="223">
        <v>1</v>
      </c>
      <c r="B62" s="224" t="s">
        <v>257</v>
      </c>
      <c r="C62" s="225">
        <f>'Design Regulator'!D70</f>
        <v>18</v>
      </c>
      <c r="D62" s="698">
        <f t="shared" ref="D62:D74" si="2">C62</f>
        <v>18</v>
      </c>
      <c r="E62" s="699"/>
      <c r="F62" s="699"/>
      <c r="G62" s="700"/>
      <c r="H62" s="226" t="s">
        <v>248</v>
      </c>
      <c r="I62" s="227" t="s">
        <v>245</v>
      </c>
      <c r="J62" s="227" t="s">
        <v>245</v>
      </c>
      <c r="L62" s="222"/>
    </row>
    <row r="63" spans="1:12" s="221" customFormat="1" ht="15.5" x14ac:dyDescent="0.25">
      <c r="A63" s="223">
        <v>1</v>
      </c>
      <c r="B63" s="224" t="s">
        <v>761</v>
      </c>
      <c r="C63" s="225" t="str">
        <f>IF(MODE=1, 'Variable Management'!E353, "N/A")</f>
        <v>N/A</v>
      </c>
      <c r="D63" s="698" t="str">
        <f t="shared" ref="D63" si="3">C63</f>
        <v>N/A</v>
      </c>
      <c r="E63" s="699"/>
      <c r="F63" s="699"/>
      <c r="G63" s="700"/>
      <c r="H63" s="239" t="str">
        <f>IF(MODE=1, "0603", "-")</f>
        <v>-</v>
      </c>
      <c r="I63" s="239" t="str">
        <f>IF(MODE=1, "Std", "-")</f>
        <v>-</v>
      </c>
      <c r="J63" s="239" t="str">
        <f>IF(MODE=1, "Std", "-")</f>
        <v>-</v>
      </c>
      <c r="L63" s="222"/>
    </row>
    <row r="64" spans="1:12" s="221" customFormat="1" ht="15.5" x14ac:dyDescent="0.25">
      <c r="A64" s="223">
        <v>1</v>
      </c>
      <c r="B64" s="224" t="s">
        <v>762</v>
      </c>
      <c r="C64" s="437">
        <f>Rs*1000</f>
        <v>2.2000000000000002</v>
      </c>
      <c r="D64" s="704">
        <f t="shared" si="2"/>
        <v>2.2000000000000002</v>
      </c>
      <c r="E64" s="705"/>
      <c r="F64" s="705"/>
      <c r="G64" s="706"/>
      <c r="H64" s="226" t="s">
        <v>763</v>
      </c>
      <c r="I64" s="227" t="s">
        <v>245</v>
      </c>
      <c r="J64" s="227" t="s">
        <v>245</v>
      </c>
      <c r="L64" s="222"/>
    </row>
    <row r="65" spans="1:12" s="221" customFormat="1" ht="15.5" x14ac:dyDescent="0.25">
      <c r="A65" s="223">
        <v>1</v>
      </c>
      <c r="B65" s="224" t="s">
        <v>764</v>
      </c>
      <c r="C65" s="437">
        <f>IF(MODE=1, Rs_Ch2*1000, Rs*1000)</f>
        <v>2.2000000000000002</v>
      </c>
      <c r="D65" s="704">
        <f t="shared" ref="D65" si="4">C65</f>
        <v>2.2000000000000002</v>
      </c>
      <c r="E65" s="705"/>
      <c r="F65" s="705"/>
      <c r="G65" s="706"/>
      <c r="H65" s="226" t="s">
        <v>763</v>
      </c>
      <c r="I65" s="227" t="s">
        <v>245</v>
      </c>
      <c r="J65" s="227" t="s">
        <v>245</v>
      </c>
      <c r="L65" s="222"/>
    </row>
    <row r="66" spans="1:12" s="221" customFormat="1" ht="15.5" x14ac:dyDescent="0.25">
      <c r="A66" s="223">
        <v>1</v>
      </c>
      <c r="B66" s="224" t="s">
        <v>460</v>
      </c>
      <c r="C66" s="225">
        <f>'Design Regulator'!E13</f>
        <v>100</v>
      </c>
      <c r="D66" s="698">
        <f t="shared" si="2"/>
        <v>100</v>
      </c>
      <c r="E66" s="699"/>
      <c r="F66" s="699"/>
      <c r="G66" s="700"/>
      <c r="H66" s="226" t="s">
        <v>248</v>
      </c>
      <c r="I66" s="227" t="s">
        <v>245</v>
      </c>
      <c r="J66" s="227" t="s">
        <v>245</v>
      </c>
      <c r="L66" s="222"/>
    </row>
    <row r="67" spans="1:12" s="221" customFormat="1" ht="15.5" x14ac:dyDescent="0.25">
      <c r="A67" s="223">
        <v>1</v>
      </c>
      <c r="B67" s="224" t="s">
        <v>259</v>
      </c>
      <c r="C67" s="225">
        <f>'Design Regulator'!E65</f>
        <v>390</v>
      </c>
      <c r="D67" s="698">
        <f t="shared" si="2"/>
        <v>390</v>
      </c>
      <c r="E67" s="699"/>
      <c r="F67" s="699"/>
      <c r="G67" s="700"/>
      <c r="H67" s="226" t="s">
        <v>248</v>
      </c>
      <c r="I67" s="227" t="s">
        <v>245</v>
      </c>
      <c r="J67" s="227" t="s">
        <v>245</v>
      </c>
      <c r="L67" s="222"/>
    </row>
    <row r="68" spans="1:12" s="221" customFormat="1" ht="15.5" x14ac:dyDescent="0.25">
      <c r="A68" s="223">
        <v>1</v>
      </c>
      <c r="B68" s="224" t="s">
        <v>260</v>
      </c>
      <c r="C68" s="225">
        <f>'Design Regulator'!E66</f>
        <v>10</v>
      </c>
      <c r="D68" s="698">
        <f t="shared" si="2"/>
        <v>10</v>
      </c>
      <c r="E68" s="699"/>
      <c r="F68" s="699"/>
      <c r="G68" s="700"/>
      <c r="H68" s="226" t="s">
        <v>248</v>
      </c>
      <c r="I68" s="227" t="s">
        <v>245</v>
      </c>
      <c r="J68" s="227" t="s">
        <v>245</v>
      </c>
      <c r="L68" s="222"/>
    </row>
    <row r="69" spans="1:12" s="221" customFormat="1" ht="15.5" x14ac:dyDescent="0.25">
      <c r="A69" s="223">
        <v>1</v>
      </c>
      <c r="B69" s="224" t="s">
        <v>765</v>
      </c>
      <c r="C69" s="225" t="str">
        <f>IF(MODE=1, 'Design Regulator'!J65, "N/A")</f>
        <v>N/A</v>
      </c>
      <c r="D69" s="698" t="str">
        <f t="shared" ref="D69:D70" si="5">C69</f>
        <v>N/A</v>
      </c>
      <c r="E69" s="699"/>
      <c r="F69" s="699"/>
      <c r="G69" s="700"/>
      <c r="H69" s="239" t="str">
        <f>IF(MODE=1, "0603", "-")</f>
        <v>-</v>
      </c>
      <c r="I69" s="239" t="str">
        <f>IF(MODE=1, "Std", "-")</f>
        <v>-</v>
      </c>
      <c r="J69" s="239" t="str">
        <f>IF(MODE=1, "Std", "-")</f>
        <v>-</v>
      </c>
      <c r="L69" s="222"/>
    </row>
    <row r="70" spans="1:12" s="221" customFormat="1" ht="15.5" x14ac:dyDescent="0.25">
      <c r="A70" s="223">
        <v>1</v>
      </c>
      <c r="B70" s="224" t="s">
        <v>766</v>
      </c>
      <c r="C70" s="225" t="str">
        <f>IF(MODE=1, 'Design Regulator'!J66, "N/A")</f>
        <v>N/A</v>
      </c>
      <c r="D70" s="698" t="str">
        <f t="shared" si="5"/>
        <v>N/A</v>
      </c>
      <c r="E70" s="699"/>
      <c r="F70" s="699"/>
      <c r="G70" s="700"/>
      <c r="H70" s="239" t="str">
        <f>IF(MODE=1, "0603", "-")</f>
        <v>-</v>
      </c>
      <c r="I70" s="239" t="str">
        <f>IF(MODE=1, "Std", "-")</f>
        <v>-</v>
      </c>
      <c r="J70" s="239" t="str">
        <f>IF(MODE=1, "Std", "-")</f>
        <v>-</v>
      </c>
      <c r="L70" s="222"/>
    </row>
    <row r="71" spans="1:12" s="221" customFormat="1" ht="15.5" x14ac:dyDescent="0.25">
      <c r="A71" s="228">
        <v>2</v>
      </c>
      <c r="B71" s="229" t="s">
        <v>773</v>
      </c>
      <c r="C71" s="230">
        <v>100</v>
      </c>
      <c r="D71" s="695">
        <f t="shared" si="2"/>
        <v>100</v>
      </c>
      <c r="E71" s="696"/>
      <c r="F71" s="696"/>
      <c r="G71" s="697"/>
      <c r="H71" s="231" t="s">
        <v>248</v>
      </c>
      <c r="I71" s="232" t="s">
        <v>245</v>
      </c>
      <c r="J71" s="232" t="s">
        <v>245</v>
      </c>
      <c r="L71" s="222"/>
    </row>
    <row r="72" spans="1:12" s="221" customFormat="1" ht="15.5" x14ac:dyDescent="0.25">
      <c r="A72" s="223">
        <v>2</v>
      </c>
      <c r="B72" s="224" t="s">
        <v>801</v>
      </c>
      <c r="C72" s="225">
        <v>100</v>
      </c>
      <c r="D72" s="698">
        <f t="shared" si="2"/>
        <v>100</v>
      </c>
      <c r="E72" s="699"/>
      <c r="F72" s="699"/>
      <c r="G72" s="700"/>
      <c r="H72" s="226" t="s">
        <v>248</v>
      </c>
      <c r="I72" s="227" t="s">
        <v>245</v>
      </c>
      <c r="J72" s="227" t="s">
        <v>245</v>
      </c>
      <c r="L72" s="222"/>
    </row>
    <row r="73" spans="1:12" s="221" customFormat="1" ht="15.5" x14ac:dyDescent="0.25">
      <c r="A73" s="223">
        <v>1</v>
      </c>
      <c r="B73" s="224" t="s">
        <v>800</v>
      </c>
      <c r="C73" s="225">
        <v>100</v>
      </c>
      <c r="D73" s="698">
        <f t="shared" si="2"/>
        <v>100</v>
      </c>
      <c r="E73" s="699"/>
      <c r="F73" s="699"/>
      <c r="G73" s="700"/>
      <c r="H73" s="226" t="s">
        <v>248</v>
      </c>
      <c r="I73" s="227" t="s">
        <v>245</v>
      </c>
      <c r="J73" s="227" t="s">
        <v>245</v>
      </c>
      <c r="L73" s="222"/>
    </row>
    <row r="74" spans="1:12" s="221" customFormat="1" ht="15.5" x14ac:dyDescent="0.25">
      <c r="A74" s="228">
        <v>1</v>
      </c>
      <c r="B74" s="229" t="s">
        <v>258</v>
      </c>
      <c r="C74" s="245">
        <v>2.2000000000000002</v>
      </c>
      <c r="D74" s="720">
        <f t="shared" si="2"/>
        <v>2.2000000000000002</v>
      </c>
      <c r="E74" s="721"/>
      <c r="F74" s="721"/>
      <c r="G74" s="722"/>
      <c r="H74" s="231" t="s">
        <v>248</v>
      </c>
      <c r="I74" s="232" t="s">
        <v>245</v>
      </c>
      <c r="J74" s="232" t="s">
        <v>245</v>
      </c>
      <c r="L74" s="222"/>
    </row>
    <row r="75" spans="1:12" s="221" customFormat="1" ht="14.25" customHeight="1" x14ac:dyDescent="0.25">
      <c r="A75" s="676">
        <v>1</v>
      </c>
      <c r="B75" s="688" t="s">
        <v>261</v>
      </c>
      <c r="C75" s="686" t="str">
        <f>CHOOSE(VARIANT, "LM5143", "LM5143-Q1", "LM5143A-Q1","LM25143","LM25143-Q1")</f>
        <v>LM5143</v>
      </c>
      <c r="D75" s="680" t="str">
        <f>CHOOSE(VARIANT, "IC, LM5143, Buck PWM Controller, 3.5V–65V Input","IC, LM5143-Q1, Buck PWM Controller, 3.5V–65V Input","IC, LM5143A-Q1, Buck PWM Controller, 3.5V–65V Input","IC, LM25143, Buck PWM Controller, 3.5V–42V Input","IC, LM25143-Q1, Buck PWM Controller, 3.5V–42V Input")</f>
        <v>IC, LM5143, Buck PWM Controller, 3.5V–65V Input</v>
      </c>
      <c r="E75" s="681"/>
      <c r="F75" s="681"/>
      <c r="G75" s="682"/>
      <c r="H75" s="678" t="s">
        <v>757</v>
      </c>
      <c r="I75" s="678" t="str">
        <f>CHOOSE(VARIANT, "LM5143RHAR", "LM5143QRWGRQ1", "LM5143QRHARQ1", "LM25143RHAR", "LM25143QRHARQ1")</f>
        <v>LM5143RHAR</v>
      </c>
      <c r="J75" s="678" t="s">
        <v>247</v>
      </c>
      <c r="L75" s="222"/>
    </row>
    <row r="76" spans="1:12" x14ac:dyDescent="0.25">
      <c r="A76" s="677"/>
      <c r="B76" s="689"/>
      <c r="C76" s="687"/>
      <c r="D76" s="683"/>
      <c r="E76" s="684"/>
      <c r="F76" s="684"/>
      <c r="G76" s="685"/>
      <c r="H76" s="679"/>
      <c r="I76" s="679"/>
      <c r="J76" s="679"/>
    </row>
    <row r="78" spans="1:12" ht="13" x14ac:dyDescent="0.3">
      <c r="A78" s="255" t="s">
        <v>269</v>
      </c>
    </row>
    <row r="79" spans="1:12" ht="17.149999999999999" customHeight="1" x14ac:dyDescent="0.25">
      <c r="A79" s="128" t="s">
        <v>606</v>
      </c>
      <c r="D79" s="553" t="s">
        <v>605</v>
      </c>
      <c r="E79" s="214" t="s">
        <v>607</v>
      </c>
    </row>
    <row r="80" spans="1:12" ht="17.149999999999999" customHeight="1" x14ac:dyDescent="0.25">
      <c r="A80" s="214" t="s">
        <v>464</v>
      </c>
    </row>
    <row r="81" spans="1:1" ht="17.149999999999999" customHeight="1" x14ac:dyDescent="0.25">
      <c r="A81" s="214" t="s">
        <v>461</v>
      </c>
    </row>
  </sheetData>
  <sheetProtection algorithmName="SHA-512" hashValue="noeROmgzs74+Ki+xq76TMsItNlfdGQzl7OsBLV4r541aV1xEIRFKWVAt0RfsYVUAI3hU+P78zAm5MGmv0EiM3w==" saltValue="4R3/p4V7jC78QHG7g2IlVw==" spinCount="100000" sheet="1" objects="1" scenarios="1" selectLockedCells="1" selectUnlockedCells="1"/>
  <mergeCells count="38">
    <mergeCell ref="D70:G70"/>
    <mergeCell ref="D49:F49"/>
    <mergeCell ref="D72:G72"/>
    <mergeCell ref="D73:G73"/>
    <mergeCell ref="D74:G74"/>
    <mergeCell ref="D57:F57"/>
    <mergeCell ref="D62:G62"/>
    <mergeCell ref="D53:F53"/>
    <mergeCell ref="D54:F54"/>
    <mergeCell ref="D56:F56"/>
    <mergeCell ref="D47:F47"/>
    <mergeCell ref="D48:F48"/>
    <mergeCell ref="D50:F50"/>
    <mergeCell ref="D55:F55"/>
    <mergeCell ref="D52:F52"/>
    <mergeCell ref="D44:G44"/>
    <mergeCell ref="D51:F51"/>
    <mergeCell ref="D71:G71"/>
    <mergeCell ref="D67:G67"/>
    <mergeCell ref="D68:G68"/>
    <mergeCell ref="D60:G60"/>
    <mergeCell ref="D61:G61"/>
    <mergeCell ref="D66:G66"/>
    <mergeCell ref="D64:G64"/>
    <mergeCell ref="D58:G58"/>
    <mergeCell ref="D59:G59"/>
    <mergeCell ref="D63:G63"/>
    <mergeCell ref="D65:G65"/>
    <mergeCell ref="D69:G69"/>
    <mergeCell ref="D45:F45"/>
    <mergeCell ref="D46:F46"/>
    <mergeCell ref="A75:A76"/>
    <mergeCell ref="J75:J76"/>
    <mergeCell ref="D75:G76"/>
    <mergeCell ref="C75:C76"/>
    <mergeCell ref="B75:B76"/>
    <mergeCell ref="H75:H76"/>
    <mergeCell ref="I75:I76"/>
  </mergeCells>
  <hyperlinks>
    <hyperlink ref="D79" r:id="rId1" xr:uid="{00000000-0004-0000-0100-000000000000}"/>
  </hyperlinks>
  <printOptions horizontalCentered="1"/>
  <pageMargins left="0.23" right="0.23" top="0.7" bottom="0.61" header="0.3" footer="0.5"/>
  <pageSetup scale="46" fitToHeight="2" orientation="landscape" r:id="rId2"/>
  <headerFooter alignWithMargins="0"/>
  <ignoredErrors>
    <ignoredError sqref="H45:H47 H56 H58 H71 H55 H62 H66:H68 H54 H51 H50 H72:H74 H64:H65" numberStoredAsText="1"/>
  </ignoredErrors>
  <drawing r:id="rId3"/>
  <legacy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0000FF"/>
    <pageSetUpPr fitToPage="1"/>
  </sheetPr>
  <dimension ref="A1:W6"/>
  <sheetViews>
    <sheetView topLeftCell="A20" zoomScaleNormal="100" zoomScaleSheetLayoutView="80" workbookViewId="0">
      <selection activeCell="A2" sqref="A2"/>
    </sheetView>
  </sheetViews>
  <sheetFormatPr defaultColWidth="9.08984375" defaultRowHeight="12.5" x14ac:dyDescent="0.25"/>
  <cols>
    <col min="1" max="13" width="9.08984375" style="121"/>
    <col min="14" max="14" width="11.90625" style="121" customWidth="1"/>
    <col min="15" max="16" width="9.08984375" style="121"/>
    <col min="17" max="17" width="15.6328125" style="121" customWidth="1"/>
    <col min="18" max="16384" width="9.08984375" style="121"/>
  </cols>
  <sheetData>
    <row r="1" spans="1:23" s="113" customFormat="1" ht="47.25" customHeight="1" x14ac:dyDescent="0.3">
      <c r="A1" s="727" t="s">
        <v>857</v>
      </c>
      <c r="B1" s="728"/>
      <c r="C1" s="728"/>
      <c r="D1" s="728"/>
      <c r="E1" s="728"/>
      <c r="F1" s="728"/>
      <c r="G1" s="728"/>
      <c r="H1" s="728"/>
      <c r="I1" s="728"/>
      <c r="J1" s="728"/>
      <c r="K1" s="728"/>
      <c r="L1" s="728"/>
      <c r="M1" s="728"/>
      <c r="N1" s="728"/>
      <c r="O1" s="728"/>
      <c r="P1" s="728"/>
      <c r="Q1" s="728"/>
    </row>
    <row r="6" spans="1:23" ht="20" x14ac:dyDescent="0.4">
      <c r="B6" s="122" t="s">
        <v>618</v>
      </c>
      <c r="M6" s="122"/>
      <c r="W6" s="122"/>
    </row>
  </sheetData>
  <sheetProtection algorithmName="SHA-512" hashValue="ME2Liox88eb1tlMmpYGEI0zgr4rj6az9EPWygQscUZuf8Jy4pmR0dor3AWEEhfdErV15IkKQScFM+imSN0HfQg==" saltValue="7qRta+P6OvzdH2eW5Q2trw==" spinCount="100000" sheet="1" objects="1" scenarios="1"/>
  <mergeCells count="1">
    <mergeCell ref="A1:Q1"/>
  </mergeCells>
  <pageMargins left="0.19" right="0.2" top="0.75" bottom="0.75" header="0.3" footer="0.3"/>
  <pageSetup scale="30"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A390"/>
  <sheetViews>
    <sheetView zoomScaleNormal="100" workbookViewId="0">
      <pane ySplit="5" topLeftCell="A15" activePane="bottomLeft" state="frozenSplit"/>
      <selection pane="bottomLeft" activeCell="A4" sqref="A4"/>
    </sheetView>
  </sheetViews>
  <sheetFormatPr defaultRowHeight="13" x14ac:dyDescent="0.3"/>
  <cols>
    <col min="1" max="1" width="35.6328125" customWidth="1"/>
    <col min="2" max="2" width="12" customWidth="1"/>
    <col min="3" max="3" width="12.08984375" style="2" customWidth="1"/>
    <col min="4" max="4" width="13.453125" customWidth="1"/>
    <col min="5" max="5" width="11.54296875" customWidth="1"/>
    <col min="6" max="6" width="12.453125" bestFit="1" customWidth="1"/>
    <col min="7" max="7" width="17.453125" customWidth="1"/>
    <col min="8" max="8" width="34.6328125" customWidth="1"/>
    <col min="9" max="9" width="11.6328125" customWidth="1"/>
    <col min="10" max="10" width="12.453125" bestFit="1" customWidth="1"/>
    <col min="11" max="11" width="15.08984375" customWidth="1"/>
    <col min="12" max="12" width="13.36328125" customWidth="1"/>
    <col min="14" max="14" width="8.6328125" customWidth="1"/>
    <col min="16" max="16" width="8.36328125" customWidth="1"/>
    <col min="23" max="23" width="11.54296875" bestFit="1" customWidth="1"/>
    <col min="24" max="24" width="12.54296875" customWidth="1"/>
    <col min="25" max="25" width="12.453125" customWidth="1"/>
  </cols>
  <sheetData>
    <row r="1" spans="1:27" ht="30.75" customHeight="1" x14ac:dyDescent="0.6">
      <c r="A1" s="730" t="s">
        <v>393</v>
      </c>
      <c r="B1" s="730"/>
      <c r="C1" s="730"/>
      <c r="D1" s="730"/>
      <c r="E1" s="730"/>
      <c r="F1" s="730"/>
      <c r="G1" s="730"/>
      <c r="H1" s="730"/>
      <c r="I1" s="730"/>
    </row>
    <row r="2" spans="1:27" ht="12" customHeight="1" x14ac:dyDescent="0.3">
      <c r="A2" s="49"/>
      <c r="B2" s="49" t="s">
        <v>191</v>
      </c>
      <c r="C2" s="50"/>
      <c r="E2" s="49"/>
      <c r="F2" s="49"/>
      <c r="G2" s="49"/>
      <c r="H2" s="49"/>
      <c r="I2" s="49"/>
    </row>
    <row r="3" spans="1:27" ht="11.25" customHeight="1" x14ac:dyDescent="0.3">
      <c r="A3" s="49"/>
      <c r="B3" s="49" t="s">
        <v>223</v>
      </c>
      <c r="C3" s="51"/>
      <c r="E3" s="49"/>
      <c r="F3" s="49"/>
      <c r="G3" s="49"/>
      <c r="H3" s="49"/>
      <c r="I3" s="49"/>
    </row>
    <row r="4" spans="1:27" ht="11.25" customHeight="1" x14ac:dyDescent="0.3">
      <c r="A4" s="49"/>
      <c r="B4" s="49" t="s">
        <v>192</v>
      </c>
      <c r="C4" s="52"/>
      <c r="E4" s="49"/>
      <c r="F4" s="49"/>
      <c r="G4" s="49"/>
      <c r="H4" s="49"/>
      <c r="I4" s="49"/>
    </row>
    <row r="5" spans="1:27" x14ac:dyDescent="0.3">
      <c r="A5" s="2" t="s">
        <v>47</v>
      </c>
      <c r="B5" s="2" t="s">
        <v>7</v>
      </c>
      <c r="C5" s="2" t="s">
        <v>8</v>
      </c>
      <c r="E5" s="729" t="s">
        <v>12</v>
      </c>
      <c r="F5" s="729"/>
      <c r="G5" s="729"/>
      <c r="H5" s="729"/>
      <c r="I5" s="2" t="s">
        <v>414</v>
      </c>
    </row>
    <row r="6" spans="1:27" ht="16" thickBot="1" x14ac:dyDescent="0.4">
      <c r="A6" s="525" t="s">
        <v>148</v>
      </c>
      <c r="B6" s="2"/>
      <c r="D6" s="2"/>
      <c r="E6" s="49"/>
      <c r="F6" s="49"/>
      <c r="G6" s="49"/>
      <c r="H6" s="49"/>
      <c r="I6" s="2"/>
    </row>
    <row r="7" spans="1:27" ht="12.5" x14ac:dyDescent="0.25">
      <c r="A7" s="211" t="s">
        <v>289</v>
      </c>
      <c r="B7" s="12">
        <f>'Design Regulator'!E7</f>
        <v>36</v>
      </c>
      <c r="C7" s="63" t="s">
        <v>0</v>
      </c>
      <c r="D7" s="117" t="s">
        <v>290</v>
      </c>
      <c r="E7" s="63"/>
      <c r="F7" s="63"/>
      <c r="G7" s="63"/>
      <c r="H7" s="63"/>
      <c r="I7" s="64">
        <v>1</v>
      </c>
    </row>
    <row r="8" spans="1:27" ht="12.5" x14ac:dyDescent="0.25">
      <c r="A8" s="212" t="s">
        <v>625</v>
      </c>
      <c r="B8" s="29">
        <f>'Design Regulator'!E8</f>
        <v>45</v>
      </c>
      <c r="C8" t="s">
        <v>0</v>
      </c>
      <c r="D8" t="s">
        <v>13</v>
      </c>
      <c r="I8" s="57"/>
      <c r="K8" s="294" t="str">
        <f>CHOOSE(SCH_MODE, "Efficiency vs. IOUT (Ch1)", "Efficiency vs. IOUT - 2 Ph", "Efficiency vs. IOUT - 3 Ph", "Efficiency vs. IOUT - 4 Ph")</f>
        <v>Efficiency vs. IOUT - 2 Ph</v>
      </c>
      <c r="L8" s="116">
        <v>1</v>
      </c>
      <c r="N8" s="294" t="s">
        <v>612</v>
      </c>
      <c r="O8" s="116">
        <v>1</v>
      </c>
      <c r="T8" s="294" t="s">
        <v>780</v>
      </c>
      <c r="U8" s="116">
        <v>1</v>
      </c>
      <c r="W8" s="294" t="s">
        <v>677</v>
      </c>
      <c r="X8" s="116">
        <v>1</v>
      </c>
      <c r="Z8" s="294" t="str">
        <f>CHOOSE(SCH_MODE, "Bode Plot (Ch1)", "Bode Plot - 2 Ph", "Bode Plot - 3 Ph", "Bode Plot - 4 Ph")</f>
        <v>Bode Plot - 2 Ph</v>
      </c>
      <c r="AA8" s="116">
        <v>1</v>
      </c>
    </row>
    <row r="9" spans="1:27" ht="12.5" x14ac:dyDescent="0.25">
      <c r="A9" s="212" t="s">
        <v>288</v>
      </c>
      <c r="B9" s="29">
        <f>'Design Regulator'!E9</f>
        <v>51</v>
      </c>
      <c r="C9" t="s">
        <v>0</v>
      </c>
      <c r="D9" s="114" t="s">
        <v>291</v>
      </c>
      <c r="I9" s="57"/>
      <c r="K9" s="294" t="str">
        <f>IF(MODE=1, "Efficiency vs. IOUT (Ch2)", "N/A - Do Not Use")</f>
        <v>N/A - Do Not Use</v>
      </c>
      <c r="L9" s="116">
        <v>2</v>
      </c>
      <c r="N9" s="294" t="s">
        <v>611</v>
      </c>
      <c r="O9" s="116">
        <v>2</v>
      </c>
      <c r="T9" s="294" t="s">
        <v>781</v>
      </c>
      <c r="U9" s="116">
        <v>2</v>
      </c>
      <c r="W9" s="294" t="s">
        <v>678</v>
      </c>
      <c r="X9" s="116">
        <v>2</v>
      </c>
      <c r="Z9" s="294" t="str">
        <f>IF(MODE=1, "Bode Plot (Ch2)", "N/A - Do Not Use")</f>
        <v>N/A - Do Not Use</v>
      </c>
      <c r="AA9" s="116">
        <v>2</v>
      </c>
    </row>
    <row r="10" spans="1:27" x14ac:dyDescent="0.3">
      <c r="A10" s="212"/>
      <c r="B10" s="4"/>
      <c r="C10"/>
      <c r="D10" s="114"/>
      <c r="I10" s="57"/>
      <c r="K10" s="535" t="s">
        <v>586</v>
      </c>
      <c r="L10" s="536">
        <v>1</v>
      </c>
      <c r="N10" s="535" t="s">
        <v>609</v>
      </c>
      <c r="O10" s="536">
        <v>1</v>
      </c>
      <c r="P10" s="114" t="s">
        <v>610</v>
      </c>
      <c r="T10" s="294" t="s">
        <v>782</v>
      </c>
      <c r="U10" s="116">
        <v>3</v>
      </c>
      <c r="W10" s="535" t="s">
        <v>679</v>
      </c>
      <c r="X10" s="536">
        <v>2</v>
      </c>
      <c r="Z10" s="535" t="s">
        <v>784</v>
      </c>
      <c r="AA10" s="536">
        <v>1</v>
      </c>
    </row>
    <row r="11" spans="1:27" ht="12.5" x14ac:dyDescent="0.25">
      <c r="A11" s="56" t="s">
        <v>4</v>
      </c>
      <c r="B11" s="29">
        <f>'Design Regulator'!E10</f>
        <v>24</v>
      </c>
      <c r="C11" t="s">
        <v>0</v>
      </c>
      <c r="D11" s="114" t="s">
        <v>639</v>
      </c>
      <c r="I11" s="57"/>
      <c r="T11" s="294" t="s">
        <v>783</v>
      </c>
      <c r="U11" s="116">
        <v>4</v>
      </c>
      <c r="V11" s="114"/>
    </row>
    <row r="12" spans="1:27" x14ac:dyDescent="0.3">
      <c r="A12" s="56" t="s">
        <v>5</v>
      </c>
      <c r="B12" s="29">
        <f>'Design Regulator'!E11</f>
        <v>60</v>
      </c>
      <c r="C12" t="s">
        <v>1</v>
      </c>
      <c r="D12" s="114" t="s">
        <v>640</v>
      </c>
      <c r="I12" s="57">
        <v>1</v>
      </c>
      <c r="T12" s="535" t="s">
        <v>631</v>
      </c>
      <c r="U12" s="536">
        <v>2</v>
      </c>
      <c r="V12" s="114"/>
    </row>
    <row r="13" spans="1:27" x14ac:dyDescent="0.3">
      <c r="A13" s="212" t="s">
        <v>626</v>
      </c>
      <c r="B13" s="29">
        <f>'Design Regulator'!J10</f>
        <v>5</v>
      </c>
      <c r="C13" t="s">
        <v>0</v>
      </c>
      <c r="D13" s="114" t="s">
        <v>642</v>
      </c>
      <c r="I13" s="57">
        <v>1</v>
      </c>
      <c r="K13" s="294" t="s">
        <v>712</v>
      </c>
      <c r="L13" s="116">
        <v>1</v>
      </c>
      <c r="N13" s="294" t="s">
        <v>712</v>
      </c>
      <c r="O13" s="116">
        <v>1</v>
      </c>
      <c r="T13" s="598" t="s">
        <v>797</v>
      </c>
      <c r="U13" s="594">
        <f>IF(U12=1, 1, 2)</f>
        <v>2</v>
      </c>
      <c r="V13" s="114"/>
      <c r="W13" s="294" t="s">
        <v>808</v>
      </c>
      <c r="X13" s="116">
        <v>1</v>
      </c>
    </row>
    <row r="14" spans="1:27" x14ac:dyDescent="0.3">
      <c r="A14" s="212" t="s">
        <v>627</v>
      </c>
      <c r="B14" s="29">
        <f>'Design Regulator'!J11</f>
        <v>12</v>
      </c>
      <c r="C14" t="s">
        <v>1</v>
      </c>
      <c r="D14" s="114" t="s">
        <v>641</v>
      </c>
      <c r="I14" s="57"/>
      <c r="K14" s="294" t="s">
        <v>713</v>
      </c>
      <c r="L14" s="116">
        <v>2</v>
      </c>
      <c r="N14" s="294" t="s">
        <v>713</v>
      </c>
      <c r="O14" s="116">
        <v>2</v>
      </c>
      <c r="T14" s="296" t="s">
        <v>796</v>
      </c>
      <c r="U14" s="599">
        <f>IF(U12=1, 2, 1)</f>
        <v>1</v>
      </c>
      <c r="W14" s="294" t="s">
        <v>809</v>
      </c>
      <c r="X14" s="116">
        <v>2</v>
      </c>
    </row>
    <row r="15" spans="1:27" x14ac:dyDescent="0.3">
      <c r="A15" s="212"/>
      <c r="C15"/>
      <c r="D15" s="114"/>
      <c r="I15" s="57"/>
      <c r="K15" s="294" t="s">
        <v>714</v>
      </c>
      <c r="L15" s="116">
        <v>3</v>
      </c>
      <c r="N15" s="294" t="s">
        <v>714</v>
      </c>
      <c r="O15" s="116">
        <v>3</v>
      </c>
      <c r="T15" s="296" t="s">
        <v>795</v>
      </c>
      <c r="U15" s="299">
        <f>SCH_MODE</f>
        <v>2</v>
      </c>
      <c r="W15" s="535" t="s">
        <v>810</v>
      </c>
      <c r="X15" s="536">
        <v>2</v>
      </c>
      <c r="Z15" s="294" t="s">
        <v>858</v>
      </c>
      <c r="AA15" s="116">
        <v>1</v>
      </c>
    </row>
    <row r="16" spans="1:27" x14ac:dyDescent="0.3">
      <c r="A16" s="212" t="s">
        <v>326</v>
      </c>
      <c r="B16" s="520">
        <f>Vout/Iout</f>
        <v>0.4</v>
      </c>
      <c r="C16" s="213" t="s">
        <v>116</v>
      </c>
      <c r="D16" s="114" t="s">
        <v>629</v>
      </c>
      <c r="I16" s="57"/>
      <c r="K16" s="535" t="s">
        <v>715</v>
      </c>
      <c r="L16" s="536">
        <f>IF(Vout=3.3, 1, IF(Vout=5, 2, 3))</f>
        <v>3</v>
      </c>
      <c r="N16" s="535" t="s">
        <v>716</v>
      </c>
      <c r="O16" s="536">
        <f>IF(Vout2=3.3, 1, IF(Vout2=5, 2, 3))</f>
        <v>2</v>
      </c>
      <c r="Z16" s="294" t="s">
        <v>859</v>
      </c>
      <c r="AA16" s="116">
        <v>2</v>
      </c>
    </row>
    <row r="17" spans="1:27" x14ac:dyDescent="0.3">
      <c r="A17" s="212" t="s">
        <v>628</v>
      </c>
      <c r="B17" s="520">
        <f>Vout2/Iout2</f>
        <v>0.41666666666666669</v>
      </c>
      <c r="C17" s="213" t="s">
        <v>116</v>
      </c>
      <c r="D17" s="114"/>
      <c r="I17" s="57"/>
      <c r="Z17" s="535" t="s">
        <v>860</v>
      </c>
      <c r="AA17" s="536">
        <v>1</v>
      </c>
    </row>
    <row r="18" spans="1:27" x14ac:dyDescent="0.3">
      <c r="A18" s="212" t="s">
        <v>295</v>
      </c>
      <c r="B18" s="293">
        <f>CHOOSE(MODE, Vout*Iout+Vout2*Iout2, Vout*Iout)</f>
        <v>1440</v>
      </c>
      <c r="C18" t="s">
        <v>116</v>
      </c>
      <c r="D18" s="114" t="s">
        <v>311</v>
      </c>
      <c r="I18" s="57"/>
      <c r="Y18" s="2"/>
    </row>
    <row r="19" spans="1:27" x14ac:dyDescent="0.3">
      <c r="A19" s="212"/>
      <c r="C19"/>
      <c r="D19" s="114"/>
      <c r="I19" s="57"/>
      <c r="Y19" s="2"/>
      <c r="AA19" s="116">
        <f>SENSING_TYPE</f>
        <v>1</v>
      </c>
    </row>
    <row r="20" spans="1:27" x14ac:dyDescent="0.3">
      <c r="A20" s="212" t="s">
        <v>127</v>
      </c>
      <c r="B20" s="408">
        <v>0.9</v>
      </c>
      <c r="C20"/>
      <c r="D20" s="114" t="s">
        <v>427</v>
      </c>
      <c r="I20" s="57"/>
      <c r="X20" s="294" t="s">
        <v>853</v>
      </c>
      <c r="Y20" s="299">
        <v>1</v>
      </c>
    </row>
    <row r="21" spans="1:27" x14ac:dyDescent="0.3">
      <c r="A21" s="212" t="s">
        <v>299</v>
      </c>
      <c r="B21" s="312">
        <f>Pout/Efficiency</f>
        <v>1600</v>
      </c>
      <c r="C21" t="s">
        <v>116</v>
      </c>
      <c r="D21" s="114" t="s">
        <v>630</v>
      </c>
      <c r="I21" s="57"/>
      <c r="L21">
        <f>Vout</f>
        <v>24</v>
      </c>
      <c r="X21" s="294" t="s">
        <v>756</v>
      </c>
      <c r="Y21" s="299">
        <v>2</v>
      </c>
    </row>
    <row r="22" spans="1:27" x14ac:dyDescent="0.3">
      <c r="A22" s="212"/>
      <c r="B22" s="48"/>
      <c r="C22"/>
      <c r="D22" s="114"/>
      <c r="I22" s="57"/>
      <c r="X22" s="294" t="s">
        <v>861</v>
      </c>
      <c r="Y22" s="299">
        <v>3</v>
      </c>
      <c r="Z22" s="114"/>
    </row>
    <row r="23" spans="1:27" x14ac:dyDescent="0.3">
      <c r="A23" s="212" t="s">
        <v>296</v>
      </c>
      <c r="B23" s="305">
        <f>Pin/VIN_min</f>
        <v>44.444444444444443</v>
      </c>
      <c r="C23" t="s">
        <v>1</v>
      </c>
      <c r="D23" s="114"/>
      <c r="I23" s="57"/>
      <c r="X23" s="294" t="s">
        <v>855</v>
      </c>
      <c r="Y23" s="299">
        <v>4</v>
      </c>
    </row>
    <row r="24" spans="1:27" x14ac:dyDescent="0.3">
      <c r="A24" s="212" t="s">
        <v>297</v>
      </c>
      <c r="B24" s="305">
        <f>Pin/VIN_nom</f>
        <v>35.555555555555557</v>
      </c>
      <c r="C24" t="s">
        <v>1</v>
      </c>
      <c r="D24" s="114" t="s">
        <v>312</v>
      </c>
      <c r="I24" s="57"/>
      <c r="X24" s="294" t="s">
        <v>854</v>
      </c>
      <c r="Y24" s="299">
        <v>5</v>
      </c>
    </row>
    <row r="25" spans="1:27" x14ac:dyDescent="0.3">
      <c r="A25" s="212" t="s">
        <v>298</v>
      </c>
      <c r="B25" s="305">
        <f>Pin/VIN_max</f>
        <v>31.372549019607842</v>
      </c>
      <c r="C25" t="s">
        <v>1</v>
      </c>
      <c r="D25" s="114"/>
      <c r="I25" s="57"/>
      <c r="W25" s="536" t="s">
        <v>851</v>
      </c>
      <c r="X25" s="296" t="str">
        <f>CHOOSE(VARIANT, "LM5143", "LM5143-Q1", "LM5143A-Q1", "LM25143", "LM25143-Q1")</f>
        <v>LM5143</v>
      </c>
      <c r="Y25" s="536">
        <v>1</v>
      </c>
    </row>
    <row r="26" spans="1:27" x14ac:dyDescent="0.3">
      <c r="A26" s="212"/>
      <c r="C26"/>
      <c r="D26" s="114"/>
      <c r="I26" s="57"/>
      <c r="W26" s="536" t="s">
        <v>852</v>
      </c>
      <c r="X26" s="296">
        <f>CHOOSE(VARIANT, 65, 65, 65, 42, 42)</f>
        <v>65</v>
      </c>
      <c r="Y26" t="s">
        <v>0</v>
      </c>
    </row>
    <row r="27" spans="1:27" ht="12.5" x14ac:dyDescent="0.25">
      <c r="A27" s="58" t="s">
        <v>6</v>
      </c>
      <c r="B27" s="256">
        <f>'Design Regulator'!E12*1000</f>
        <v>220000</v>
      </c>
      <c r="C27" s="114" t="s">
        <v>9</v>
      </c>
      <c r="D27" s="114" t="s">
        <v>646</v>
      </c>
      <c r="I27" s="57"/>
      <c r="W27" s="114" t="s">
        <v>856</v>
      </c>
      <c r="X27" s="294">
        <f>CHOOSE(VARIANT, 55, 55, 55, 36, 36)</f>
        <v>55</v>
      </c>
      <c r="Y27" s="114" t="s">
        <v>0</v>
      </c>
    </row>
    <row r="28" spans="1:27" ht="12.5" x14ac:dyDescent="0.25">
      <c r="A28" s="212" t="s">
        <v>827</v>
      </c>
      <c r="B28" s="528">
        <f>1/Fsw</f>
        <v>4.5454545454545455E-6</v>
      </c>
      <c r="C28" s="114" t="s">
        <v>549</v>
      </c>
      <c r="D28" s="114" t="s">
        <v>643</v>
      </c>
      <c r="I28" s="57">
        <v>1</v>
      </c>
    </row>
    <row r="29" spans="1:27" ht="12.5" x14ac:dyDescent="0.25">
      <c r="A29" s="58" t="s">
        <v>41</v>
      </c>
      <c r="B29" s="59">
        <v>0.6</v>
      </c>
      <c r="C29" t="s">
        <v>0</v>
      </c>
      <c r="D29" s="114" t="s">
        <v>644</v>
      </c>
      <c r="I29" s="57"/>
    </row>
    <row r="30" spans="1:27" ht="12.5" x14ac:dyDescent="0.25">
      <c r="A30" s="212" t="s">
        <v>280</v>
      </c>
      <c r="B30" s="306">
        <f>22*1000/(Fsw/1000000)</f>
        <v>100000</v>
      </c>
      <c r="C30" s="213" t="s">
        <v>116</v>
      </c>
      <c r="D30" s="114" t="s">
        <v>645</v>
      </c>
      <c r="I30" s="57"/>
    </row>
    <row r="31" spans="1:27" ht="13.5" thickBot="1" x14ac:dyDescent="0.35">
      <c r="A31" s="384"/>
      <c r="B31" s="384"/>
      <c r="C31" s="576"/>
      <c r="D31" s="384"/>
      <c r="E31" s="384"/>
      <c r="F31" s="384"/>
      <c r="G31" s="384"/>
      <c r="H31" s="384"/>
      <c r="I31" s="577"/>
    </row>
    <row r="33" spans="1:9" ht="16" thickBot="1" x14ac:dyDescent="0.4">
      <c r="A33" s="525" t="s">
        <v>721</v>
      </c>
      <c r="B33" s="2" t="s">
        <v>649</v>
      </c>
      <c r="D33" s="2" t="s">
        <v>650</v>
      </c>
    </row>
    <row r="34" spans="1:9" x14ac:dyDescent="0.3">
      <c r="A34" s="211" t="s">
        <v>14</v>
      </c>
      <c r="B34" s="289">
        <f>Vout/VIN_nom</f>
        <v>0.53333333333333333</v>
      </c>
      <c r="C34" s="579"/>
      <c r="D34" s="292"/>
      <c r="E34" s="292"/>
      <c r="F34" s="117" t="s">
        <v>293</v>
      </c>
      <c r="G34" s="63"/>
      <c r="H34" s="63"/>
      <c r="I34" s="64"/>
    </row>
    <row r="35" spans="1:9" x14ac:dyDescent="0.3">
      <c r="A35" s="212" t="s">
        <v>15</v>
      </c>
      <c r="B35" s="290">
        <f>1-34:34</f>
        <v>0.46666666666666667</v>
      </c>
      <c r="C35"/>
      <c r="F35" s="114" t="s">
        <v>294</v>
      </c>
      <c r="I35" s="57"/>
    </row>
    <row r="36" spans="1:9" ht="12.5" x14ac:dyDescent="0.25">
      <c r="A36" s="114"/>
      <c r="C36"/>
      <c r="E36" s="114"/>
      <c r="I36" s="57"/>
    </row>
    <row r="37" spans="1:9" x14ac:dyDescent="0.3">
      <c r="A37" s="212" t="s">
        <v>723</v>
      </c>
      <c r="B37" s="300">
        <f>Vout/VIN_min</f>
        <v>0.66666666666666663</v>
      </c>
      <c r="C37"/>
      <c r="D37" s="300">
        <f>Vout2/VIN_min</f>
        <v>0.1388888888888889</v>
      </c>
      <c r="E37" s="114"/>
      <c r="I37" s="57"/>
    </row>
    <row r="38" spans="1:9" x14ac:dyDescent="0.3">
      <c r="A38" s="212" t="s">
        <v>724</v>
      </c>
      <c r="B38" s="300">
        <f>Vout/VIN_nom</f>
        <v>0.53333333333333333</v>
      </c>
      <c r="C38"/>
      <c r="D38" s="300">
        <f>Vout2/VIN_nom</f>
        <v>0.1111111111111111</v>
      </c>
      <c r="I38" s="57"/>
    </row>
    <row r="39" spans="1:9" x14ac:dyDescent="0.3">
      <c r="A39" s="212" t="s">
        <v>725</v>
      </c>
      <c r="B39" s="300">
        <f>Vout/VIN_max</f>
        <v>0.47058823529411764</v>
      </c>
      <c r="C39"/>
      <c r="D39" s="300">
        <f>Vout2/VIN_max</f>
        <v>9.8039215686274508E-2</v>
      </c>
      <c r="E39" s="114"/>
      <c r="I39" s="57"/>
    </row>
    <row r="40" spans="1:9" x14ac:dyDescent="0.3">
      <c r="A40" s="114"/>
      <c r="B40" s="559"/>
      <c r="C40" s="114"/>
      <c r="E40" s="114"/>
      <c r="I40" s="57"/>
    </row>
    <row r="41" spans="1:9" x14ac:dyDescent="0.3">
      <c r="A41" s="114" t="s">
        <v>303</v>
      </c>
      <c r="B41" s="291">
        <f>(VIN_nom-Vout)*D1_Vinnom/(Fsw*(Iout/Number_of_Phases)*0.35)</f>
        <v>4.8484848484848479E-6</v>
      </c>
      <c r="C41" t="s">
        <v>19</v>
      </c>
      <c r="D41" s="291">
        <f>(VIN_nom-Vout2)*D2_Vinnom/(Fsw*Iout2*0.35)</f>
        <v>4.8100048100048111E-6</v>
      </c>
      <c r="E41" t="s">
        <v>19</v>
      </c>
      <c r="F41" s="114" t="s">
        <v>651</v>
      </c>
      <c r="I41" s="57"/>
    </row>
    <row r="42" spans="1:9" x14ac:dyDescent="0.3">
      <c r="A42" s="114" t="s">
        <v>647</v>
      </c>
      <c r="B42" s="291">
        <f>1000*Vout*Rs/24/Fsw</f>
        <v>1.0000000000000001E-5</v>
      </c>
      <c r="C42" t="s">
        <v>19</v>
      </c>
      <c r="D42" s="291">
        <f>1000*Vout2*Rs_Ch2/24/Fsw</f>
        <v>3.7878787878787882E-6</v>
      </c>
      <c r="E42" t="s">
        <v>19</v>
      </c>
      <c r="F42" s="114" t="s">
        <v>722</v>
      </c>
      <c r="I42" s="57"/>
    </row>
    <row r="43" spans="1:9" ht="12.5" x14ac:dyDescent="0.25">
      <c r="A43" s="114"/>
      <c r="C43" s="114"/>
      <c r="E43" s="114"/>
      <c r="I43" s="57"/>
    </row>
    <row r="44" spans="1:9" x14ac:dyDescent="0.3">
      <c r="A44" s="212" t="s">
        <v>304</v>
      </c>
      <c r="B44" s="291">
        <f>B42</f>
        <v>1.0000000000000001E-5</v>
      </c>
      <c r="C44" t="s">
        <v>19</v>
      </c>
      <c r="D44" s="532">
        <f>D42</f>
        <v>3.7878787878787882E-6</v>
      </c>
      <c r="E44" s="114" t="s">
        <v>19</v>
      </c>
      <c r="F44" s="114" t="s">
        <v>550</v>
      </c>
      <c r="I44" s="57"/>
    </row>
    <row r="45" spans="1:9" ht="12.5" x14ac:dyDescent="0.25">
      <c r="A45" s="212"/>
      <c r="C45"/>
      <c r="E45" s="114"/>
      <c r="I45" s="57"/>
    </row>
    <row r="46" spans="1:9" ht="12.5" x14ac:dyDescent="0.25">
      <c r="A46" s="212" t="s">
        <v>669</v>
      </c>
      <c r="B46" s="72">
        <f>'Design Regulator'!E28/1000000</f>
        <v>1.0000000000000001E-5</v>
      </c>
      <c r="C46" t="s">
        <v>19</v>
      </c>
      <c r="D46" s="72">
        <f>'Design Regulator'!J28/1000000</f>
        <v>2.2000000000000001E-6</v>
      </c>
      <c r="E46" t="s">
        <v>19</v>
      </c>
      <c r="F46" s="114" t="s">
        <v>551</v>
      </c>
      <c r="I46" s="57"/>
    </row>
    <row r="47" spans="1:9" ht="12.5" x14ac:dyDescent="0.25">
      <c r="A47" s="212" t="s">
        <v>11</v>
      </c>
      <c r="B47" s="29">
        <f>'Design Regulator'!E29/1000</f>
        <v>1.8600000000000001E-3</v>
      </c>
      <c r="C47" s="213" t="s">
        <v>116</v>
      </c>
      <c r="D47" s="29">
        <f>'Design Regulator'!J29/1000</f>
        <v>5.0000000000000001E-3</v>
      </c>
      <c r="E47" s="213" t="s">
        <v>116</v>
      </c>
      <c r="F47" s="114" t="s">
        <v>552</v>
      </c>
      <c r="I47" s="57"/>
    </row>
    <row r="48" spans="1:9" ht="12.5" x14ac:dyDescent="0.25">
      <c r="A48" s="212"/>
      <c r="B48" s="114"/>
      <c r="C48" s="114"/>
      <c r="D48" s="114"/>
      <c r="E48" s="114"/>
      <c r="I48" s="57"/>
    </row>
    <row r="49" spans="1:9" x14ac:dyDescent="0.3">
      <c r="A49" s="212" t="s">
        <v>16</v>
      </c>
      <c r="B49" s="300">
        <f>(Vout+Iout*(Rdcr+Rs))/(Vin+Iout*Rs)</f>
        <v>0.53717096516883811</v>
      </c>
      <c r="C49"/>
      <c r="I49" s="57"/>
    </row>
    <row r="50" spans="1:9" x14ac:dyDescent="0.3">
      <c r="A50" s="212" t="s">
        <v>17</v>
      </c>
      <c r="B50" s="300">
        <f>1-_Don2</f>
        <v>0.46282903483116189</v>
      </c>
      <c r="C50"/>
      <c r="I50" s="57"/>
    </row>
    <row r="51" spans="1:9" ht="12.5" x14ac:dyDescent="0.25">
      <c r="A51" s="212"/>
      <c r="C51"/>
      <c r="I51" s="57"/>
    </row>
    <row r="52" spans="1:9" x14ac:dyDescent="0.3">
      <c r="A52" s="212" t="s">
        <v>726</v>
      </c>
      <c r="B52" s="300">
        <f>CHOOSE(MODE, (Vout+Iout*(Rdcr+Rs))/(VIN_min+Iout*Rs), (Vout+Iout/Number_of_Phases*(Rdcr+Rs))/(VIN_min+Iout/Number_of_Phases*Rs))</f>
        <v>0.66882382299118281</v>
      </c>
      <c r="C52"/>
      <c r="D52" s="300">
        <f>(Vout2+Iout2*(Rdcr2+Rs_Ch2))/(VIN_min+Iout2*Rs_Ch2)</f>
        <v>0.14169995561473589</v>
      </c>
      <c r="F52" s="114" t="s">
        <v>652</v>
      </c>
      <c r="I52" s="57"/>
    </row>
    <row r="53" spans="1:9" ht="15.5" x14ac:dyDescent="0.4">
      <c r="A53" s="212" t="s">
        <v>727</v>
      </c>
      <c r="B53" s="300">
        <f>CHOOSE(MODE, (Vout+Iout*(Rdcr+Rs))/(VIN_nom+Iout*Rs), (Vout+Iout/Number_of_Phases*(Rdcr+Rs))/(VIN_nom+Iout/Number_of_Phases*Rs))</f>
        <v>0.53525495939289036</v>
      </c>
      <c r="C53"/>
      <c r="D53" s="300">
        <f>(Vout2+Iout2*(Rdcr2+Rs_Ch2))/(VIN_nom+Iout2*Rs_Ch2)</f>
        <v>0.11339016160539868</v>
      </c>
      <c r="F53" s="379" t="s">
        <v>428</v>
      </c>
      <c r="I53" s="57"/>
    </row>
    <row r="54" spans="1:9" x14ac:dyDescent="0.3">
      <c r="A54" s="212" t="s">
        <v>728</v>
      </c>
      <c r="B54" s="300">
        <f>CHOOSE(MODE, (Vout+Iout*(Rdcr+Rs))/(VIN_max+Iout*Rs), (Vout+Iout/Number_of_Phases*(Rdcr+Rs))/(VIN_max+Iout/Number_of_Phases*Rs))</f>
        <v>0.47236517448008458</v>
      </c>
      <c r="C54"/>
      <c r="D54" s="300">
        <f>(Vout2+Iout2*(Rdcr2+Rs_Ch2))/(VIN_max+Iout2*Rs_Ch2)</f>
        <v>0.10006268609935745</v>
      </c>
      <c r="I54" s="57"/>
    </row>
    <row r="55" spans="1:9" ht="12.5" x14ac:dyDescent="0.25">
      <c r="A55" s="212"/>
      <c r="C55"/>
      <c r="I55" s="57"/>
    </row>
    <row r="56" spans="1:9" ht="12.5" x14ac:dyDescent="0.25">
      <c r="A56" s="212" t="s">
        <v>300</v>
      </c>
      <c r="B56" s="521">
        <f>MAX(0, (VIN_min-Vout)*D1_Vinmin_2/(Fsw*Lf))</f>
        <v>3.6481299435882693</v>
      </c>
      <c r="C56" s="114" t="s">
        <v>1</v>
      </c>
      <c r="D56" s="521">
        <f>MAX(0.1, (VIN_min-Vout2)*D2_Vinmin_2/(Fsw*Lo_2))</f>
        <v>9.0758236034231654</v>
      </c>
      <c r="E56" s="114" t="s">
        <v>1</v>
      </c>
      <c r="G56" s="30"/>
      <c r="I56" s="57"/>
    </row>
    <row r="57" spans="1:9" ht="12.5" x14ac:dyDescent="0.25">
      <c r="A57" s="212" t="s">
        <v>301</v>
      </c>
      <c r="B57" s="521">
        <f>MAX(0, (VIN_nom-Vout)*D1_Vinnom_2/(Fsw*Lf))</f>
        <v>5.1092518851139523</v>
      </c>
      <c r="C57" s="114" t="s">
        <v>1</v>
      </c>
      <c r="D57" s="521">
        <f>MAX(0, (VIN_nom-Vout2)*D2_Vinnom_2/(Fsw*Lo_2))</f>
        <v>9.3710877359833606</v>
      </c>
      <c r="E57" s="114" t="s">
        <v>1</v>
      </c>
      <c r="I57" s="57"/>
    </row>
    <row r="58" spans="1:9" ht="12.5" x14ac:dyDescent="0.25">
      <c r="A58" s="212" t="s">
        <v>302</v>
      </c>
      <c r="B58" s="521">
        <f>MAX(0, (VIN_max-Vout)*D1_Vinmax_2/(Fsw*Lf))</f>
        <v>5.7972089595283096</v>
      </c>
      <c r="C58" s="114" t="s">
        <v>1</v>
      </c>
      <c r="D58" s="521">
        <f>MAX(0, (VIN_max-Vout2)*D2_Vinmax_2/(Fsw*Lo_2))</f>
        <v>9.5100900011786003</v>
      </c>
      <c r="E58" s="114" t="s">
        <v>1</v>
      </c>
      <c r="I58" s="57"/>
    </row>
    <row r="59" spans="1:9" x14ac:dyDescent="0.3">
      <c r="A59" s="212"/>
      <c r="B59" s="578"/>
      <c r="D59" s="480"/>
      <c r="E59" s="114"/>
      <c r="I59" s="57"/>
    </row>
    <row r="60" spans="1:9" ht="12.5" x14ac:dyDescent="0.25">
      <c r="A60" s="212" t="s">
        <v>567</v>
      </c>
      <c r="B60" s="580">
        <f>SQRT((Iout/Number_of_Phases)^2+(Iripple_Vinmin^2)/12)</f>
        <v>30.018478825668513</v>
      </c>
      <c r="C60" s="114" t="s">
        <v>1</v>
      </c>
      <c r="D60" s="305">
        <f>SQRT(Iout2^2+(Iripple2_Vinmin^2)/12)</f>
        <v>12.282679451435033</v>
      </c>
      <c r="E60" s="114" t="s">
        <v>1</v>
      </c>
      <c r="F60" s="360"/>
      <c r="I60" s="57"/>
    </row>
    <row r="61" spans="1:9" ht="12.5" x14ac:dyDescent="0.25">
      <c r="A61" s="212" t="s">
        <v>568</v>
      </c>
      <c r="B61" s="580">
        <f>SQRT((Iout/Number_of_Phases)^2+(Iripple_Vinnom^2)/12)</f>
        <v>30.036234305176503</v>
      </c>
      <c r="C61" s="114" t="s">
        <v>1</v>
      </c>
      <c r="D61" s="305">
        <f>SQRT(Iout2^2+(Iripple2_Vinnom^2)/12)</f>
        <v>12.301142512505013</v>
      </c>
      <c r="E61" s="114" t="s">
        <v>1</v>
      </c>
      <c r="F61" s="360"/>
      <c r="I61" s="57"/>
    </row>
    <row r="62" spans="1:9" ht="12.5" x14ac:dyDescent="0.25">
      <c r="A62" s="212" t="s">
        <v>569</v>
      </c>
      <c r="B62" s="580">
        <f>SQRT((Iout/Number_of_Phases)^2+(Iripple_Vinmax^2)/12)</f>
        <v>30.046641009881668</v>
      </c>
      <c r="C62" s="114" t="s">
        <v>1</v>
      </c>
      <c r="D62" s="305">
        <f>SQRT(Iout2^2+(Iripple2_Vinmax^2)/12)</f>
        <v>12.310029149134584</v>
      </c>
      <c r="E62" s="114" t="s">
        <v>1</v>
      </c>
      <c r="F62" s="360"/>
      <c r="I62" s="57"/>
    </row>
    <row r="63" spans="1:9" ht="12.5" x14ac:dyDescent="0.25">
      <c r="A63" s="212" t="s">
        <v>570</v>
      </c>
      <c r="B63" s="581">
        <f>B61^2*Rs</f>
        <v>1.9847858167180161</v>
      </c>
      <c r="C63" s="114" t="s">
        <v>116</v>
      </c>
      <c r="D63" s="581">
        <f>D61^2*Rs</f>
        <v>0.33289983564850795</v>
      </c>
      <c r="E63" s="114" t="s">
        <v>116</v>
      </c>
      <c r="F63" s="395" t="s">
        <v>670</v>
      </c>
      <c r="I63" s="57"/>
    </row>
    <row r="64" spans="1:9" ht="12.5" x14ac:dyDescent="0.25">
      <c r="A64" s="212"/>
      <c r="B64" s="114"/>
      <c r="C64" s="114"/>
      <c r="D64" s="114"/>
      <c r="I64" s="57"/>
    </row>
    <row r="65" spans="1:16" ht="12.5" x14ac:dyDescent="0.25">
      <c r="A65" s="212" t="s">
        <v>310</v>
      </c>
      <c r="B65" s="301">
        <f>MAX(B56:B58)</f>
        <v>5.7972089595283096</v>
      </c>
      <c r="C65" s="395" t="s">
        <v>1</v>
      </c>
      <c r="D65" s="301">
        <f t="shared" ref="D65" si="0">MAX(D56:D58)</f>
        <v>9.5100900011786003</v>
      </c>
      <c r="E65" s="114" t="s">
        <v>1</v>
      </c>
      <c r="F65" s="114" t="s">
        <v>671</v>
      </c>
      <c r="I65" s="57"/>
    </row>
    <row r="66" spans="1:16" ht="12.5" x14ac:dyDescent="0.25">
      <c r="A66" s="212"/>
      <c r="B66" s="114"/>
      <c r="C66" s="114"/>
      <c r="D66" s="114"/>
      <c r="F66" s="114"/>
      <c r="G66" s="294"/>
      <c r="I66" s="57"/>
    </row>
    <row r="67" spans="1:16" ht="12.5" x14ac:dyDescent="0.25">
      <c r="B67" s="409">
        <f>B56/(Iout/Number_of_Phases)</f>
        <v>0.1216043314529423</v>
      </c>
      <c r="C67" s="583"/>
      <c r="D67" s="409">
        <f>D56/Iout2</f>
        <v>0.75631863361859708</v>
      </c>
      <c r="F67" s="4"/>
      <c r="G67" s="410"/>
      <c r="I67" s="57"/>
    </row>
    <row r="68" spans="1:16" ht="12.5" x14ac:dyDescent="0.25">
      <c r="A68" s="212" t="s">
        <v>775</v>
      </c>
      <c r="B68" s="409">
        <f>B57/(Iout/Number_of_Phases)</f>
        <v>0.17030839617046509</v>
      </c>
      <c r="C68"/>
      <c r="D68" s="409">
        <f>D57/Iout2</f>
        <v>0.78092397799861335</v>
      </c>
      <c r="F68" s="4"/>
      <c r="G68" s="410"/>
      <c r="I68" s="57"/>
    </row>
    <row r="69" spans="1:16" ht="12.5" x14ac:dyDescent="0.25">
      <c r="A69" s="212"/>
      <c r="B69" s="409">
        <f>B58/(Iout/Number_of_Phases)</f>
        <v>0.19324029865094366</v>
      </c>
      <c r="C69"/>
      <c r="D69" s="409">
        <f>D58/Iout2</f>
        <v>0.79250750009821669</v>
      </c>
      <c r="F69" s="4"/>
      <c r="G69" s="410"/>
      <c r="I69" s="57"/>
    </row>
    <row r="70" spans="1:16" ht="12.5" x14ac:dyDescent="0.25">
      <c r="A70" s="212"/>
      <c r="C70"/>
      <c r="I70" s="57"/>
    </row>
    <row r="71" spans="1:16" ht="12.5" x14ac:dyDescent="0.25">
      <c r="A71" s="114" t="s">
        <v>648</v>
      </c>
      <c r="B71" s="408">
        <v>100</v>
      </c>
      <c r="C71" s="114" t="s">
        <v>465</v>
      </c>
      <c r="D71" s="582">
        <v>100</v>
      </c>
      <c r="E71" s="114" t="s">
        <v>465</v>
      </c>
      <c r="I71" s="57"/>
    </row>
    <row r="72" spans="1:16" x14ac:dyDescent="0.3">
      <c r="A72" s="212" t="s">
        <v>216</v>
      </c>
      <c r="B72" s="390">
        <f>Rdcr*(1+0.0039*(B71-25))</f>
        <v>2.40405E-3</v>
      </c>
      <c r="C72" s="213" t="s">
        <v>116</v>
      </c>
      <c r="D72" s="307">
        <f>Rdcr2*(1+0.0039*(D71-25))</f>
        <v>6.4625000000000004E-3</v>
      </c>
      <c r="E72" s="213" t="s">
        <v>116</v>
      </c>
      <c r="I72" s="57"/>
    </row>
    <row r="73" spans="1:16" ht="13.5" thickBot="1" x14ac:dyDescent="0.35">
      <c r="A73" s="314"/>
      <c r="B73" s="315"/>
      <c r="C73" s="61"/>
      <c r="D73" s="61"/>
      <c r="E73" s="61"/>
      <c r="F73" s="61"/>
      <c r="G73" s="61"/>
      <c r="H73" s="61"/>
      <c r="I73" s="62"/>
    </row>
    <row r="74" spans="1:16" x14ac:dyDescent="0.3">
      <c r="A74" s="2"/>
      <c r="B74" s="1"/>
      <c r="C74" s="1"/>
    </row>
    <row r="75" spans="1:16" ht="16" thickBot="1" x14ac:dyDescent="0.4">
      <c r="A75" s="525" t="s">
        <v>390</v>
      </c>
      <c r="B75" s="1"/>
      <c r="C75" s="1"/>
    </row>
    <row r="76" spans="1:16" x14ac:dyDescent="0.3">
      <c r="A76" s="91"/>
      <c r="B76" s="63"/>
      <c r="C76" s="63"/>
      <c r="D76" s="63"/>
      <c r="E76" s="63"/>
      <c r="F76" s="63"/>
      <c r="G76" s="63"/>
      <c r="H76" s="63"/>
      <c r="I76" s="64"/>
    </row>
    <row r="77" spans="1:16" ht="12.5" x14ac:dyDescent="0.25">
      <c r="A77" s="212" t="s">
        <v>309</v>
      </c>
      <c r="B77" s="29">
        <f>'Design Regulator'!E17</f>
        <v>60</v>
      </c>
      <c r="C77" t="s">
        <v>1</v>
      </c>
      <c r="D77" s="317">
        <f>'Design Regulator'!J17</f>
        <v>16</v>
      </c>
      <c r="E77" s="114" t="s">
        <v>1</v>
      </c>
      <c r="F77" s="114" t="s">
        <v>516</v>
      </c>
      <c r="I77" s="57"/>
      <c r="K77" s="114"/>
      <c r="N77" s="114"/>
    </row>
    <row r="78" spans="1:16" ht="12.5" x14ac:dyDescent="0.25">
      <c r="A78" s="212"/>
      <c r="C78"/>
      <c r="I78" s="57"/>
      <c r="K78" s="114"/>
      <c r="L78" s="114"/>
    </row>
    <row r="79" spans="1:16" x14ac:dyDescent="0.3">
      <c r="A79" s="212" t="s">
        <v>314</v>
      </c>
      <c r="B79" s="305">
        <f>CHOOSE(MODE, Ilimit_DC+Iripple_Vinmin/2, Ilimit_DC/Number_of_Phases+Iripple_Vinmin/2)</f>
        <v>31.824064971794133</v>
      </c>
      <c r="C79" t="s">
        <v>1</v>
      </c>
      <c r="D79" s="305">
        <f>Ilimit2_DC+Iripple2_Vinmin/2</f>
        <v>20.537911801711584</v>
      </c>
      <c r="E79" s="114" t="s">
        <v>1</v>
      </c>
      <c r="F79" s="114" t="s">
        <v>654</v>
      </c>
      <c r="I79" s="57"/>
      <c r="K79" s="4"/>
      <c r="L79" s="4"/>
      <c r="N79" s="311"/>
      <c r="P79" s="311"/>
    </row>
    <row r="80" spans="1:16" ht="12.5" x14ac:dyDescent="0.25">
      <c r="A80" s="212" t="s">
        <v>316</v>
      </c>
      <c r="B80" s="305">
        <f>CHOOSE(MODE, Ilimit_DC+Iripple_Vinnom/2, Ilimit_DC/Number_of_Phases+Iripple_Vinnom/2)</f>
        <v>32.554625942556974</v>
      </c>
      <c r="C80" t="s">
        <v>1</v>
      </c>
      <c r="D80" s="305">
        <f>Ilimit2_DC+Iripple2_Vinnom/2</f>
        <v>20.685543867991679</v>
      </c>
      <c r="E80" s="114" t="s">
        <v>1</v>
      </c>
      <c r="I80" s="57"/>
      <c r="K80" s="4"/>
      <c r="L80" s="4"/>
      <c r="N80" s="311"/>
      <c r="P80" s="311"/>
    </row>
    <row r="81" spans="1:16" ht="12.5" x14ac:dyDescent="0.25">
      <c r="A81" s="212" t="s">
        <v>315</v>
      </c>
      <c r="B81" s="305">
        <f>CHOOSE(MODE, Ilimit_DC+Iripple_Vinmax/2, Ilimit_DC/Number_of_Phases+Iripple_Vinmax/2)</f>
        <v>32.898604479764153</v>
      </c>
      <c r="C81" t="s">
        <v>1</v>
      </c>
      <c r="D81" s="305">
        <f>Ilimit2_DC+Iripple2_Vinmax/2</f>
        <v>20.755045000589298</v>
      </c>
      <c r="E81" s="114" t="s">
        <v>1</v>
      </c>
      <c r="I81" s="57"/>
      <c r="K81" s="4"/>
      <c r="L81" s="4"/>
      <c r="N81" s="311"/>
      <c r="P81" s="311"/>
    </row>
    <row r="82" spans="1:16" ht="12.5" x14ac:dyDescent="0.25">
      <c r="A82" s="212"/>
      <c r="B82" s="4"/>
      <c r="C82" s="114"/>
      <c r="D82" s="114"/>
      <c r="I82" s="57"/>
    </row>
    <row r="83" spans="1:16" x14ac:dyDescent="0.3">
      <c r="I83" s="57"/>
    </row>
    <row r="84" spans="1:16" ht="12.5" x14ac:dyDescent="0.25">
      <c r="A84" s="212" t="s">
        <v>656</v>
      </c>
      <c r="B84" s="481">
        <v>6.6000000000000003E-2</v>
      </c>
      <c r="C84" s="114" t="s">
        <v>0</v>
      </c>
      <c r="E84" s="114"/>
      <c r="I84" s="57"/>
    </row>
    <row r="85" spans="1:16" x14ac:dyDescent="0.3">
      <c r="A85" s="212" t="s">
        <v>655</v>
      </c>
      <c r="B85" s="481">
        <v>7.2999999999999995E-2</v>
      </c>
      <c r="C85" s="114" t="s">
        <v>0</v>
      </c>
      <c r="E85" s="114"/>
      <c r="F85" s="2"/>
      <c r="I85" s="57"/>
    </row>
    <row r="86" spans="1:16" ht="12.5" x14ac:dyDescent="0.25">
      <c r="A86" s="212" t="s">
        <v>657</v>
      </c>
      <c r="B86" s="481">
        <v>0.08</v>
      </c>
      <c r="C86" s="114" t="s">
        <v>0</v>
      </c>
      <c r="E86" s="114"/>
      <c r="I86" s="57"/>
    </row>
    <row r="87" spans="1:16" ht="12.5" x14ac:dyDescent="0.25">
      <c r="A87" s="212"/>
      <c r="B87" s="360"/>
      <c r="C87" s="114"/>
      <c r="E87" s="114"/>
      <c r="F87">
        <f>SENSING_TYPE</f>
        <v>1</v>
      </c>
      <c r="I87" s="57"/>
    </row>
    <row r="88" spans="1:16" ht="12.5" x14ac:dyDescent="0.25">
      <c r="A88" s="212" t="s">
        <v>553</v>
      </c>
      <c r="B88" s="307">
        <f>Buck_CS_threshold/B79</f>
        <v>2.2938615813127691E-3</v>
      </c>
      <c r="C88" s="213" t="s">
        <v>116</v>
      </c>
      <c r="D88" s="307">
        <f>Buck_CS_threshold/D79</f>
        <v>3.5544022539777554E-3</v>
      </c>
      <c r="E88" s="213" t="s">
        <v>116</v>
      </c>
      <c r="I88" s="57"/>
    </row>
    <row r="89" spans="1:16" ht="12.5" x14ac:dyDescent="0.25">
      <c r="A89" s="212" t="s">
        <v>554</v>
      </c>
      <c r="B89" s="307">
        <f>Buck_CS_threshold/B80</f>
        <v>2.2423848496618995E-3</v>
      </c>
      <c r="C89" s="213" t="s">
        <v>116</v>
      </c>
      <c r="D89" s="307">
        <f>Buck_CS_threshold/D80</f>
        <v>3.5290345985516227E-3</v>
      </c>
      <c r="E89" s="213" t="s">
        <v>116</v>
      </c>
      <c r="I89" s="57"/>
    </row>
    <row r="90" spans="1:16" ht="12.5" x14ac:dyDescent="0.25">
      <c r="A90" s="212" t="s">
        <v>555</v>
      </c>
      <c r="B90" s="307">
        <f>Buck_CS_threshold/B81</f>
        <v>2.218939105605592E-3</v>
      </c>
      <c r="C90" s="213" t="s">
        <v>116</v>
      </c>
      <c r="D90" s="307">
        <f>Buck_CS_threshold/D81</f>
        <v>3.5172171391547116E-3</v>
      </c>
      <c r="E90" s="213" t="s">
        <v>116</v>
      </c>
      <c r="I90" s="57"/>
    </row>
    <row r="91" spans="1:16" ht="12.5" x14ac:dyDescent="0.25">
      <c r="A91" s="212"/>
      <c r="B91" s="30"/>
      <c r="C91" s="213"/>
      <c r="E91" s="213"/>
      <c r="I91" s="57"/>
    </row>
    <row r="92" spans="1:16" ht="12.5" x14ac:dyDescent="0.25">
      <c r="A92" s="212" t="s">
        <v>313</v>
      </c>
      <c r="B92" s="308">
        <f>B89</f>
        <v>2.2423848496618995E-3</v>
      </c>
      <c r="C92" s="213" t="s">
        <v>116</v>
      </c>
      <c r="D92" s="307">
        <f>D89</f>
        <v>3.5290345985516227E-3</v>
      </c>
      <c r="E92" s="213" t="s">
        <v>116</v>
      </c>
      <c r="F92" s="114" t="s">
        <v>658</v>
      </c>
      <c r="I92" s="57"/>
    </row>
    <row r="93" spans="1:16" x14ac:dyDescent="0.3">
      <c r="A93" s="212" t="s">
        <v>167</v>
      </c>
      <c r="B93" s="664">
        <f>CHOOSE(SENSING_TYPE, 'Design Regulator'!E19/1000, Rdcr)</f>
        <v>2.2000000000000001E-3</v>
      </c>
      <c r="C93" s="213" t="s">
        <v>116</v>
      </c>
      <c r="D93" s="584">
        <f>CHOOSE(SENSING_TYPE, 'Design Regulator'!J19/1000, Rdcr2)</f>
        <v>4.0000000000000001E-3</v>
      </c>
      <c r="E93" s="213" t="s">
        <v>116</v>
      </c>
      <c r="F93" s="114" t="s">
        <v>317</v>
      </c>
      <c r="I93" s="57"/>
      <c r="K93" s="114"/>
      <c r="L93" s="114"/>
    </row>
    <row r="94" spans="1:16" x14ac:dyDescent="0.3">
      <c r="A94" s="212"/>
      <c r="B94" s="411"/>
      <c r="C94" s="213"/>
      <c r="E94" s="213"/>
      <c r="I94" s="57"/>
      <c r="K94" s="114"/>
      <c r="L94" s="114"/>
    </row>
    <row r="95" spans="1:16" x14ac:dyDescent="0.3">
      <c r="A95" s="212" t="s">
        <v>659</v>
      </c>
      <c r="B95" s="305">
        <f>Buck_CS_threshold/Rs</f>
        <v>33.18181818181818</v>
      </c>
      <c r="C95" s="114" t="s">
        <v>1</v>
      </c>
      <c r="D95" s="305">
        <f>Buck_CS_threshold/Rs_Ch2</f>
        <v>18.25</v>
      </c>
      <c r="E95" s="114" t="s">
        <v>1</v>
      </c>
      <c r="F95" s="114" t="s">
        <v>660</v>
      </c>
      <c r="I95" s="57"/>
    </row>
    <row r="96" spans="1:16" x14ac:dyDescent="0.3">
      <c r="A96" s="212"/>
      <c r="E96" s="2"/>
      <c r="I96" s="57"/>
    </row>
    <row r="97" spans="1:12" ht="15.5" x14ac:dyDescent="0.4">
      <c r="A97" s="212" t="s">
        <v>429</v>
      </c>
      <c r="B97" s="312">
        <f>Number_of_Phases*(Buck_CS_threshold/Rs-Iripple_Vinmin/2)</f>
        <v>62.715506420048094</v>
      </c>
      <c r="C97" t="s">
        <v>1</v>
      </c>
      <c r="D97" s="312">
        <f>Buck_CS_threshold/Rs_Ch2-Iripple2_Vinmin/2</f>
        <v>13.712088198288416</v>
      </c>
      <c r="E97" t="s">
        <v>1</v>
      </c>
      <c r="F97" s="114" t="s">
        <v>431</v>
      </c>
      <c r="I97" s="57"/>
    </row>
    <row r="98" spans="1:12" ht="12.5" x14ac:dyDescent="0.25">
      <c r="A98" s="212" t="s">
        <v>459</v>
      </c>
      <c r="B98" s="312">
        <f>Number_of_Phases*(Buck_CS_threshold/Rs-Iripple_Vinnom/2)</f>
        <v>61.254384478522411</v>
      </c>
      <c r="C98" t="s">
        <v>1</v>
      </c>
      <c r="D98" s="312">
        <f>Buck_CS_threshold/Rs_Ch2-Iripple2_Vinnom/2</f>
        <v>13.564456132008321</v>
      </c>
      <c r="E98" t="s">
        <v>1</v>
      </c>
      <c r="I98" s="57"/>
    </row>
    <row r="99" spans="1:12" ht="12.5" x14ac:dyDescent="0.25">
      <c r="A99" s="212" t="s">
        <v>430</v>
      </c>
      <c r="B99" s="312">
        <f>Number_of_Phases*(Buck_CS_threshold/Rs-Iripple_Vinmax/2)</f>
        <v>60.566427404108047</v>
      </c>
      <c r="C99" t="s">
        <v>1</v>
      </c>
      <c r="D99" s="312">
        <f>Buck_CS_threshold/Rs_Ch2-Iripple2_Vinmax/2</f>
        <v>13.4949549994107</v>
      </c>
      <c r="E99" t="s">
        <v>1</v>
      </c>
      <c r="I99" s="57"/>
    </row>
    <row r="100" spans="1:12" ht="12.5" x14ac:dyDescent="0.25">
      <c r="A100" s="212"/>
      <c r="B100" s="48"/>
      <c r="C100"/>
      <c r="D100" s="48"/>
      <c r="I100" s="57"/>
    </row>
    <row r="101" spans="1:12" ht="12.5" x14ac:dyDescent="0.25">
      <c r="A101" s="212" t="s">
        <v>664</v>
      </c>
      <c r="B101" s="520">
        <f>SQRT((Iout_OCP_Vinmin/Number_of_Phases)^2+(Iripple_Vinmin^2)/12)</f>
        <v>31.375432385672109</v>
      </c>
      <c r="C101" t="s">
        <v>1</v>
      </c>
      <c r="D101" s="520">
        <f>SQRT(Iout2_OCP_Vinmin^2+(Iripple2_Vinmin^2)/12)</f>
        <v>13.960142451434544</v>
      </c>
      <c r="E101" t="s">
        <v>1</v>
      </c>
      <c r="I101" s="57"/>
    </row>
    <row r="102" spans="1:12" ht="12.5" x14ac:dyDescent="0.25">
      <c r="A102" s="212" t="s">
        <v>665</v>
      </c>
      <c r="B102" s="520">
        <f>SQRT((Iout_OCP_Vinnom/Number_of_Phases)^2+(Iripple_Vinnom^2)/12)</f>
        <v>30.66268539603346</v>
      </c>
      <c r="C102" t="s">
        <v>1</v>
      </c>
      <c r="D102" s="520">
        <f>SQRT(Iout2_OCP_Vinnom^2+(Iripple2_Vinnom^2)/12)</f>
        <v>13.831578986874067</v>
      </c>
      <c r="E102" t="s">
        <v>1</v>
      </c>
      <c r="I102" s="57"/>
    </row>
    <row r="103" spans="1:12" ht="12.5" x14ac:dyDescent="0.25">
      <c r="A103" s="212" t="s">
        <v>666</v>
      </c>
      <c r="B103" s="520">
        <f>SQRT((Iout_OCP_Vinmax/Number_of_Phases)^2+(Iripple_Vinmax^2)/12)</f>
        <v>30.329419185025213</v>
      </c>
      <c r="C103" t="s">
        <v>1</v>
      </c>
      <c r="D103" s="520">
        <f>SQRT(Iout2_OCP_Vinmax^2+(Iripple2_Vinmax^2)/12)</f>
        <v>13.771369869721129</v>
      </c>
      <c r="E103" t="s">
        <v>1</v>
      </c>
      <c r="I103" s="57"/>
    </row>
    <row r="104" spans="1:12" ht="12.5" x14ac:dyDescent="0.25">
      <c r="A104" s="212"/>
      <c r="B104" s="48"/>
      <c r="C104"/>
      <c r="D104" s="48"/>
      <c r="I104" s="57"/>
    </row>
    <row r="105" spans="1:12" ht="12.5" x14ac:dyDescent="0.25">
      <c r="A105" s="212" t="s">
        <v>661</v>
      </c>
      <c r="B105" s="520">
        <f>B101^2*Rs</f>
        <v>2.1657190662533412</v>
      </c>
      <c r="C105" s="114" t="s">
        <v>116</v>
      </c>
      <c r="D105" s="520">
        <f>D101^2*Rs_Ch2</f>
        <v>0.77954230905737953</v>
      </c>
      <c r="E105" s="114" t="s">
        <v>116</v>
      </c>
      <c r="F105" s="114" t="s">
        <v>667</v>
      </c>
      <c r="I105" s="57"/>
    </row>
    <row r="106" spans="1:12" ht="12.5" x14ac:dyDescent="0.25">
      <c r="A106" s="212" t="s">
        <v>662</v>
      </c>
      <c r="B106" s="520">
        <f>B102^2*Rs</f>
        <v>2.068440606531472</v>
      </c>
      <c r="C106" t="s">
        <v>116</v>
      </c>
      <c r="D106" s="520">
        <f>D102^2*Rs_Ch2</f>
        <v>0.76525030908054503</v>
      </c>
      <c r="E106" t="s">
        <v>116</v>
      </c>
      <c r="I106" s="57"/>
    </row>
    <row r="107" spans="1:12" ht="12.5" x14ac:dyDescent="0.25">
      <c r="A107" s="212" t="s">
        <v>663</v>
      </c>
      <c r="B107" s="520">
        <f>B103^2*Rs</f>
        <v>2.0237220698221461</v>
      </c>
      <c r="C107" t="s">
        <v>116</v>
      </c>
      <c r="D107" s="520">
        <f>D103^2*Rs_Ch2</f>
        <v>0.75860251235465181</v>
      </c>
      <c r="E107" t="s">
        <v>116</v>
      </c>
      <c r="I107" s="57"/>
    </row>
    <row r="108" spans="1:12" thickBot="1" x14ac:dyDescent="0.3">
      <c r="A108" s="60"/>
      <c r="B108" s="61"/>
      <c r="C108" s="61"/>
      <c r="D108" s="61"/>
      <c r="E108" s="118"/>
      <c r="F108" s="61"/>
      <c r="G108" s="61"/>
      <c r="H108" s="61"/>
      <c r="I108" s="62"/>
    </row>
    <row r="110" spans="1:12" ht="16" thickBot="1" x14ac:dyDescent="0.4">
      <c r="A110" s="534" t="s">
        <v>139</v>
      </c>
      <c r="D110" s="2"/>
    </row>
    <row r="111" spans="1:12" ht="12.5" x14ac:dyDescent="0.25">
      <c r="A111" s="211" t="s">
        <v>320</v>
      </c>
      <c r="B111" s="589">
        <f>Iripple_Vinmin/SQRT(12)</f>
        <v>1.0531244024847108</v>
      </c>
      <c r="C111" s="313" t="s">
        <v>1</v>
      </c>
      <c r="D111" s="589">
        <f>Iripple2_Vinmin/SQRT(12)</f>
        <v>2.6199646002769619</v>
      </c>
      <c r="E111" s="313" t="s">
        <v>1</v>
      </c>
      <c r="F111" s="117" t="s">
        <v>319</v>
      </c>
      <c r="G111" s="63"/>
      <c r="H111" s="63"/>
      <c r="I111" s="64"/>
      <c r="L111" s="4"/>
    </row>
    <row r="112" spans="1:12" ht="12.5" x14ac:dyDescent="0.25">
      <c r="A112" s="212" t="s">
        <v>321</v>
      </c>
      <c r="B112" s="520">
        <f>Iripple_Vinnom/SQRT(12)</f>
        <v>1.4749139756140717</v>
      </c>
      <c r="C112" s="114" t="s">
        <v>1</v>
      </c>
      <c r="D112" s="520">
        <f>Iripple2_Vinnom/SQRT(12)</f>
        <v>2.7052000134847973</v>
      </c>
      <c r="E112" s="114" t="s">
        <v>1</v>
      </c>
      <c r="F112" s="114"/>
      <c r="I112" s="57"/>
      <c r="L112" s="4"/>
    </row>
    <row r="113" spans="1:12" ht="12.5" x14ac:dyDescent="0.25">
      <c r="A113" s="212" t="s">
        <v>322</v>
      </c>
      <c r="B113" s="520">
        <f>Iripple_Vinmax/SQRT(12)</f>
        <v>1.67351007666609</v>
      </c>
      <c r="C113" s="114" t="s">
        <v>1</v>
      </c>
      <c r="D113" s="520">
        <f>Iripple2_Vinmax/SQRT(12)</f>
        <v>2.7453265110990168</v>
      </c>
      <c r="E113" s="114" t="s">
        <v>1</v>
      </c>
      <c r="F113" s="114"/>
      <c r="I113" s="57"/>
      <c r="L113" s="4"/>
    </row>
    <row r="114" spans="1:12" ht="12.5" x14ac:dyDescent="0.25">
      <c r="A114" s="212" t="s">
        <v>558</v>
      </c>
      <c r="B114" s="520">
        <f>MAX(B111:B113)</f>
        <v>1.67351007666609</v>
      </c>
      <c r="C114" s="114" t="s">
        <v>1</v>
      </c>
      <c r="D114" s="520">
        <f>MAX(D111:D113)</f>
        <v>2.7453265110990168</v>
      </c>
      <c r="E114" s="114" t="s">
        <v>1</v>
      </c>
      <c r="F114" s="114"/>
      <c r="I114" s="57"/>
      <c r="L114" s="4"/>
    </row>
    <row r="115" spans="1:12" ht="12.5" x14ac:dyDescent="0.25">
      <c r="A115" s="212"/>
      <c r="B115" s="48"/>
      <c r="C115" s="114"/>
      <c r="F115" s="114"/>
      <c r="I115" s="57"/>
      <c r="L115" s="4"/>
    </row>
    <row r="116" spans="1:12" ht="12.5" x14ac:dyDescent="0.25">
      <c r="A116" s="212" t="s">
        <v>21</v>
      </c>
      <c r="B116" s="413">
        <f>'Design Regulator'!E33/1000</f>
        <v>0.02</v>
      </c>
      <c r="C116" t="s">
        <v>0</v>
      </c>
      <c r="D116" s="317">
        <f>'Design Regulator'!J33/1000</f>
        <v>0.05</v>
      </c>
      <c r="E116" t="s">
        <v>0</v>
      </c>
      <c r="F116" s="114" t="s">
        <v>432</v>
      </c>
      <c r="I116" s="57"/>
    </row>
    <row r="117" spans="1:12" ht="12.5" x14ac:dyDescent="0.25">
      <c r="A117" s="212"/>
      <c r="B117" s="114"/>
      <c r="C117"/>
      <c r="F117" s="114"/>
      <c r="I117" s="57"/>
    </row>
    <row r="118" spans="1:12" ht="12.5" x14ac:dyDescent="0.25">
      <c r="A118" s="212" t="s">
        <v>415</v>
      </c>
      <c r="B118" s="412">
        <f>Vo1_ripple*1000</f>
        <v>20</v>
      </c>
      <c r="C118" s="114" t="s">
        <v>292</v>
      </c>
      <c r="D118" s="310">
        <f>Vo2_ripple*1000</f>
        <v>50</v>
      </c>
      <c r="E118" s="114" t="s">
        <v>292</v>
      </c>
      <c r="F118" s="114" t="s">
        <v>433</v>
      </c>
      <c r="I118" s="57"/>
      <c r="L118" s="4"/>
    </row>
    <row r="119" spans="1:12" x14ac:dyDescent="0.3">
      <c r="A119" s="56"/>
      <c r="B119" s="114"/>
      <c r="F119" s="114"/>
      <c r="I119" s="57"/>
    </row>
    <row r="120" spans="1:12" x14ac:dyDescent="0.3">
      <c r="A120" s="66" t="s">
        <v>22</v>
      </c>
      <c r="B120" s="422">
        <f>Iripple_Vinnom/(Fsw*8*Vo1_ripple)</f>
        <v>1.4514920128164637E-4</v>
      </c>
      <c r="C120" t="s">
        <v>24</v>
      </c>
      <c r="D120" s="422">
        <f>Iripple2_Vinnom/(Fsw*8*Vo2_ripple)</f>
        <v>1.0648963336344728E-4</v>
      </c>
      <c r="E120" t="s">
        <v>24</v>
      </c>
      <c r="F120" s="114" t="s">
        <v>813</v>
      </c>
      <c r="H120">
        <f>Vo2_ripple</f>
        <v>0.05</v>
      </c>
      <c r="I120" s="57">
        <v>1</v>
      </c>
      <c r="K120" s="1"/>
    </row>
    <row r="121" spans="1:12" x14ac:dyDescent="0.3">
      <c r="A121" s="212" t="s">
        <v>564</v>
      </c>
      <c r="B121" s="478">
        <f>IF(Cout_min*1000000&lt;2, 2.2,Cout_min*1000000)</f>
        <v>145.14920128164636</v>
      </c>
      <c r="C121" s="42" t="s">
        <v>23</v>
      </c>
      <c r="D121" s="478">
        <f>IF(Cout2_min*1000000&lt;2, 2.2,Cout2_min*1000000)</f>
        <v>106.48963336344728</v>
      </c>
      <c r="E121" s="42" t="s">
        <v>23</v>
      </c>
      <c r="I121" s="57"/>
      <c r="K121" s="1"/>
    </row>
    <row r="122" spans="1:12" ht="12.5" x14ac:dyDescent="0.25">
      <c r="A122" s="212" t="s">
        <v>25</v>
      </c>
      <c r="B122" s="423">
        <f>'Design Regulator'!E35/1000000</f>
        <v>2.04E-4</v>
      </c>
      <c r="C122" t="s">
        <v>24</v>
      </c>
      <c r="D122" s="423">
        <f>'Design Regulator'!J35/1000000</f>
        <v>1.2E-4</v>
      </c>
      <c r="E122" t="s">
        <v>24</v>
      </c>
      <c r="F122" s="114" t="s">
        <v>812</v>
      </c>
      <c r="I122" s="57">
        <v>1</v>
      </c>
    </row>
    <row r="123" spans="1:12" x14ac:dyDescent="0.3">
      <c r="A123" s="66" t="s">
        <v>48</v>
      </c>
      <c r="B123" s="479">
        <f>SQRT((Vo1_ripple/Iripple_Vinnom)^2-(1/(Fsw*Cout*8))^2)</f>
        <v>2.7505796245766837E-3</v>
      </c>
      <c r="C123" s="213" t="s">
        <v>116</v>
      </c>
      <c r="D123" s="479">
        <f>SQRT((Vo2_ripple/Iripple2_Vinnom)^2-(1/(Fsw*Cout2*8))^2)</f>
        <v>2.4595547028599097E-3</v>
      </c>
      <c r="E123" s="213" t="s">
        <v>116</v>
      </c>
      <c r="F123" s="114" t="s">
        <v>239</v>
      </c>
      <c r="I123" s="57">
        <v>1</v>
      </c>
    </row>
    <row r="124" spans="1:12" x14ac:dyDescent="0.3">
      <c r="A124" s="2"/>
      <c r="B124" s="523"/>
      <c r="C124" s="213"/>
      <c r="D124" s="523"/>
      <c r="E124" s="213"/>
      <c r="F124" s="114"/>
      <c r="I124" s="57"/>
    </row>
    <row r="125" spans="1:12" x14ac:dyDescent="0.3">
      <c r="A125" s="476" t="s">
        <v>514</v>
      </c>
      <c r="B125" s="477">
        <f>IF(OR(CoutEsrMax&gt;0.3, CoutEsrMax&lt;0, (ISERROR(CoutEsrMax))), "N/A", CoutEsrMax*1000)</f>
        <v>2.7505796245766838</v>
      </c>
      <c r="C125" s="45" t="s">
        <v>318</v>
      </c>
      <c r="D125" s="477">
        <f>IF(OR(Cout2EsrMax&gt;0.3, Cout2EsrMax&lt;0, (ISERROR(Cout2EsrMax))), "N/A", Cout2EsrMax*1000)</f>
        <v>2.4595547028599096</v>
      </c>
      <c r="E125" s="45" t="s">
        <v>318</v>
      </c>
      <c r="F125" s="114"/>
      <c r="I125" s="57"/>
    </row>
    <row r="126" spans="1:12" ht="12.5" x14ac:dyDescent="0.25">
      <c r="A126" s="212" t="s">
        <v>137</v>
      </c>
      <c r="B126" s="413">
        <f>'Design Regulator'!E37/1000</f>
        <v>2E-3</v>
      </c>
      <c r="C126" s="213" t="s">
        <v>116</v>
      </c>
      <c r="D126" s="413">
        <f>'Design Regulator'!J37/1000</f>
        <v>2E-3</v>
      </c>
      <c r="E126" s="213" t="s">
        <v>116</v>
      </c>
      <c r="F126" s="114" t="s">
        <v>240</v>
      </c>
      <c r="I126" s="57">
        <v>1</v>
      </c>
      <c r="K126" t="b">
        <f>ISERROR(CoutEsrMax)</f>
        <v>0</v>
      </c>
      <c r="L126" t="b">
        <f>ISERROR(B125)</f>
        <v>0</v>
      </c>
    </row>
    <row r="127" spans="1:12" ht="13.5" thickBot="1" x14ac:dyDescent="0.35">
      <c r="A127" s="381" t="s">
        <v>194</v>
      </c>
      <c r="B127" s="414">
        <f>Iripple_Vinnom*SQRT(Cout_ESR^2+(1/(8*Fsw*Cout))^2)</f>
        <v>1.7519122455310371E-2</v>
      </c>
      <c r="C127" s="105" t="s">
        <v>39</v>
      </c>
      <c r="D127" s="414">
        <f>Iripple2_Vinnom*SQRT(Cout2_ESR^2+(1/(8*Fsw*Cout2))^2)</f>
        <v>4.8166652732971042E-2</v>
      </c>
      <c r="E127" s="105" t="s">
        <v>39</v>
      </c>
      <c r="F127" s="61"/>
      <c r="G127" s="61"/>
      <c r="H127" s="61"/>
      <c r="I127" s="62"/>
      <c r="L127" t="b">
        <f>OR(CoutEsrMax&gt;0.3,CoutEsrMax&lt;0)</f>
        <v>0</v>
      </c>
    </row>
    <row r="128" spans="1:12" x14ac:dyDescent="0.3">
      <c r="K128" t="b">
        <f>OR(TRUE, FALSE, TRUE)</f>
        <v>1</v>
      </c>
    </row>
    <row r="129" spans="1:16" ht="16" thickBot="1" x14ac:dyDescent="0.4">
      <c r="A129" s="534" t="s">
        <v>140</v>
      </c>
    </row>
    <row r="130" spans="1:16" ht="15.5" x14ac:dyDescent="0.35">
      <c r="A130" s="95"/>
      <c r="B130" s="96"/>
      <c r="C130" s="316"/>
      <c r="D130" s="96"/>
      <c r="E130" s="96"/>
      <c r="F130" s="96"/>
      <c r="G130" s="96"/>
      <c r="H130" s="96"/>
      <c r="I130" s="97"/>
      <c r="K130" s="2" t="s">
        <v>836</v>
      </c>
    </row>
    <row r="131" spans="1:16" x14ac:dyDescent="0.3">
      <c r="A131" s="212" t="s">
        <v>556</v>
      </c>
      <c r="B131" s="112">
        <f>SQRT(D1_Vinmin_2*(Iout^2*(1-D1_Vinmin_2)+Iripple_Vinmin^2/12))</f>
        <v>28.251308528230219</v>
      </c>
      <c r="C131" s="93" t="s">
        <v>1</v>
      </c>
      <c r="D131" s="112">
        <f>SQRT(D2_Vinmin_2*(Iout2^2*(1-D2_Vinmin_2)+Iripple2_Vinmin^2/12))</f>
        <v>4.2995458075006718</v>
      </c>
      <c r="E131" s="93" t="s">
        <v>1</v>
      </c>
      <c r="F131" s="2" t="s">
        <v>837</v>
      </c>
      <c r="G131" s="360"/>
      <c r="H131" s="116"/>
      <c r="I131" s="99"/>
      <c r="K131" s="656">
        <f>SQRT(Iout^2*D1_Vinmin*(1-D1_Vinmin)+Iout2^2*D2_Vinmin*(1-D2_Vinmin)-2*Iout*Iout2*D1_Vinmin*D2_Vinmin)</f>
        <v>26.15126935521274</v>
      </c>
      <c r="L131" s="93" t="s">
        <v>1</v>
      </c>
      <c r="M131" s="305">
        <f>SQRT(Iout^2*D1_Vinmin*(1-D1_Vinmin)+Iout2^2*D2_Vinmin*(1-D2_Vinmin)-2*Iout*Iout2*(0.5-D2_Vinmin*(1-D1_Vinmin)))</f>
        <v>12.801909579781015</v>
      </c>
      <c r="N131" t="s">
        <v>1</v>
      </c>
    </row>
    <row r="132" spans="1:16" ht="12.5" x14ac:dyDescent="0.25">
      <c r="A132" s="212" t="s">
        <v>557</v>
      </c>
      <c r="B132" s="112">
        <f>SQRT(D1_Vinnom_2*(Iout^2*(1-D1_Vinnom_2)+Iripple_Vinnom^2/12))</f>
        <v>29.944780754913563</v>
      </c>
      <c r="C132" s="93" t="s">
        <v>1</v>
      </c>
      <c r="D132" s="112">
        <f>SQRT(D2_Vinnom_2*(Iout2^2*(1-D2_Vinnom_2)+Iripple2_Vinnom^2/12))</f>
        <v>3.9123559755625483</v>
      </c>
      <c r="E132" s="93" t="s">
        <v>1</v>
      </c>
      <c r="G132" s="360"/>
      <c r="I132" s="99"/>
      <c r="K132" s="305">
        <f>SQRT(Iout^2*D1_Vinnom*(1-D1_Vinnom)+Iout2^2*D2_Vinnom*(1-D2_Vinnom)-2*Iout*Iout2*D1_Vinnom*D2_Vinnom)</f>
        <v>28.720878971384021</v>
      </c>
      <c r="L132" s="93" t="s">
        <v>1</v>
      </c>
    </row>
    <row r="133" spans="1:16" ht="12.5" x14ac:dyDescent="0.25">
      <c r="A133" s="212" t="s">
        <v>835</v>
      </c>
      <c r="B133" s="112">
        <f>SQRT(D1_Vinmax_2*(Iout^2*(1-D1_Vinmax_2)+Iripple_Vinmax^2/12))</f>
        <v>29.976218273963983</v>
      </c>
      <c r="C133" s="93" t="s">
        <v>1</v>
      </c>
      <c r="D133" s="112">
        <f>SQRT(D2_Vinmax_2*(Iout2^2*(1-D2_Vinmax_2)+Iripple2_Vinmax^2/12))</f>
        <v>3.7042374507779221</v>
      </c>
      <c r="E133" s="93" t="s">
        <v>1</v>
      </c>
      <c r="G133" s="360"/>
      <c r="I133" s="99"/>
      <c r="K133" s="305">
        <f>SQRT(Iout^2*D1_Vinmax*(1-D1_Vinmax)+Iout2^2*D2_Vinmax*(1-D2_Vinmax)-2*Iout*Iout2*D1_Vinmax*D2_Vinmax)</f>
        <v>29.037620271011537</v>
      </c>
      <c r="L133" s="93" t="s">
        <v>1</v>
      </c>
    </row>
    <row r="134" spans="1:16" ht="12.5" x14ac:dyDescent="0.25">
      <c r="A134" s="212" t="s">
        <v>562</v>
      </c>
      <c r="B134" s="655">
        <f>MAX(B131:B133, D131:D133)</f>
        <v>29.976218273963983</v>
      </c>
      <c r="C134" s="42" t="s">
        <v>1</v>
      </c>
      <c r="I134" s="99"/>
      <c r="K134" s="657">
        <f>MAX(K131:K133)</f>
        <v>29.037620271011537</v>
      </c>
      <c r="L134" s="42" t="s">
        <v>1</v>
      </c>
    </row>
    <row r="135" spans="1:16" x14ac:dyDescent="0.3">
      <c r="A135" s="114"/>
      <c r="B135" s="658"/>
      <c r="C135" s="42"/>
      <c r="D135" s="2"/>
      <c r="F135">
        <f>Number_of_Phases*D1_Vinnom</f>
        <v>1.0666666666666667</v>
      </c>
      <c r="G135" t="s">
        <v>838</v>
      </c>
      <c r="I135" s="99"/>
      <c r="K135" s="657"/>
      <c r="L135" s="42"/>
      <c r="P135" s="4"/>
    </row>
    <row r="136" spans="1:16" x14ac:dyDescent="0.3">
      <c r="A136" s="114" t="s">
        <v>840</v>
      </c>
      <c r="B136" s="305">
        <f>Iout*SQRT((D1_Vinnom-F136/Number_of_Phases)*((F136+1)/Number_of_Phases-D1_Vinnom))</f>
        <v>7.4833147735478818</v>
      </c>
      <c r="C136" t="s">
        <v>1</v>
      </c>
      <c r="D136" s="2"/>
      <c r="F136">
        <f>FLOOR(Number_of_Phases*D1_Vinnom,1)</f>
        <v>1</v>
      </c>
      <c r="G136" t="s">
        <v>839</v>
      </c>
      <c r="I136" s="99"/>
      <c r="K136" s="657"/>
      <c r="L136" s="42"/>
      <c r="P136" s="4"/>
    </row>
    <row r="137" spans="1:16" ht="12.5" x14ac:dyDescent="0.25">
      <c r="A137" s="114" t="s">
        <v>842</v>
      </c>
      <c r="B137">
        <f>Iout/2/Number_of_Phases</f>
        <v>15</v>
      </c>
      <c r="C137" s="114" t="s">
        <v>1</v>
      </c>
      <c r="I137" s="99"/>
      <c r="K137" s="657"/>
      <c r="L137" s="42"/>
      <c r="P137" s="4"/>
    </row>
    <row r="138" spans="1:16" x14ac:dyDescent="0.3">
      <c r="A138" s="114" t="s">
        <v>841</v>
      </c>
      <c r="B138" s="659">
        <f>CHOOSE(MODE, B134, B137)</f>
        <v>15</v>
      </c>
      <c r="C138" s="42" t="s">
        <v>1</v>
      </c>
      <c r="D138" s="2" t="s">
        <v>585</v>
      </c>
      <c r="I138" s="99"/>
      <c r="K138" s="657"/>
      <c r="L138" s="42"/>
      <c r="P138" s="4"/>
    </row>
    <row r="139" spans="1:16" x14ac:dyDescent="0.3">
      <c r="A139" s="114"/>
      <c r="B139" s="658"/>
      <c r="C139" s="42"/>
      <c r="D139" s="2"/>
      <c r="I139" s="99"/>
      <c r="K139" s="657"/>
      <c r="L139" s="42"/>
      <c r="P139" s="4"/>
    </row>
    <row r="140" spans="1:16" ht="12.5" x14ac:dyDescent="0.25">
      <c r="A140" s="98" t="s">
        <v>220</v>
      </c>
      <c r="B140" s="317">
        <f>'Design Regulator'!E42/1000</f>
        <v>0.1</v>
      </c>
      <c r="C140" t="s">
        <v>39</v>
      </c>
      <c r="F140" s="114" t="s">
        <v>563</v>
      </c>
      <c r="I140" s="99"/>
    </row>
    <row r="141" spans="1:16" ht="12.5" x14ac:dyDescent="0.25">
      <c r="A141" s="114"/>
      <c r="B141" s="524"/>
      <c r="C141" s="93"/>
      <c r="G141" s="360"/>
      <c r="I141" s="99"/>
    </row>
    <row r="142" spans="1:16" ht="12.5" x14ac:dyDescent="0.25">
      <c r="A142" s="476" t="s">
        <v>572</v>
      </c>
      <c r="B142" s="531">
        <f>Iout/Number_of_Phases*D1_Vinmax*(1-D1_Vinmax)/(Vinripple1*Fsw)</f>
        <v>3.3972947467757154E-4</v>
      </c>
      <c r="C142" s="93" t="s">
        <v>24</v>
      </c>
      <c r="F142" s="114" t="s">
        <v>580</v>
      </c>
      <c r="I142" s="99"/>
      <c r="K142" s="8"/>
    </row>
    <row r="143" spans="1:16" ht="12.5" x14ac:dyDescent="0.25">
      <c r="A143" s="476" t="s">
        <v>576</v>
      </c>
      <c r="B143" s="532">
        <f>MAX(Iout/Number_of_Phases*0.5*(1-0.5)/(Vinripple1*Fsw), Iout2*0.5*(1-0.5)/(Vinripple1*Fsw))</f>
        <v>3.4090909090909094E-4</v>
      </c>
      <c r="C143" s="42" t="s">
        <v>24</v>
      </c>
      <c r="F143" s="114" t="s">
        <v>573</v>
      </c>
      <c r="G143" s="30"/>
      <c r="I143" s="99"/>
      <c r="K143" s="8"/>
    </row>
    <row r="144" spans="1:16" ht="12.5" x14ac:dyDescent="0.25">
      <c r="A144" s="476" t="s">
        <v>219</v>
      </c>
      <c r="B144" s="30">
        <f>IF(VIN_max&lt;2*Vout, B142,B143)</f>
        <v>3.4090909090909094E-4</v>
      </c>
      <c r="C144" s="42" t="s">
        <v>24</v>
      </c>
      <c r="G144" s="30"/>
      <c r="I144" s="99"/>
      <c r="K144" s="8"/>
    </row>
    <row r="145" spans="1:11" ht="12.5" x14ac:dyDescent="0.25">
      <c r="A145" s="476" t="s">
        <v>513</v>
      </c>
      <c r="B145" s="654">
        <f>IF(Cinmin*1000000&lt;10, 10,Cinmin*1000000)</f>
        <v>340.90909090909093</v>
      </c>
      <c r="C145" s="42" t="s">
        <v>23</v>
      </c>
      <c r="F145" s="114" t="s">
        <v>585</v>
      </c>
      <c r="I145" s="99"/>
    </row>
    <row r="146" spans="1:11" ht="12.5" x14ac:dyDescent="0.25">
      <c r="A146" s="100" t="s">
        <v>57</v>
      </c>
      <c r="B146" s="424">
        <f>'Design Regulator'!E44/1000000</f>
        <v>1.328E-3</v>
      </c>
      <c r="C146" s="93" t="s">
        <v>24</v>
      </c>
      <c r="F146" t="s">
        <v>147</v>
      </c>
      <c r="I146" s="99"/>
    </row>
    <row r="147" spans="1:11" ht="12.5" x14ac:dyDescent="0.25">
      <c r="A147" s="476" t="s">
        <v>574</v>
      </c>
      <c r="B147" s="307">
        <f>-(Iout/Number_of_Phases*D1_Vinmax*(1-D1_Vinmax)/(Cin*Fsw)-Vinripple1)/(Iout/Number_of_Phases+Iripple_Vinmax/2)</f>
        <v>2.2620400597822641E-3</v>
      </c>
      <c r="C147" s="213" t="s">
        <v>116</v>
      </c>
      <c r="I147" s="99"/>
    </row>
    <row r="148" spans="1:11" ht="12.5" x14ac:dyDescent="0.25">
      <c r="A148" s="476" t="s">
        <v>575</v>
      </c>
      <c r="B148" s="307">
        <f>-(Iout/Number_of_Phases*0.5*(1-0.5)/(Cin*Fsw)-Vinripple1)/(Iout/Number_of_Phases+Iripple_Vinmax/2)</f>
        <v>2.2593400509258879E-3</v>
      </c>
      <c r="C148" s="213" t="s">
        <v>116</v>
      </c>
      <c r="F148" s="114" t="s">
        <v>581</v>
      </c>
      <c r="I148" s="99"/>
    </row>
    <row r="149" spans="1:11" ht="12.5" x14ac:dyDescent="0.25">
      <c r="A149" s="476" t="s">
        <v>221</v>
      </c>
      <c r="B149" s="307">
        <f>IF(VIN_max&lt;2*Vout, B147,B148)</f>
        <v>2.2593400509258879E-3</v>
      </c>
      <c r="C149" s="213" t="s">
        <v>116</v>
      </c>
      <c r="I149" s="99"/>
    </row>
    <row r="150" spans="1:11" x14ac:dyDescent="0.3">
      <c r="A150" s="476" t="s">
        <v>515</v>
      </c>
      <c r="B150" s="522">
        <f>IF(OR(CinEsrMax&gt;0.3, CinEsrMax&lt;0), "N/A",CinEsrMax*1000)</f>
        <v>2.2593400509258879</v>
      </c>
      <c r="C150" s="45" t="s">
        <v>318</v>
      </c>
      <c r="F150" t="s">
        <v>585</v>
      </c>
      <c r="I150" s="99"/>
    </row>
    <row r="151" spans="1:11" ht="12.5" x14ac:dyDescent="0.25">
      <c r="A151" s="100" t="s">
        <v>86</v>
      </c>
      <c r="B151" s="94">
        <f>'Design Regulator'!E46/1000</f>
        <v>1.5E-3</v>
      </c>
      <c r="C151" s="213" t="s">
        <v>116</v>
      </c>
      <c r="F151" s="114" t="s">
        <v>241</v>
      </c>
      <c r="I151" s="99"/>
    </row>
    <row r="152" spans="1:11" x14ac:dyDescent="0.3">
      <c r="F152" s="114"/>
      <c r="I152" s="99"/>
      <c r="K152" s="311"/>
    </row>
    <row r="153" spans="1:11" ht="12.5" x14ac:dyDescent="0.25">
      <c r="A153" s="476" t="s">
        <v>577</v>
      </c>
      <c r="B153" s="393">
        <f>Iout/Number_of_Phases*D1_Vinmax_2*(1-D1_Vinmax_2)/(Cin*Fsw)+(Iout/Number_of_Phases +Iripple_Vinmax/2)*RCinEsr</f>
        <v>7.4940354325596786E-2</v>
      </c>
      <c r="C153" s="93" t="s">
        <v>39</v>
      </c>
      <c r="I153" s="99"/>
    </row>
    <row r="154" spans="1:11" ht="12.5" x14ac:dyDescent="0.25">
      <c r="A154" s="476" t="s">
        <v>578</v>
      </c>
      <c r="B154" s="393">
        <f>Iout/Number_of_Phases*0.5*(1-0.5)/(Cin*Fsw)+(Iout/Number_of_Phases +Iripple_Vinmax/2)*RCinEsr</f>
        <v>7.5018771998945244E-2</v>
      </c>
      <c r="C154" s="93" t="s">
        <v>39</v>
      </c>
      <c r="F154" s="114" t="s">
        <v>579</v>
      </c>
      <c r="I154" s="99"/>
    </row>
    <row r="155" spans="1:11" ht="12.5" x14ac:dyDescent="0.25">
      <c r="A155" s="476" t="s">
        <v>222</v>
      </c>
      <c r="B155" s="393">
        <f>IF(VIN_max&lt;2*Vout, B153,B154)</f>
        <v>7.5018771998945244E-2</v>
      </c>
      <c r="C155" s="93" t="s">
        <v>39</v>
      </c>
      <c r="F155" s="114" t="s">
        <v>584</v>
      </c>
      <c r="I155" s="99"/>
    </row>
    <row r="156" spans="1:11" ht="12.5" x14ac:dyDescent="0.25">
      <c r="A156" s="100"/>
      <c r="B156" s="533"/>
      <c r="C156" s="93"/>
      <c r="I156" s="99"/>
    </row>
    <row r="157" spans="1:11" thickBot="1" x14ac:dyDescent="0.3">
      <c r="A157" s="101"/>
      <c r="B157" s="394">
        <f>Iout*D1_Vinmax_2*(1-D1_Vinmax_2)/(Cin*Fsw)</f>
        <v>5.118489521190113E-2</v>
      </c>
      <c r="C157" s="318" t="s">
        <v>39</v>
      </c>
      <c r="D157" s="102"/>
      <c r="E157" s="103"/>
      <c r="F157" s="103"/>
      <c r="G157" s="103"/>
      <c r="H157" s="103"/>
      <c r="I157" s="104"/>
    </row>
    <row r="159" spans="1:11" ht="16" thickBot="1" x14ac:dyDescent="0.4">
      <c r="A159" s="525" t="s">
        <v>583</v>
      </c>
    </row>
    <row r="160" spans="1:11" ht="12.5" x14ac:dyDescent="0.25">
      <c r="A160" s="90" t="s">
        <v>150</v>
      </c>
      <c r="B160" s="12">
        <f>'Design Regulator'!E51/1000</f>
        <v>3.0000000000000001E-3</v>
      </c>
      <c r="C160" s="63" t="s">
        <v>133</v>
      </c>
      <c r="D160" s="117" t="s">
        <v>435</v>
      </c>
      <c r="E160" s="63"/>
      <c r="F160" s="63"/>
      <c r="G160" s="63"/>
      <c r="H160" s="63"/>
      <c r="I160" s="64"/>
    </row>
    <row r="161" spans="1:9" ht="12.5" x14ac:dyDescent="0.25">
      <c r="A161" s="56" t="s">
        <v>151</v>
      </c>
      <c r="B161" s="68">
        <f>Cout*Vout/Tss</f>
        <v>1.6320000000000001</v>
      </c>
      <c r="C161" t="s">
        <v>1</v>
      </c>
      <c r="D161" s="114" t="s">
        <v>434</v>
      </c>
      <c r="I161" s="57"/>
    </row>
    <row r="162" spans="1:9" ht="12.5" x14ac:dyDescent="0.25">
      <c r="A162" s="56" t="s">
        <v>152</v>
      </c>
      <c r="B162" s="425">
        <f>0.00002*Tss/0.6</f>
        <v>1.0000000000000002E-7</v>
      </c>
      <c r="C162" t="s">
        <v>24</v>
      </c>
      <c r="I162" s="57"/>
    </row>
    <row r="163" spans="1:9" thickBot="1" x14ac:dyDescent="0.3">
      <c r="A163" s="60" t="s">
        <v>164</v>
      </c>
      <c r="B163" s="426">
        <f>'Standard Value Calculator'!B4</f>
        <v>9.9999999999999995E-8</v>
      </c>
      <c r="C163" s="61" t="s">
        <v>24</v>
      </c>
      <c r="D163" s="61"/>
      <c r="E163" s="61"/>
      <c r="F163" s="61"/>
      <c r="G163" s="61"/>
      <c r="H163" s="61"/>
      <c r="I163" s="62"/>
    </row>
    <row r="165" spans="1:9" ht="16" thickBot="1" x14ac:dyDescent="0.4">
      <c r="A165" s="525" t="s">
        <v>680</v>
      </c>
    </row>
    <row r="166" spans="1:9" ht="12.75" customHeight="1" x14ac:dyDescent="0.25">
      <c r="A166" s="211" t="s">
        <v>681</v>
      </c>
      <c r="B166" s="591">
        <f>'Design Regulator'!E53/1000</f>
        <v>0.03</v>
      </c>
      <c r="C166" s="63" t="s">
        <v>133</v>
      </c>
      <c r="D166" s="117" t="s">
        <v>686</v>
      </c>
      <c r="E166" s="63"/>
      <c r="F166" s="63"/>
      <c r="G166" s="63"/>
      <c r="H166" s="63"/>
      <c r="I166" s="64"/>
    </row>
    <row r="167" spans="1:9" ht="12.75" customHeight="1" x14ac:dyDescent="0.25">
      <c r="A167" s="212" t="s">
        <v>682</v>
      </c>
      <c r="B167" s="425">
        <f>0.00002*Tres/1.2</f>
        <v>5.0000000000000008E-7</v>
      </c>
      <c r="C167" t="s">
        <v>24</v>
      </c>
      <c r="I167" s="57"/>
    </row>
    <row r="168" spans="1:9" ht="12.75" customHeight="1" x14ac:dyDescent="0.3">
      <c r="A168" s="212" t="s">
        <v>683</v>
      </c>
      <c r="B168" s="592">
        <f>'Standard Value Calculator'!G4</f>
        <v>4.7E-7</v>
      </c>
      <c r="C168" t="s">
        <v>24</v>
      </c>
      <c r="F168" s="45"/>
      <c r="G168" s="44"/>
      <c r="H168" s="44"/>
      <c r="I168" s="57"/>
    </row>
    <row r="169" spans="1:9" ht="12.75" customHeight="1" x14ac:dyDescent="0.25">
      <c r="B169" s="44"/>
      <c r="C169"/>
      <c r="I169" s="57"/>
    </row>
    <row r="170" spans="1:9" ht="12.75" customHeight="1" x14ac:dyDescent="0.4">
      <c r="A170" s="212" t="s">
        <v>685</v>
      </c>
      <c r="B170" s="44">
        <v>100</v>
      </c>
      <c r="C170" s="45" t="s">
        <v>242</v>
      </c>
      <c r="I170" s="57"/>
    </row>
    <row r="171" spans="1:9" ht="12.75" customHeight="1" x14ac:dyDescent="0.4">
      <c r="A171" s="212" t="s">
        <v>690</v>
      </c>
      <c r="B171" s="44"/>
      <c r="C171" s="213" t="s">
        <v>116</v>
      </c>
      <c r="E171" s="114" t="s">
        <v>691</v>
      </c>
      <c r="I171" s="57"/>
    </row>
    <row r="172" spans="1:9" ht="12.75" customHeight="1" x14ac:dyDescent="0.25">
      <c r="A172" s="557" t="s">
        <v>688</v>
      </c>
      <c r="B172" s="44"/>
      <c r="C172" s="213" t="s">
        <v>116</v>
      </c>
      <c r="D172" s="379"/>
      <c r="E172" s="114" t="s">
        <v>689</v>
      </c>
      <c r="I172" s="57"/>
    </row>
    <row r="173" spans="1:9" ht="12.75" customHeight="1" x14ac:dyDescent="0.25">
      <c r="A173" s="557" t="s">
        <v>687</v>
      </c>
      <c r="B173" s="44"/>
      <c r="C173" s="213" t="s">
        <v>116</v>
      </c>
      <c r="D173" s="379"/>
      <c r="E173" s="114" t="s">
        <v>624</v>
      </c>
      <c r="I173" s="57"/>
    </row>
    <row r="174" spans="1:9" ht="12.75" customHeight="1" x14ac:dyDescent="0.25">
      <c r="A174" s="212"/>
      <c r="B174" s="44"/>
      <c r="C174" s="213"/>
      <c r="I174" s="57"/>
    </row>
    <row r="175" spans="1:9" ht="12.75" customHeight="1" x14ac:dyDescent="0.25">
      <c r="A175" s="212" t="s">
        <v>548</v>
      </c>
      <c r="B175" s="392">
        <f>'Design Regulator'!E55*1000</f>
        <v>9000</v>
      </c>
      <c r="C175" s="114" t="s">
        <v>9</v>
      </c>
      <c r="I175" s="57"/>
    </row>
    <row r="176" spans="1:9" ht="12.75" customHeight="1" x14ac:dyDescent="0.25">
      <c r="A176" s="212" t="s">
        <v>324</v>
      </c>
      <c r="B176" s="391">
        <f>10*10^-6/Fdither/0.12</f>
        <v>9.2592592592592591E-9</v>
      </c>
      <c r="C176" s="114" t="s">
        <v>24</v>
      </c>
      <c r="I176" s="57"/>
    </row>
    <row r="177" spans="1:14" ht="12.75" customHeight="1" x14ac:dyDescent="0.25">
      <c r="A177" s="212" t="s">
        <v>325</v>
      </c>
      <c r="B177" s="391">
        <f>'Standard Value Calculator'!O22</f>
        <v>1E-8</v>
      </c>
      <c r="C177" s="114" t="s">
        <v>24</v>
      </c>
      <c r="I177" s="57"/>
    </row>
    <row r="178" spans="1:14" ht="12.75" customHeight="1" thickBot="1" x14ac:dyDescent="0.35">
      <c r="A178" s="60"/>
      <c r="B178" s="70"/>
      <c r="C178" s="295"/>
      <c r="D178" s="61"/>
      <c r="E178" s="61"/>
      <c r="F178" s="61"/>
      <c r="G178" s="61"/>
      <c r="H178" s="61"/>
      <c r="I178" s="62"/>
    </row>
    <row r="179" spans="1:14" x14ac:dyDescent="0.3">
      <c r="B179" s="44"/>
      <c r="C179" s="296"/>
    </row>
    <row r="180" spans="1:14" ht="16" thickBot="1" x14ac:dyDescent="0.4">
      <c r="A180" s="525" t="s">
        <v>582</v>
      </c>
    </row>
    <row r="181" spans="1:14" x14ac:dyDescent="0.3">
      <c r="A181" s="374" t="s">
        <v>38</v>
      </c>
      <c r="B181" s="375">
        <v>3.1415926500000002</v>
      </c>
      <c r="C181" s="376"/>
      <c r="D181" s="377" t="s">
        <v>377</v>
      </c>
      <c r="E181" s="63"/>
      <c r="F181" s="63"/>
      <c r="G181" s="63"/>
      <c r="H181" s="63"/>
      <c r="I181" s="64"/>
    </row>
    <row r="182" spans="1:14" x14ac:dyDescent="0.3">
      <c r="A182" s="114" t="s">
        <v>387</v>
      </c>
      <c r="B182" s="114">
        <v>12</v>
      </c>
      <c r="C182" s="46"/>
      <c r="D182" s="213"/>
      <c r="I182" s="57"/>
    </row>
    <row r="183" spans="1:14" ht="12.5" x14ac:dyDescent="0.25">
      <c r="A183" s="114" t="s">
        <v>366</v>
      </c>
      <c r="B183">
        <f>Rs*CSAmp_gain</f>
        <v>2.64E-2</v>
      </c>
      <c r="C183" s="213" t="s">
        <v>116</v>
      </c>
      <c r="D183">
        <f>Rs_Ch2*CSAmp_gain</f>
        <v>4.8000000000000001E-2</v>
      </c>
      <c r="E183" s="213" t="s">
        <v>116</v>
      </c>
      <c r="F183" s="114" t="s">
        <v>382</v>
      </c>
      <c r="I183" s="57"/>
    </row>
    <row r="184" spans="1:14" ht="12.5" x14ac:dyDescent="0.25">
      <c r="A184" s="114" t="s">
        <v>347</v>
      </c>
      <c r="B184" s="373">
        <v>1.1999999999999999E-3</v>
      </c>
      <c r="C184" s="114" t="s">
        <v>66</v>
      </c>
      <c r="F184" s="114" t="s">
        <v>367</v>
      </c>
      <c r="I184" s="57"/>
    </row>
    <row r="185" spans="1:14" ht="12.5" x14ac:dyDescent="0.25">
      <c r="A185" s="114"/>
      <c r="B185" s="114"/>
      <c r="C185" s="114"/>
      <c r="F185" s="114"/>
      <c r="I185" s="57"/>
    </row>
    <row r="186" spans="1:14" x14ac:dyDescent="0.3">
      <c r="A186" s="114" t="s">
        <v>451</v>
      </c>
      <c r="B186" s="558">
        <f>B190/Ri*1000</f>
        <v>2424242.4242424243</v>
      </c>
      <c r="C186" s="493" t="s">
        <v>368</v>
      </c>
      <c r="D186" s="558">
        <f>B190/Ri_Ch2*1000</f>
        <v>1333333.3333333333</v>
      </c>
      <c r="E186" s="493" t="s">
        <v>368</v>
      </c>
      <c r="F186" s="493" t="s">
        <v>388</v>
      </c>
      <c r="H186" s="4"/>
      <c r="I186" s="57"/>
    </row>
    <row r="187" spans="1:14" x14ac:dyDescent="0.3">
      <c r="A187" s="114" t="s">
        <v>369</v>
      </c>
      <c r="B187" s="558">
        <f>(Vin-Vout)/Lf</f>
        <v>2100000</v>
      </c>
      <c r="C187" s="493" t="s">
        <v>368</v>
      </c>
      <c r="D187" s="558">
        <f>(Vin-Vout2)/Lo_2</f>
        <v>18181818.18181818</v>
      </c>
      <c r="E187" s="493" t="s">
        <v>368</v>
      </c>
      <c r="F187" s="493" t="s">
        <v>370</v>
      </c>
      <c r="H187" s="4"/>
      <c r="I187" s="57"/>
    </row>
    <row r="188" spans="1:14" x14ac:dyDescent="0.3">
      <c r="A188" s="114" t="s">
        <v>386</v>
      </c>
      <c r="B188" s="558">
        <f>Vout/Lf</f>
        <v>2400000</v>
      </c>
      <c r="C188" s="493" t="s">
        <v>368</v>
      </c>
      <c r="D188" s="558">
        <f>Vout2/Lo_2</f>
        <v>2272727.2727272725</v>
      </c>
      <c r="E188" s="493" t="s">
        <v>368</v>
      </c>
      <c r="F188" s="493" t="s">
        <v>385</v>
      </c>
      <c r="H188" s="4"/>
      <c r="I188" s="57"/>
    </row>
    <row r="189" spans="1:14" x14ac:dyDescent="0.3">
      <c r="A189" s="114"/>
      <c r="B189" s="378"/>
      <c r="C189" s="362"/>
      <c r="F189" s="362"/>
      <c r="I189" s="57"/>
      <c r="K189" s="114" t="s">
        <v>827</v>
      </c>
      <c r="L189" s="114" t="s">
        <v>846</v>
      </c>
      <c r="M189" s="114" t="s">
        <v>847</v>
      </c>
    </row>
    <row r="190" spans="1:14" x14ac:dyDescent="0.3">
      <c r="A190" s="114" t="s">
        <v>389</v>
      </c>
      <c r="B190" s="386">
        <f>(Fsw/1000)/220*64</f>
        <v>64</v>
      </c>
      <c r="C190" s="387" t="s">
        <v>425</v>
      </c>
      <c r="D190" s="386"/>
      <c r="E190" s="387"/>
      <c r="F190" s="387" t="s">
        <v>397</v>
      </c>
      <c r="I190" s="57"/>
      <c r="K190" s="114">
        <f>Ts</f>
        <v>4.5454545454545455E-6</v>
      </c>
      <c r="L190" s="360">
        <f>Ts*1000000</f>
        <v>4.5454545454545459</v>
      </c>
      <c r="M190">
        <f>B190*L190</f>
        <v>290.90909090909093</v>
      </c>
      <c r="N190" s="114" t="s">
        <v>292</v>
      </c>
    </row>
    <row r="191" spans="1:14" x14ac:dyDescent="0.3">
      <c r="A191" s="114" t="s">
        <v>395</v>
      </c>
      <c r="B191" s="386">
        <f>Sn*Ri/1000</f>
        <v>55.44</v>
      </c>
      <c r="C191" s="387" t="s">
        <v>425</v>
      </c>
      <c r="D191" s="386">
        <f>Sn_Ch2*Ri_Ch2/1000</f>
        <v>872.72727272727275</v>
      </c>
      <c r="E191" s="387" t="s">
        <v>425</v>
      </c>
      <c r="F191" s="387" t="s">
        <v>398</v>
      </c>
      <c r="I191" s="57"/>
    </row>
    <row r="192" spans="1:14" x14ac:dyDescent="0.3">
      <c r="A192" s="114" t="s">
        <v>396</v>
      </c>
      <c r="B192" s="386">
        <f>Sf*Ri/1000</f>
        <v>63.36</v>
      </c>
      <c r="C192" s="387" t="s">
        <v>425</v>
      </c>
      <c r="D192" s="386">
        <f>Sf_Ch2*Ri_Ch2/1000</f>
        <v>109.09090909090909</v>
      </c>
      <c r="E192" s="387" t="s">
        <v>425</v>
      </c>
      <c r="F192" s="387" t="s">
        <v>398</v>
      </c>
      <c r="I192" s="57"/>
    </row>
    <row r="193" spans="1:9" x14ac:dyDescent="0.3">
      <c r="A193" s="114"/>
      <c r="B193" s="386"/>
      <c r="C193" s="387"/>
      <c r="D193" s="387"/>
      <c r="I193" s="57"/>
    </row>
    <row r="194" spans="1:9" ht="12.5" x14ac:dyDescent="0.25">
      <c r="A194" s="114" t="s">
        <v>423</v>
      </c>
      <c r="B194" s="360">
        <f>1+Se_ext/Sn</f>
        <v>2.1544011544011545</v>
      </c>
      <c r="C194"/>
      <c r="D194" s="360">
        <f>1+Se_ext_Ch2/Sn_Ch2</f>
        <v>1.0733333333333333</v>
      </c>
      <c r="F194" s="114" t="s">
        <v>700</v>
      </c>
      <c r="I194" s="57"/>
    </row>
    <row r="195" spans="1:9" x14ac:dyDescent="0.3">
      <c r="A195" s="114" t="s">
        <v>424</v>
      </c>
      <c r="B195" s="380">
        <f>mc_buck*(1-D1_Vinnom_2)</f>
        <v>1.0012472519861684</v>
      </c>
      <c r="C195" s="362"/>
      <c r="D195" s="380">
        <f>mc_buck_Ch2*(1-D2_Vinnom_2)</f>
        <v>0.95162789321020524</v>
      </c>
      <c r="F195" s="362" t="s">
        <v>701</v>
      </c>
      <c r="I195" s="57"/>
    </row>
    <row r="196" spans="1:9" x14ac:dyDescent="0.3">
      <c r="A196" s="2"/>
      <c r="B196" s="395"/>
      <c r="C196" s="362"/>
      <c r="D196" s="362"/>
      <c r="I196" s="57"/>
    </row>
    <row r="197" spans="1:9" x14ac:dyDescent="0.3">
      <c r="A197" s="2" t="s">
        <v>371</v>
      </c>
      <c r="B197" s="380">
        <f>1+Se_ext/Sn</f>
        <v>2.1544011544011545</v>
      </c>
      <c r="C197" s="362"/>
      <c r="D197" s="380">
        <f>1+Se_ext_Ch2/Sn_Ch2</f>
        <v>1.0733333333333333</v>
      </c>
      <c r="I197" s="57"/>
    </row>
    <row r="198" spans="1:9" x14ac:dyDescent="0.3">
      <c r="A198" s="2" t="s">
        <v>346</v>
      </c>
      <c r="B198" s="421">
        <f>mc_buck*(1-D1_Vinnom_2)</f>
        <v>1.0012472519861684</v>
      </c>
      <c r="C198" s="362"/>
      <c r="D198" s="421">
        <f>mc_buck_Ch2*(1-D2_Vinnom_2)</f>
        <v>0.95162789321020524</v>
      </c>
      <c r="I198" s="57"/>
    </row>
    <row r="199" spans="1:9" ht="12.5" x14ac:dyDescent="0.25">
      <c r="A199" s="114" t="s">
        <v>27</v>
      </c>
      <c r="B199" s="360">
        <f>1/Pi/(k-0.5)</f>
        <v>0.63503567408344874</v>
      </c>
      <c r="C199"/>
      <c r="D199" s="360">
        <f>1/Pi/(k_Ch2-0.5)</f>
        <v>0.7048056405129054</v>
      </c>
      <c r="F199" s="114" t="s">
        <v>380</v>
      </c>
      <c r="H199" s="114" t="s">
        <v>391</v>
      </c>
      <c r="I199" s="57"/>
    </row>
    <row r="200" spans="1:9" ht="12.5" x14ac:dyDescent="0.25">
      <c r="A200" s="114"/>
      <c r="B200" s="360"/>
      <c r="C200"/>
      <c r="D200" s="114"/>
      <c r="F200" s="114"/>
      <c r="I200" s="57"/>
    </row>
    <row r="201" spans="1:9" x14ac:dyDescent="0.3">
      <c r="A201" s="362" t="s">
        <v>426</v>
      </c>
      <c r="B201" s="360"/>
      <c r="C201"/>
      <c r="D201" s="114"/>
      <c r="I201" s="57"/>
    </row>
    <row r="202" spans="1:9" ht="12.5" x14ac:dyDescent="0.25">
      <c r="A202" s="114" t="s">
        <v>372</v>
      </c>
      <c r="B202" s="373">
        <v>30</v>
      </c>
      <c r="C202" s="114" t="s">
        <v>181</v>
      </c>
      <c r="F202" s="114" t="s">
        <v>456</v>
      </c>
      <c r="I202" s="57"/>
    </row>
    <row r="203" spans="1:9" ht="12.5" x14ac:dyDescent="0.25">
      <c r="A203" s="114" t="s">
        <v>373</v>
      </c>
      <c r="B203" s="663">
        <f>gm/(2*Pi*GBW*1000000)</f>
        <v>6.3661977309502546E-12</v>
      </c>
      <c r="C203" s="114" t="s">
        <v>24</v>
      </c>
      <c r="F203" s="114" t="s">
        <v>455</v>
      </c>
      <c r="I203" s="57"/>
    </row>
    <row r="204" spans="1:9" ht="12.5" x14ac:dyDescent="0.25">
      <c r="A204" s="114" t="s">
        <v>374</v>
      </c>
      <c r="B204" s="596">
        <v>64000000</v>
      </c>
      <c r="C204" s="213" t="s">
        <v>116</v>
      </c>
      <c r="F204" s="114" t="s">
        <v>454</v>
      </c>
      <c r="I204" s="57"/>
    </row>
    <row r="205" spans="1:9" x14ac:dyDescent="0.3">
      <c r="A205" s="2" t="s">
        <v>375</v>
      </c>
      <c r="B205" s="309">
        <f>gm*RoEA</f>
        <v>76800</v>
      </c>
      <c r="C205" s="114" t="s">
        <v>28</v>
      </c>
      <c r="F205" s="114" t="s">
        <v>453</v>
      </c>
      <c r="I205" s="57"/>
    </row>
    <row r="206" spans="1:9" x14ac:dyDescent="0.3">
      <c r="A206" s="2" t="s">
        <v>376</v>
      </c>
      <c r="B206" s="4">
        <f>Vref/Vout</f>
        <v>2.4999999999999998E-2</v>
      </c>
      <c r="C206" s="114" t="s">
        <v>28</v>
      </c>
      <c r="D206" s="4">
        <f>Vref/Vout2</f>
        <v>0.12</v>
      </c>
      <c r="E206" s="114" t="s">
        <v>28</v>
      </c>
      <c r="F206" s="114" t="s">
        <v>452</v>
      </c>
      <c r="I206" s="57"/>
    </row>
    <row r="207" spans="1:9" x14ac:dyDescent="0.3">
      <c r="A207" s="2" t="s">
        <v>331</v>
      </c>
      <c r="B207" s="395">
        <f>1/Ri</f>
        <v>37.878787878787882</v>
      </c>
      <c r="C207" s="114"/>
      <c r="D207" s="395">
        <f>1/Ri_Ch2</f>
        <v>20.833333333333332</v>
      </c>
      <c r="E207" s="114"/>
      <c r="F207" s="114" t="s">
        <v>381</v>
      </c>
      <c r="I207" s="57"/>
    </row>
    <row r="208" spans="1:9" x14ac:dyDescent="0.3">
      <c r="A208" s="2" t="s">
        <v>417</v>
      </c>
      <c r="B208" s="4">
        <f>(Ro/Number_of_Phases)/Ri/((1+Ro/Number_of_Phases*(k-0.5)/(Fsw*Lf)))</f>
        <v>7.2455909787473161</v>
      </c>
      <c r="C208" s="4"/>
      <c r="D208" s="4">
        <f>Ro_Ch2/Ri_Ch2/((1+Ro_Ch2*(k_Ch2-0.5)/(Fsw*Lo_2)))</f>
        <v>6.2504084982489605</v>
      </c>
      <c r="I208" s="57"/>
    </row>
    <row r="209" spans="1:9" x14ac:dyDescent="0.3">
      <c r="A209" s="2" t="s">
        <v>336</v>
      </c>
      <c r="B209" s="4">
        <f>(Ro*Number_of_Phases)/Ri/((1+Ro*Number_of_Phases*(k-0.5)/(Fsw*Lf)))</f>
        <v>25.631189163612664</v>
      </c>
      <c r="C209" s="4"/>
      <c r="D209" s="4">
        <f>Ro_Ch2/Ri_Ch2/((1+Ro_Ch2*(k_Ch2-0.5)/(Fsw*Lo_2)))</f>
        <v>6.2504084982489605</v>
      </c>
      <c r="F209" s="362" t="s">
        <v>798</v>
      </c>
      <c r="I209" s="57"/>
    </row>
    <row r="210" spans="1:9" x14ac:dyDescent="0.3">
      <c r="A210" s="2"/>
      <c r="B210" s="4"/>
      <c r="C210"/>
      <c r="D210" s="362"/>
      <c r="I210" s="57"/>
    </row>
    <row r="211" spans="1:9" ht="12.5" x14ac:dyDescent="0.25">
      <c r="A211" s="114" t="s">
        <v>799</v>
      </c>
      <c r="B211" s="4">
        <f>2*Pi*Ri/gm</f>
        <v>138.23007660000002</v>
      </c>
      <c r="C211"/>
      <c r="F211" s="114" t="s">
        <v>457</v>
      </c>
      <c r="I211" s="57"/>
    </row>
    <row r="212" spans="1:9" x14ac:dyDescent="0.3">
      <c r="A212" s="362" t="s">
        <v>418</v>
      </c>
      <c r="B212" s="4"/>
      <c r="C212"/>
      <c r="F212" s="114"/>
      <c r="I212" s="57"/>
    </row>
    <row r="213" spans="1:9" x14ac:dyDescent="0.3">
      <c r="A213" s="362"/>
      <c r="B213" s="4"/>
      <c r="C213"/>
      <c r="F213" s="114"/>
      <c r="I213" s="57"/>
    </row>
    <row r="214" spans="1:9" ht="12.5" x14ac:dyDescent="0.25">
      <c r="A214" s="212" t="s">
        <v>42</v>
      </c>
      <c r="B214" s="395">
        <f>Rout</f>
        <v>0.4</v>
      </c>
      <c r="C214" s="213" t="s">
        <v>116</v>
      </c>
      <c r="D214" s="360">
        <f>Rout2</f>
        <v>0.41666666666666669</v>
      </c>
      <c r="E214" s="213" t="s">
        <v>116</v>
      </c>
      <c r="F214" s="114" t="s">
        <v>271</v>
      </c>
      <c r="I214" s="57"/>
    </row>
    <row r="215" spans="1:9" ht="12.5" x14ac:dyDescent="0.25">
      <c r="A215" s="114"/>
      <c r="B215" s="114"/>
      <c r="C215" s="213"/>
      <c r="D215" s="114"/>
      <c r="I215" s="57"/>
    </row>
    <row r="216" spans="1:9" ht="12.5" x14ac:dyDescent="0.25">
      <c r="A216" s="114" t="s">
        <v>412</v>
      </c>
      <c r="B216" s="385">
        <f>1/(2*Pi*Ro*Cout)+(k-0.5)/(2*Pi*Fsw*Lf*Cout/Number_of_Phases)</f>
        <v>2305.9361495490862</v>
      </c>
      <c r="C216" t="s">
        <v>9</v>
      </c>
      <c r="D216" s="385">
        <f>1/(2*Pi*Ro_Ch2*Cout2)+(k_Ch2-0.5)/(2*Pi*Fsw*Lo_2*Cout2)</f>
        <v>4420.681711975064</v>
      </c>
      <c r="E216" t="s">
        <v>9</v>
      </c>
      <c r="F216" s="114" t="s">
        <v>411</v>
      </c>
      <c r="I216" s="57"/>
    </row>
    <row r="217" spans="1:9" x14ac:dyDescent="0.3">
      <c r="A217" s="114" t="s">
        <v>444</v>
      </c>
      <c r="B217" s="371">
        <f>Fload_u</f>
        <v>2305.9361495490862</v>
      </c>
      <c r="C217" s="114" t="s">
        <v>9</v>
      </c>
      <c r="D217" s="371">
        <f>Fload_u_Ch2</f>
        <v>4420.681711975064</v>
      </c>
      <c r="E217" s="114" t="s">
        <v>9</v>
      </c>
      <c r="F217" s="378"/>
      <c r="I217" s="57"/>
    </row>
    <row r="218" spans="1:9" x14ac:dyDescent="0.3">
      <c r="A218" s="114"/>
      <c r="B218" s="370">
        <f>Cbw</f>
        <v>6.3661977309502546E-12</v>
      </c>
      <c r="C218"/>
      <c r="D218" s="114"/>
      <c r="E218" s="46"/>
      <c r="I218" s="57"/>
    </row>
    <row r="219" spans="1:9" ht="12.5" x14ac:dyDescent="0.25">
      <c r="A219" s="114" t="s">
        <v>383</v>
      </c>
      <c r="B219" s="581">
        <f>1/(2*Pi*(RoEA+Rcea1_u)*Cc1ea_u)</f>
        <v>0.75336265876811326</v>
      </c>
      <c r="C219" t="s">
        <v>9</v>
      </c>
      <c r="D219" s="435">
        <f>1/(2*Pi*(RoEA+Rcea2_u)*Cc3ea_u)</f>
        <v>1.3812296013413206</v>
      </c>
      <c r="E219" t="s">
        <v>9</v>
      </c>
      <c r="F219" s="114" t="s">
        <v>410</v>
      </c>
      <c r="I219" s="57"/>
    </row>
    <row r="220" spans="1:9" ht="12.5" x14ac:dyDescent="0.25">
      <c r="A220" s="114" t="s">
        <v>384</v>
      </c>
      <c r="B220" s="385">
        <f>1/(2*Pi*Rcea1_u*(Cc2ea_u+Cbw))</f>
        <v>100060.22121612207</v>
      </c>
      <c r="C220" t="s">
        <v>9</v>
      </c>
      <c r="D220" s="385">
        <f>1/(2*Pi*Rcea2_u*(Cc4ea_u+Cbw))</f>
        <v>120072.26545934647</v>
      </c>
      <c r="E220" t="s">
        <v>9</v>
      </c>
      <c r="F220" s="114" t="s">
        <v>392</v>
      </c>
      <c r="I220" s="57"/>
    </row>
    <row r="221" spans="1:9" ht="12.5" x14ac:dyDescent="0.25">
      <c r="A221" s="212" t="s">
        <v>26</v>
      </c>
      <c r="B221" s="385">
        <f>1/(2*Pi*Cout*Cout_ESR)</f>
        <v>390085.64527881466</v>
      </c>
      <c r="C221" t="s">
        <v>9</v>
      </c>
      <c r="D221" s="385">
        <f>1/(2*Pi*Cout2*Cout2_ESR)</f>
        <v>663145.59697398485</v>
      </c>
      <c r="E221" t="s">
        <v>9</v>
      </c>
      <c r="F221" s="114" t="s">
        <v>409</v>
      </c>
      <c r="I221" s="57"/>
    </row>
    <row r="222" spans="1:9" ht="12.5" x14ac:dyDescent="0.25">
      <c r="A222" s="114" t="s">
        <v>416</v>
      </c>
      <c r="B222" s="385">
        <f>Fsw/2</f>
        <v>110000</v>
      </c>
      <c r="C222" t="s">
        <v>9</v>
      </c>
      <c r="D222" s="371"/>
      <c r="F222" s="114" t="s">
        <v>776</v>
      </c>
      <c r="I222" s="57"/>
    </row>
    <row r="223" spans="1:9" x14ac:dyDescent="0.3">
      <c r="A223" s="114"/>
      <c r="B223" s="371"/>
      <c r="C223"/>
      <c r="D223" s="114"/>
      <c r="E223" s="46"/>
      <c r="I223" s="57"/>
    </row>
    <row r="224" spans="1:9" ht="12.5" x14ac:dyDescent="0.25">
      <c r="A224" s="212" t="s">
        <v>408</v>
      </c>
      <c r="B224" s="317">
        <f>'Design Regulator'!E63*1000</f>
        <v>30000</v>
      </c>
      <c r="C224" s="370" t="s">
        <v>9</v>
      </c>
      <c r="D224" s="317">
        <f>'Design Regulator'!J63*1000</f>
        <v>60000</v>
      </c>
      <c r="E224" s="370" t="s">
        <v>9</v>
      </c>
      <c r="I224" s="57"/>
    </row>
    <row r="225" spans="1:12" x14ac:dyDescent="0.3">
      <c r="A225" s="66" t="s">
        <v>33</v>
      </c>
      <c r="B225" s="371">
        <f>Fcross*Cout/Number_of_Phases*2*Pi*Ri/(gm*Afb)</f>
        <v>16919.361375840006</v>
      </c>
      <c r="C225" s="213" t="s">
        <v>116</v>
      </c>
      <c r="D225" s="371">
        <f>Fcross_Ch2*Cout2*2*Pi*Ri_Ch2/(gm*Afb_Ch2)</f>
        <v>15079.644720000004</v>
      </c>
      <c r="E225" s="213" t="s">
        <v>116</v>
      </c>
      <c r="F225" s="114" t="s">
        <v>378</v>
      </c>
      <c r="I225" s="57"/>
      <c r="K225" s="309"/>
      <c r="L225" s="213"/>
    </row>
    <row r="226" spans="1:12" x14ac:dyDescent="0.3">
      <c r="A226" s="66" t="s">
        <v>729</v>
      </c>
      <c r="B226" s="370">
        <f>10/(Rcea1*Fcross*2*Pi)</f>
        <v>3.1355585225382007E-9</v>
      </c>
      <c r="C226" t="s">
        <v>24</v>
      </c>
      <c r="D226" s="370">
        <f>10/(Rcea2*Fcross_Ch2*2*Pi)</f>
        <v>1.7590483311439309E-9</v>
      </c>
      <c r="E226" t="s">
        <v>24</v>
      </c>
      <c r="F226" s="114" t="s">
        <v>703</v>
      </c>
      <c r="I226" s="57"/>
    </row>
    <row r="227" spans="1:12" x14ac:dyDescent="0.3">
      <c r="A227" s="66" t="s">
        <v>730</v>
      </c>
      <c r="B227" s="370">
        <f>MAX(1/(Rcea1*2*Pi*Fesr)-Cbw, 1/(Rcea1*2*Pi*(Fsw/2))-Cbw)</f>
        <v>7.9149034701909774E-11</v>
      </c>
      <c r="C227" t="s">
        <v>24</v>
      </c>
      <c r="D227" s="370">
        <f>MAX(1/(Rcea2*2*Pi*Fesr_Ch2)-Cbw, 1/(Rcea2*2*Pi*(Fsw/2))-Cbw)</f>
        <v>8.9581893058718698E-11</v>
      </c>
      <c r="E227" t="s">
        <v>24</v>
      </c>
      <c r="F227" s="114" t="s">
        <v>379</v>
      </c>
      <c r="I227" s="57"/>
    </row>
    <row r="228" spans="1:12" x14ac:dyDescent="0.3">
      <c r="A228" s="65"/>
      <c r="B228" s="1"/>
      <c r="C228" s="213"/>
      <c r="I228" s="57"/>
    </row>
    <row r="229" spans="1:12" x14ac:dyDescent="0.3">
      <c r="A229" s="66" t="s">
        <v>327</v>
      </c>
      <c r="I229" s="57"/>
    </row>
    <row r="230" spans="1:12" ht="12.5" x14ac:dyDescent="0.25">
      <c r="A230" s="56" t="s">
        <v>34</v>
      </c>
      <c r="B230" s="69">
        <f>'Design Regulator'!D70*1000</f>
        <v>18000</v>
      </c>
      <c r="C230" s="213" t="s">
        <v>116</v>
      </c>
      <c r="D230" s="69">
        <f>'Design Regulator'!D73*1000</f>
        <v>15000</v>
      </c>
      <c r="E230" s="213" t="s">
        <v>116</v>
      </c>
      <c r="F230">
        <f>1/(Rcea1*2*Pi*(Fsw/2))-Cbw</f>
        <v>7.9149034701909774E-11</v>
      </c>
      <c r="I230" s="57"/>
    </row>
    <row r="231" spans="1:12" ht="12.5" x14ac:dyDescent="0.25">
      <c r="A231" s="56" t="s">
        <v>35</v>
      </c>
      <c r="B231" s="69">
        <f>'Design Regulator'!D71*0.000000001</f>
        <v>3.3000000000000006E-9</v>
      </c>
      <c r="C231" t="s">
        <v>24</v>
      </c>
      <c r="D231" s="69">
        <f>'Design Regulator'!D74*0.000000001</f>
        <v>1.8000000000000002E-9</v>
      </c>
      <c r="E231" t="s">
        <v>24</v>
      </c>
      <c r="I231" s="57"/>
    </row>
    <row r="232" spans="1:12" ht="12.5" x14ac:dyDescent="0.25">
      <c r="A232" s="56" t="s">
        <v>36</v>
      </c>
      <c r="B232" s="69">
        <f>'Design Regulator'!D72*0.000000000001</f>
        <v>8.2000000000000001E-11</v>
      </c>
      <c r="C232" t="s">
        <v>24</v>
      </c>
      <c r="D232" s="69">
        <f>'Design Regulator'!D75*0.000000000001</f>
        <v>8.2000000000000001E-11</v>
      </c>
      <c r="E232" t="s">
        <v>24</v>
      </c>
      <c r="I232" s="57"/>
    </row>
    <row r="233" spans="1:12" ht="12.5" x14ac:dyDescent="0.25">
      <c r="A233" s="56"/>
      <c r="B233" s="48"/>
      <c r="C233"/>
      <c r="I233" s="57"/>
    </row>
    <row r="234" spans="1:12" x14ac:dyDescent="0.3">
      <c r="A234" s="66" t="s">
        <v>394</v>
      </c>
      <c r="C234"/>
      <c r="F234">
        <f>Cout</f>
        <v>2.04E-4</v>
      </c>
      <c r="G234">
        <f>Cout_ESR</f>
        <v>2E-3</v>
      </c>
      <c r="I234" s="57"/>
    </row>
    <row r="235" spans="1:12" x14ac:dyDescent="0.3">
      <c r="A235" s="66" t="s">
        <v>37</v>
      </c>
      <c r="B235" s="372">
        <f>1/(2*Pi*Rcea1_u*Cc1ea_u)</f>
        <v>2679.3761493898373</v>
      </c>
      <c r="C235" t="s">
        <v>9</v>
      </c>
      <c r="D235" s="372">
        <f>1/(2*Pi*Rcea2_u*Cc3ea_u)</f>
        <v>5894.6275286576438</v>
      </c>
      <c r="E235" t="s">
        <v>9</v>
      </c>
      <c r="F235" s="114" t="s">
        <v>449</v>
      </c>
      <c r="I235" s="57"/>
    </row>
    <row r="236" spans="1:12" x14ac:dyDescent="0.3">
      <c r="A236" s="66" t="s">
        <v>811</v>
      </c>
      <c r="B236" s="372">
        <f>1/(2*Pi*Rcea1_u*(Cc1ea_u*(Cc2ea_u+Cbw)/(Cc1ea_u+Cc2ea_u+Cbw)))</f>
        <v>102739.5973655119</v>
      </c>
      <c r="C236" t="s">
        <v>9</v>
      </c>
      <c r="D236" s="372">
        <f>1/(2*Pi*Rcea2_u*(Cc3ea_u*(Cc4ea_u+Cbw)/(Cc3ea_u+Cc4ea_u+Cbw)))</f>
        <v>125966.89298800411</v>
      </c>
      <c r="E236" t="s">
        <v>9</v>
      </c>
      <c r="F236" t="s">
        <v>132</v>
      </c>
      <c r="I236" s="57"/>
    </row>
    <row r="237" spans="1:12" ht="12.5" x14ac:dyDescent="0.25">
      <c r="C237"/>
      <c r="I237" s="57"/>
    </row>
    <row r="238" spans="1:12" ht="12.5" x14ac:dyDescent="0.25">
      <c r="A238" s="56" t="s">
        <v>29</v>
      </c>
      <c r="B238" s="317">
        <f>'Design Regulator'!E65*1000</f>
        <v>390000</v>
      </c>
      <c r="C238" s="213" t="s">
        <v>116</v>
      </c>
      <c r="D238" s="317">
        <f>'Design Regulator'!J65*1000</f>
        <v>115000</v>
      </c>
      <c r="E238" s="213" t="s">
        <v>116</v>
      </c>
      <c r="F238" s="114" t="s">
        <v>402</v>
      </c>
      <c r="I238" s="57"/>
    </row>
    <row r="239" spans="1:12" x14ac:dyDescent="0.3">
      <c r="A239" s="66" t="s">
        <v>40</v>
      </c>
      <c r="B239" s="361">
        <f>IF(Vout=Vref,100000000,Vref*B238/((Vout-Vref)))</f>
        <v>10000</v>
      </c>
      <c r="C239" s="213" t="s">
        <v>116</v>
      </c>
      <c r="D239" s="361">
        <f>IF(Vout2=Vref,100000000,Vref*D238/((Vout2-Vref)))</f>
        <v>15681.81818181818</v>
      </c>
      <c r="E239" s="213" t="s">
        <v>116</v>
      </c>
      <c r="F239" s="114" t="s">
        <v>401</v>
      </c>
      <c r="I239" s="57"/>
    </row>
    <row r="240" spans="1:12" ht="12.5" x14ac:dyDescent="0.25">
      <c r="A240" s="56" t="s">
        <v>136</v>
      </c>
      <c r="B240" s="68">
        <f>IF(Vout=Vref,"N/A",'Standard Value Calculator'!O11)</f>
        <v>10000</v>
      </c>
      <c r="C240" s="213" t="s">
        <v>116</v>
      </c>
      <c r="D240" s="68">
        <f>IF(Vout2=Vref,"N/A",'Standard Value Calculator'!O13)</f>
        <v>15800</v>
      </c>
      <c r="E240" s="213" t="s">
        <v>116</v>
      </c>
      <c r="F240" s="114" t="s">
        <v>400</v>
      </c>
      <c r="I240" s="57"/>
    </row>
    <row r="241" spans="1:9" ht="13.5" thickBot="1" x14ac:dyDescent="0.35">
      <c r="A241" s="384"/>
      <c r="B241" s="384"/>
      <c r="C241" s="71"/>
      <c r="D241" s="61"/>
      <c r="E241" s="71"/>
      <c r="F241" s="61"/>
      <c r="G241" s="61"/>
      <c r="H241" s="61"/>
      <c r="I241" s="62"/>
    </row>
    <row r="242" spans="1:9" x14ac:dyDescent="0.3">
      <c r="A242" s="1"/>
      <c r="B242" s="46"/>
      <c r="C242" s="46"/>
      <c r="E242" s="46"/>
    </row>
    <row r="243" spans="1:9" x14ac:dyDescent="0.3">
      <c r="A243" s="66" t="s">
        <v>172</v>
      </c>
      <c r="B243" s="1"/>
      <c r="C243"/>
    </row>
    <row r="244" spans="1:9" x14ac:dyDescent="0.3">
      <c r="A244" s="66" t="s">
        <v>173</v>
      </c>
      <c r="B244" s="2">
        <v>0</v>
      </c>
      <c r="C244" s="213" t="s">
        <v>116</v>
      </c>
      <c r="D244" s="114" t="s">
        <v>270</v>
      </c>
    </row>
    <row r="245" spans="1:9" x14ac:dyDescent="0.3">
      <c r="A245" s="66" t="s">
        <v>176</v>
      </c>
      <c r="B245" s="382" t="e">
        <f>0.00000002*Fsw*0.6*4/Iripple1</f>
        <v>#NAME?</v>
      </c>
      <c r="C245" s="46"/>
      <c r="E245" s="46"/>
    </row>
    <row r="246" spans="1:9" x14ac:dyDescent="0.3">
      <c r="A246" s="66" t="s">
        <v>175</v>
      </c>
      <c r="B246" s="382" t="e">
        <f>_Don2*RdsonTop+Doff2*RdsonBot</f>
        <v>#NAME?</v>
      </c>
      <c r="C246" s="46"/>
      <c r="E246" s="46"/>
    </row>
    <row r="247" spans="1:9" x14ac:dyDescent="0.3">
      <c r="A247" s="66" t="s">
        <v>174</v>
      </c>
      <c r="B247" s="382" t="e">
        <f>B248*Vin^2*Fsw/2/(((Iripple1/SQRT(3))^2))</f>
        <v>#NAME?</v>
      </c>
      <c r="C247" s="46"/>
      <c r="E247" s="46"/>
    </row>
    <row r="248" spans="1:9" x14ac:dyDescent="0.3">
      <c r="A248" s="66" t="s">
        <v>177</v>
      </c>
      <c r="B248" s="383">
        <v>5.0000000000000001E-9</v>
      </c>
      <c r="C248" s="46"/>
      <c r="E248" s="46"/>
    </row>
    <row r="249" spans="1:9" x14ac:dyDescent="0.3">
      <c r="A249" s="1"/>
      <c r="B249" s="46"/>
      <c r="C249" s="46"/>
      <c r="E249" s="46"/>
    </row>
    <row r="250" spans="1:9" ht="16" thickBot="1" x14ac:dyDescent="0.4">
      <c r="A250" s="92" t="s">
        <v>193</v>
      </c>
    </row>
    <row r="251" spans="1:9" x14ac:dyDescent="0.3">
      <c r="A251" s="211" t="s">
        <v>615</v>
      </c>
      <c r="B251" s="63">
        <v>0</v>
      </c>
      <c r="C251" s="297"/>
      <c r="D251" s="63"/>
      <c r="E251" s="63"/>
      <c r="F251" s="63"/>
      <c r="G251" s="63"/>
      <c r="H251" s="63"/>
      <c r="I251" s="64"/>
    </row>
    <row r="252" spans="1:9" x14ac:dyDescent="0.3">
      <c r="A252" s="66" t="s">
        <v>55</v>
      </c>
      <c r="I252" s="57"/>
    </row>
    <row r="253" spans="1:9" ht="12.5" x14ac:dyDescent="0.25">
      <c r="A253" s="56" t="s">
        <v>83</v>
      </c>
      <c r="B253" s="29">
        <f>'Design Regulator'!E14</f>
        <v>25</v>
      </c>
      <c r="C253" s="114" t="s">
        <v>226</v>
      </c>
      <c r="D253" t="s">
        <v>96</v>
      </c>
      <c r="I253" s="57"/>
    </row>
    <row r="254" spans="1:9" x14ac:dyDescent="0.3">
      <c r="A254" s="66" t="s">
        <v>58</v>
      </c>
      <c r="C254"/>
      <c r="I254" s="57"/>
    </row>
    <row r="255" spans="1:9" ht="12.5" x14ac:dyDescent="0.25">
      <c r="A255" s="56" t="s">
        <v>82</v>
      </c>
      <c r="B255" s="59">
        <f>4000/1000000</f>
        <v>4.0000000000000001E-3</v>
      </c>
      <c r="C255" s="114" t="s">
        <v>279</v>
      </c>
      <c r="D255" s="114" t="s">
        <v>481</v>
      </c>
      <c r="I255" s="57"/>
    </row>
    <row r="256" spans="1:9" ht="15.5" x14ac:dyDescent="0.4">
      <c r="A256" s="212" t="s">
        <v>478</v>
      </c>
      <c r="B256" s="59">
        <v>20</v>
      </c>
      <c r="C256" s="114" t="s">
        <v>205</v>
      </c>
      <c r="D256" s="114" t="s">
        <v>479</v>
      </c>
      <c r="I256" s="57"/>
    </row>
    <row r="257" spans="1:9" ht="12.5" x14ac:dyDescent="0.25">
      <c r="A257" s="56" t="s">
        <v>86</v>
      </c>
      <c r="B257" s="29">
        <f>RCinEsr</f>
        <v>1.5E-3</v>
      </c>
      <c r="C257" s="213" t="s">
        <v>116</v>
      </c>
      <c r="D257" s="114" t="s">
        <v>480</v>
      </c>
      <c r="I257" s="57"/>
    </row>
    <row r="258" spans="1:9" ht="12.5" x14ac:dyDescent="0.25">
      <c r="A258" s="56"/>
      <c r="B258" s="29"/>
      <c r="C258" s="213"/>
      <c r="D258" s="114"/>
      <c r="I258" s="57"/>
    </row>
    <row r="259" spans="1:9" x14ac:dyDescent="0.3">
      <c r="A259" s="65" t="s">
        <v>742</v>
      </c>
      <c r="C259"/>
      <c r="I259" s="57"/>
    </row>
    <row r="260" spans="1:9" x14ac:dyDescent="0.3">
      <c r="A260" s="212" t="s">
        <v>699</v>
      </c>
      <c r="B260" s="59">
        <v>5</v>
      </c>
      <c r="C260" t="s">
        <v>0</v>
      </c>
      <c r="D260" s="362" t="s">
        <v>740</v>
      </c>
      <c r="I260" s="57"/>
    </row>
    <row r="261" spans="1:9" x14ac:dyDescent="0.3">
      <c r="A261" s="66" t="s">
        <v>112</v>
      </c>
      <c r="C261"/>
      <c r="I261" s="57"/>
    </row>
    <row r="262" spans="1:9" ht="12.5" x14ac:dyDescent="0.25">
      <c r="A262" s="56" t="s">
        <v>61</v>
      </c>
      <c r="B262" s="59">
        <v>1</v>
      </c>
      <c r="C262" s="213" t="s">
        <v>116</v>
      </c>
      <c r="D262" s="114" t="s">
        <v>403</v>
      </c>
      <c r="I262" s="57"/>
    </row>
    <row r="263" spans="1:9" ht="12.5" x14ac:dyDescent="0.25">
      <c r="A263" s="56" t="s">
        <v>126</v>
      </c>
      <c r="B263" s="59">
        <v>0.5</v>
      </c>
      <c r="C263" s="213" t="s">
        <v>116</v>
      </c>
      <c r="D263" s="114" t="s">
        <v>404</v>
      </c>
      <c r="I263" s="57"/>
    </row>
    <row r="264" spans="1:9" x14ac:dyDescent="0.3">
      <c r="A264" s="66" t="s">
        <v>113</v>
      </c>
      <c r="C264"/>
      <c r="I264" s="57"/>
    </row>
    <row r="265" spans="1:9" ht="12.5" x14ac:dyDescent="0.25">
      <c r="A265" s="56" t="s">
        <v>60</v>
      </c>
      <c r="B265" s="106">
        <v>1</v>
      </c>
      <c r="C265" s="213" t="s">
        <v>116</v>
      </c>
      <c r="D265" s="114" t="s">
        <v>405</v>
      </c>
      <c r="I265" s="57"/>
    </row>
    <row r="266" spans="1:9" ht="12.5" x14ac:dyDescent="0.25">
      <c r="A266" s="56" t="s">
        <v>125</v>
      </c>
      <c r="B266" s="59">
        <v>0.5</v>
      </c>
      <c r="C266" s="213" t="s">
        <v>116</v>
      </c>
      <c r="D266" s="114" t="s">
        <v>406</v>
      </c>
      <c r="I266" s="57"/>
    </row>
    <row r="267" spans="1:9" x14ac:dyDescent="0.3">
      <c r="A267" s="66" t="s">
        <v>62</v>
      </c>
      <c r="C267"/>
      <c r="I267" s="57"/>
    </row>
    <row r="268" spans="1:9" x14ac:dyDescent="0.3">
      <c r="A268" s="56" t="s">
        <v>62</v>
      </c>
      <c r="B268" s="67">
        <v>1.4E-8</v>
      </c>
      <c r="C268" t="s">
        <v>133</v>
      </c>
      <c r="D268" t="s">
        <v>98</v>
      </c>
      <c r="G268" s="362" t="s">
        <v>845</v>
      </c>
      <c r="I268" s="57"/>
    </row>
    <row r="269" spans="1:9" x14ac:dyDescent="0.3">
      <c r="A269" s="66" t="s">
        <v>52</v>
      </c>
      <c r="C269"/>
      <c r="I269" s="57"/>
    </row>
    <row r="270" spans="1:9" ht="12.5" x14ac:dyDescent="0.25">
      <c r="A270" s="56" t="s">
        <v>128</v>
      </c>
      <c r="B270" s="59">
        <v>3.4999999999999997E-5</v>
      </c>
      <c r="C270" t="s">
        <v>1</v>
      </c>
      <c r="D270" s="114" t="s">
        <v>741</v>
      </c>
      <c r="I270" s="57"/>
    </row>
    <row r="271" spans="1:9" ht="12.5" x14ac:dyDescent="0.25">
      <c r="A271" s="56"/>
      <c r="C271"/>
      <c r="I271" s="57"/>
    </row>
    <row r="272" spans="1:9" x14ac:dyDescent="0.3">
      <c r="A272" s="66" t="s">
        <v>738</v>
      </c>
      <c r="B272" s="2" t="s">
        <v>531</v>
      </c>
      <c r="C272"/>
      <c r="D272" s="2" t="s">
        <v>532</v>
      </c>
      <c r="I272" s="57"/>
    </row>
    <row r="273" spans="1:9" ht="12.5" x14ac:dyDescent="0.25">
      <c r="A273" s="212" t="s">
        <v>533</v>
      </c>
      <c r="B273" s="29">
        <f>'Design Regulator'!E83/1000</f>
        <v>1.2999999999999999E-3</v>
      </c>
      <c r="C273" s="213" t="s">
        <v>116</v>
      </c>
      <c r="D273" s="29">
        <f>'Design Regulator'!F83/1000</f>
        <v>1.2999999999999999E-3</v>
      </c>
      <c r="E273" s="213" t="s">
        <v>116</v>
      </c>
      <c r="F273" s="114" t="s">
        <v>744</v>
      </c>
      <c r="I273" s="57"/>
    </row>
    <row r="274" spans="1:9" ht="12.5" x14ac:dyDescent="0.25">
      <c r="A274" s="56" t="s">
        <v>79</v>
      </c>
      <c r="B274" s="59">
        <f>4000/1000000</f>
        <v>4.0000000000000001E-3</v>
      </c>
      <c r="C274" s="114" t="s">
        <v>279</v>
      </c>
      <c r="E274" s="114"/>
      <c r="F274" s="114" t="s">
        <v>407</v>
      </c>
      <c r="I274" s="57"/>
    </row>
    <row r="275" spans="1:9" ht="12.5" x14ac:dyDescent="0.25">
      <c r="A275" s="212" t="s">
        <v>122</v>
      </c>
      <c r="B275" s="72">
        <f>'Design Regulator'!E84/1000000000</f>
        <v>1.3000000000000001E-8</v>
      </c>
      <c r="C275" t="s">
        <v>134</v>
      </c>
      <c r="D275" s="72">
        <f>'Design Regulator'!F84/1000000000</f>
        <v>1.3000000000000001E-8</v>
      </c>
      <c r="E275" t="s">
        <v>134</v>
      </c>
      <c r="F275" s="114" t="s">
        <v>743</v>
      </c>
      <c r="I275" s="57"/>
    </row>
    <row r="276" spans="1:9" ht="12.5" x14ac:dyDescent="0.25">
      <c r="A276" s="212" t="s">
        <v>534</v>
      </c>
      <c r="B276" s="72">
        <f>'Design Regulator'!E85/1000000000</f>
        <v>3.6E-9</v>
      </c>
      <c r="C276" t="s">
        <v>134</v>
      </c>
      <c r="D276" s="72">
        <f>'Design Regulator'!F85/1000000000</f>
        <v>3.6E-9</v>
      </c>
      <c r="E276" t="s">
        <v>134</v>
      </c>
      <c r="F276" t="s">
        <v>121</v>
      </c>
      <c r="I276" s="57"/>
    </row>
    <row r="277" spans="1:9" ht="12.5" x14ac:dyDescent="0.25">
      <c r="A277" s="212" t="s">
        <v>535</v>
      </c>
      <c r="B277" s="72">
        <f>'Design Regulator'!E86/1000000000</f>
        <v>4.0000000000000002E-9</v>
      </c>
      <c r="C277" t="s">
        <v>134</v>
      </c>
      <c r="D277" s="72">
        <f>'Design Regulator'!F86/1000000000</f>
        <v>4.0000000000000002E-9</v>
      </c>
      <c r="E277" t="s">
        <v>134</v>
      </c>
      <c r="F277" t="s">
        <v>826</v>
      </c>
      <c r="I277" s="57"/>
    </row>
    <row r="278" spans="1:9" ht="12.5" x14ac:dyDescent="0.25">
      <c r="A278" s="643" t="s">
        <v>822</v>
      </c>
      <c r="B278" s="72">
        <f>'Design Regulator'!E87/1000000000</f>
        <v>0</v>
      </c>
      <c r="C278" t="s">
        <v>134</v>
      </c>
      <c r="D278" s="72">
        <f>'Design Regulator'!F87/1000000000</f>
        <v>3.7E-8</v>
      </c>
      <c r="E278" t="s">
        <v>134</v>
      </c>
      <c r="F278" s="114" t="s">
        <v>824</v>
      </c>
      <c r="I278" s="57"/>
    </row>
    <row r="279" spans="1:9" ht="12.5" x14ac:dyDescent="0.25">
      <c r="A279" s="643" t="s">
        <v>823</v>
      </c>
      <c r="B279" s="72">
        <f>'Design Regulator'!E88/1000000000000</f>
        <v>6.9999999999999996E-10</v>
      </c>
      <c r="C279" t="s">
        <v>24</v>
      </c>
      <c r="D279" s="72">
        <f>'Design Regulator'!F88/1000000000000</f>
        <v>6.9999999999999996E-10</v>
      </c>
      <c r="E279" t="s">
        <v>24</v>
      </c>
      <c r="F279" s="114" t="s">
        <v>825</v>
      </c>
      <c r="I279" s="57"/>
    </row>
    <row r="280" spans="1:9" ht="12.5" x14ac:dyDescent="0.25">
      <c r="A280" s="212" t="s">
        <v>536</v>
      </c>
      <c r="B280" s="29">
        <f>'Design Regulator'!E89</f>
        <v>0.5</v>
      </c>
      <c r="C280" s="213" t="s">
        <v>116</v>
      </c>
      <c r="D280" s="29">
        <f>'Design Regulator'!F89</f>
        <v>0.5</v>
      </c>
      <c r="E280" s="213" t="s">
        <v>116</v>
      </c>
      <c r="F280" t="s">
        <v>100</v>
      </c>
      <c r="I280" s="57"/>
    </row>
    <row r="281" spans="1:9" ht="12.5" x14ac:dyDescent="0.25">
      <c r="A281" s="212" t="s">
        <v>537</v>
      </c>
      <c r="B281" s="29">
        <f>'Design Regulator'!E90</f>
        <v>300</v>
      </c>
      <c r="C281" t="s">
        <v>66</v>
      </c>
      <c r="D281" s="29">
        <f>'Design Regulator'!F90</f>
        <v>300</v>
      </c>
      <c r="E281" t="s">
        <v>66</v>
      </c>
      <c r="F281" s="114" t="s">
        <v>747</v>
      </c>
      <c r="I281" s="57"/>
    </row>
    <row r="282" spans="1:9" ht="12.5" x14ac:dyDescent="0.25">
      <c r="A282" s="212" t="s">
        <v>538</v>
      </c>
      <c r="B282" s="29">
        <f>'Design Regulator'!E91</f>
        <v>2.8</v>
      </c>
      <c r="C282" t="s">
        <v>0</v>
      </c>
      <c r="D282" s="29">
        <f>'Design Regulator'!F91</f>
        <v>2.8</v>
      </c>
      <c r="E282" t="s">
        <v>0</v>
      </c>
      <c r="F282" s="114" t="s">
        <v>748</v>
      </c>
      <c r="I282" s="57"/>
    </row>
    <row r="283" spans="1:9" ht="12.5" x14ac:dyDescent="0.25">
      <c r="A283" s="212" t="s">
        <v>539</v>
      </c>
      <c r="B283" s="389">
        <f>Vth_Q1+(Iout/Number_of_Phases)/Gfs_Q1</f>
        <v>2.9</v>
      </c>
      <c r="C283" t="s">
        <v>0</v>
      </c>
      <c r="D283" s="389">
        <f>Vth_Q2+(Iout/Number_of_Phases)/Gfs_Q2</f>
        <v>2.9</v>
      </c>
      <c r="E283" t="s">
        <v>0</v>
      </c>
      <c r="F283" s="114" t="s">
        <v>749</v>
      </c>
      <c r="I283" s="57"/>
    </row>
    <row r="284" spans="1:9" ht="12.5" x14ac:dyDescent="0.25">
      <c r="A284" s="56"/>
      <c r="C284"/>
      <c r="F284" s="114"/>
      <c r="I284" s="57"/>
    </row>
    <row r="285" spans="1:9" ht="12.5" x14ac:dyDescent="0.25">
      <c r="A285" s="212" t="s">
        <v>541</v>
      </c>
      <c r="B285" s="29">
        <f>'Design Regulator'!E92</f>
        <v>0</v>
      </c>
      <c r="C285" t="s">
        <v>0</v>
      </c>
      <c r="D285" s="29">
        <f>'Design Regulator'!F92</f>
        <v>0</v>
      </c>
      <c r="E285" t="s">
        <v>0</v>
      </c>
      <c r="F285" s="114" t="s">
        <v>540</v>
      </c>
      <c r="I285" s="57"/>
    </row>
    <row r="286" spans="1:9" ht="12.5" x14ac:dyDescent="0.25">
      <c r="A286" s="212" t="s">
        <v>498</v>
      </c>
      <c r="B286" s="72"/>
      <c r="C286" t="s">
        <v>134</v>
      </c>
      <c r="D286" s="72">
        <f>'Design Regulator'!F93/1000000000</f>
        <v>0</v>
      </c>
      <c r="E286" t="s">
        <v>134</v>
      </c>
      <c r="F286" t="s">
        <v>110</v>
      </c>
      <c r="I286" s="57"/>
    </row>
    <row r="287" spans="1:9" ht="12.5" x14ac:dyDescent="0.25">
      <c r="A287" s="212" t="s">
        <v>499</v>
      </c>
      <c r="B287" s="72">
        <v>4.0000000000000001E-8</v>
      </c>
      <c r="C287" t="s">
        <v>133</v>
      </c>
      <c r="D287" s="72">
        <v>4.0000000000000001E-8</v>
      </c>
      <c r="E287" t="s">
        <v>133</v>
      </c>
      <c r="F287" t="s">
        <v>106</v>
      </c>
      <c r="I287" s="57"/>
    </row>
    <row r="288" spans="1:9" ht="12.5" x14ac:dyDescent="0.25">
      <c r="A288" s="212" t="s">
        <v>600</v>
      </c>
      <c r="B288" s="29">
        <f>'Design Regulator'!E94</f>
        <v>38</v>
      </c>
      <c r="C288" s="114" t="s">
        <v>205</v>
      </c>
      <c r="D288" s="29">
        <f>'Design Regulator'!F94</f>
        <v>38</v>
      </c>
      <c r="E288" s="114" t="s">
        <v>205</v>
      </c>
      <c r="F288" s="114" t="s">
        <v>746</v>
      </c>
      <c r="I288" s="57"/>
    </row>
    <row r="289" spans="1:9" ht="12.5" x14ac:dyDescent="0.25">
      <c r="A289" s="212"/>
      <c r="B289" s="29"/>
      <c r="C289" s="114"/>
      <c r="D289" s="29"/>
      <c r="E289" s="114"/>
      <c r="I289" s="57"/>
    </row>
    <row r="290" spans="1:9" ht="12.5" x14ac:dyDescent="0.25">
      <c r="A290" s="212"/>
      <c r="B290" s="114"/>
      <c r="C290" s="114"/>
      <c r="D290" s="114"/>
      <c r="E290" s="114"/>
      <c r="I290" s="57"/>
    </row>
    <row r="291" spans="1:9" x14ac:dyDescent="0.3">
      <c r="A291" s="66" t="s">
        <v>739</v>
      </c>
      <c r="B291" s="2" t="s">
        <v>529</v>
      </c>
      <c r="C291"/>
      <c r="D291" s="2" t="s">
        <v>530</v>
      </c>
      <c r="I291" s="57"/>
    </row>
    <row r="292" spans="1:9" ht="12.5" x14ac:dyDescent="0.25">
      <c r="A292" s="212" t="s">
        <v>533</v>
      </c>
      <c r="B292" s="29">
        <f>'Design Regulator'!H83/1000</f>
        <v>6.0000000000000001E-3</v>
      </c>
      <c r="C292" s="213" t="s">
        <v>116</v>
      </c>
      <c r="D292" s="29">
        <f>'Design Regulator'!I83/1000</f>
        <v>2.5000000000000001E-3</v>
      </c>
      <c r="E292" s="213" t="s">
        <v>116</v>
      </c>
      <c r="F292" s="114" t="s">
        <v>745</v>
      </c>
      <c r="I292" s="57"/>
    </row>
    <row r="293" spans="1:9" ht="12.5" x14ac:dyDescent="0.25">
      <c r="A293" s="56" t="s">
        <v>80</v>
      </c>
      <c r="B293" s="408">
        <f>4000/1000000</f>
        <v>4.0000000000000001E-3</v>
      </c>
      <c r="C293" s="114" t="s">
        <v>279</v>
      </c>
      <c r="E293" s="114"/>
      <c r="F293" s="114" t="s">
        <v>407</v>
      </c>
      <c r="I293" s="57"/>
    </row>
    <row r="294" spans="1:9" ht="12.5" x14ac:dyDescent="0.25">
      <c r="A294" s="212" t="s">
        <v>122</v>
      </c>
      <c r="B294" s="72">
        <f>'Design Regulator'!H84/1000000000</f>
        <v>8.0000000000000005E-9</v>
      </c>
      <c r="C294" t="s">
        <v>134</v>
      </c>
      <c r="D294" s="72">
        <f>'Design Regulator'!I84/1000000000</f>
        <v>2.4999999999999999E-8</v>
      </c>
      <c r="E294" t="s">
        <v>134</v>
      </c>
      <c r="F294" s="114" t="s">
        <v>743</v>
      </c>
      <c r="I294" s="57"/>
    </row>
    <row r="295" spans="1:9" ht="12.5" x14ac:dyDescent="0.25">
      <c r="A295" s="212" t="s">
        <v>534</v>
      </c>
      <c r="B295" s="72">
        <f>'Design Regulator'!H85/1000000000</f>
        <v>1.3999999999999999E-9</v>
      </c>
      <c r="C295" t="s">
        <v>134</v>
      </c>
      <c r="D295" s="72">
        <f>'Design Regulator'!I85/1000000000</f>
        <v>4.4999999999999998E-9</v>
      </c>
      <c r="E295" t="s">
        <v>134</v>
      </c>
      <c r="F295" t="s">
        <v>121</v>
      </c>
      <c r="I295" s="57"/>
    </row>
    <row r="296" spans="1:9" ht="12.5" x14ac:dyDescent="0.25">
      <c r="A296" s="212" t="s">
        <v>535</v>
      </c>
      <c r="B296" s="72">
        <f>'Design Regulator'!H86/1000000000</f>
        <v>3.8000000000000001E-9</v>
      </c>
      <c r="C296" t="s">
        <v>134</v>
      </c>
      <c r="D296" s="72">
        <f>'Design Regulator'!I86/1000000000</f>
        <v>1.2E-8</v>
      </c>
      <c r="E296" t="s">
        <v>134</v>
      </c>
      <c r="F296" t="s">
        <v>826</v>
      </c>
      <c r="I296" s="57"/>
    </row>
    <row r="297" spans="1:9" ht="12.5" x14ac:dyDescent="0.25">
      <c r="A297" s="643" t="s">
        <v>822</v>
      </c>
      <c r="B297" s="72">
        <f>'Design Regulator'!H87/1000000000</f>
        <v>0</v>
      </c>
      <c r="C297" t="s">
        <v>134</v>
      </c>
      <c r="D297" s="72">
        <f>'Design Regulator'!I87/1000000000</f>
        <v>2.9999999999999997E-8</v>
      </c>
      <c r="E297" t="s">
        <v>134</v>
      </c>
      <c r="F297" s="114" t="s">
        <v>824</v>
      </c>
      <c r="I297" s="57"/>
    </row>
    <row r="298" spans="1:9" ht="12.5" x14ac:dyDescent="0.25">
      <c r="A298" s="643" t="s">
        <v>823</v>
      </c>
      <c r="B298" s="72">
        <f>'Design Regulator'!H88/1000000000000</f>
        <v>2.1299999999999999E-10</v>
      </c>
      <c r="C298" t="s">
        <v>24</v>
      </c>
      <c r="D298" s="72">
        <f>'Design Regulator'!I88/1000000000000</f>
        <v>1.6999999999999999E-9</v>
      </c>
      <c r="E298" t="s">
        <v>24</v>
      </c>
      <c r="F298" s="114" t="s">
        <v>825</v>
      </c>
      <c r="I298" s="57"/>
    </row>
    <row r="299" spans="1:9" ht="12.5" x14ac:dyDescent="0.25">
      <c r="A299" s="212" t="s">
        <v>536</v>
      </c>
      <c r="B299" s="29">
        <f>'Design Regulator'!H89</f>
        <v>0.5</v>
      </c>
      <c r="C299" s="213" t="s">
        <v>116</v>
      </c>
      <c r="D299" s="29">
        <f>'Design Regulator'!I89</f>
        <v>0.5</v>
      </c>
      <c r="E299" s="213" t="s">
        <v>116</v>
      </c>
      <c r="F299" t="s">
        <v>100</v>
      </c>
      <c r="I299" s="57"/>
    </row>
    <row r="300" spans="1:9" ht="12.5" x14ac:dyDescent="0.25">
      <c r="A300" s="212" t="s">
        <v>537</v>
      </c>
      <c r="B300" s="29">
        <f>'Design Regulator'!H90</f>
        <v>64</v>
      </c>
      <c r="C300" t="s">
        <v>66</v>
      </c>
      <c r="D300" s="29">
        <f>'Design Regulator'!I90</f>
        <v>280</v>
      </c>
      <c r="E300" t="s">
        <v>66</v>
      </c>
      <c r="F300" s="114" t="s">
        <v>747</v>
      </c>
      <c r="I300" s="57"/>
    </row>
    <row r="301" spans="1:9" ht="12.5" x14ac:dyDescent="0.25">
      <c r="A301" s="212" t="s">
        <v>538</v>
      </c>
      <c r="B301" s="29">
        <f>'Design Regulator'!H91</f>
        <v>2.9</v>
      </c>
      <c r="C301" t="s">
        <v>0</v>
      </c>
      <c r="D301" s="29">
        <f>'Design Regulator'!I91</f>
        <v>3</v>
      </c>
      <c r="E301" t="s">
        <v>0</v>
      </c>
      <c r="F301" s="114" t="s">
        <v>748</v>
      </c>
      <c r="I301" s="57"/>
    </row>
    <row r="302" spans="1:9" ht="12.5" x14ac:dyDescent="0.25">
      <c r="A302" s="212" t="s">
        <v>539</v>
      </c>
      <c r="B302" s="389">
        <f>Vth_Q3+Iout2/Gfs_Q3</f>
        <v>3.0874999999999999</v>
      </c>
      <c r="C302" t="s">
        <v>0</v>
      </c>
      <c r="D302" s="389">
        <f>Vth_Q4+Iout2/Gfs_Q4</f>
        <v>3.0428571428571427</v>
      </c>
      <c r="E302" t="s">
        <v>0</v>
      </c>
      <c r="F302" s="114" t="s">
        <v>749</v>
      </c>
      <c r="I302" s="57"/>
    </row>
    <row r="303" spans="1:9" x14ac:dyDescent="0.3">
      <c r="E303" s="2"/>
      <c r="I303" s="57"/>
    </row>
    <row r="304" spans="1:9" ht="12.5" x14ac:dyDescent="0.25">
      <c r="A304" s="212" t="s">
        <v>72</v>
      </c>
      <c r="B304" s="29">
        <f>'Design Regulator'!H92</f>
        <v>0.7</v>
      </c>
      <c r="C304" t="s">
        <v>0</v>
      </c>
      <c r="D304" s="29">
        <f>'Design Regulator'!I92</f>
        <v>0.7</v>
      </c>
      <c r="E304" t="s">
        <v>0</v>
      </c>
      <c r="F304" s="114" t="s">
        <v>540</v>
      </c>
      <c r="I304" s="57"/>
    </row>
    <row r="305" spans="1:9" ht="12.5" x14ac:dyDescent="0.25">
      <c r="A305" s="56" t="s">
        <v>73</v>
      </c>
      <c r="B305" s="72"/>
      <c r="C305" t="s">
        <v>134</v>
      </c>
      <c r="D305" s="72">
        <f>'Design Regulator'!I93/1000000000</f>
        <v>5.9999999999999995E-8</v>
      </c>
      <c r="E305" t="s">
        <v>134</v>
      </c>
      <c r="F305" t="s">
        <v>110</v>
      </c>
      <c r="I305" s="57"/>
    </row>
    <row r="306" spans="1:9" ht="12.5" x14ac:dyDescent="0.25">
      <c r="A306" s="56" t="s">
        <v>74</v>
      </c>
      <c r="B306" s="72">
        <v>4.0000000000000001E-8</v>
      </c>
      <c r="C306" t="s">
        <v>133</v>
      </c>
      <c r="D306" s="72">
        <v>4.0000000000000001E-8</v>
      </c>
      <c r="E306" t="s">
        <v>133</v>
      </c>
      <c r="F306" t="s">
        <v>106</v>
      </c>
      <c r="I306" s="57"/>
    </row>
    <row r="307" spans="1:9" ht="12.5" x14ac:dyDescent="0.25">
      <c r="A307" s="212" t="s">
        <v>601</v>
      </c>
      <c r="B307" s="29">
        <f>'Design Regulator'!H94</f>
        <v>50</v>
      </c>
      <c r="C307" s="114" t="s">
        <v>205</v>
      </c>
      <c r="D307" s="29">
        <f>'Design Regulator'!I94</f>
        <v>38</v>
      </c>
      <c r="E307" s="114" t="s">
        <v>205</v>
      </c>
      <c r="F307" s="114" t="s">
        <v>746</v>
      </c>
      <c r="I307" s="57"/>
    </row>
    <row r="308" spans="1:9" ht="12.5" x14ac:dyDescent="0.25">
      <c r="A308" s="212"/>
      <c r="B308" s="29"/>
      <c r="C308" s="114"/>
      <c r="D308" s="29"/>
      <c r="E308" s="114"/>
      <c r="I308" s="57"/>
    </row>
    <row r="309" spans="1:9" x14ac:dyDescent="0.3">
      <c r="A309" s="66" t="s">
        <v>522</v>
      </c>
      <c r="B309" s="486"/>
      <c r="D309" s="486"/>
      <c r="I309" s="57"/>
    </row>
    <row r="310" spans="1:9" ht="12.5" x14ac:dyDescent="0.25">
      <c r="A310" s="56" t="s">
        <v>195</v>
      </c>
      <c r="B310" s="29">
        <f>'Design Regulator'!E97</f>
        <v>0.72</v>
      </c>
      <c r="C310" t="s">
        <v>0</v>
      </c>
      <c r="D310" s="29">
        <f>'Design Regulator'!F97</f>
        <v>0</v>
      </c>
      <c r="E310" t="s">
        <v>0</v>
      </c>
      <c r="F310" t="s">
        <v>198</v>
      </c>
      <c r="I310" s="57"/>
    </row>
    <row r="311" spans="1:9" ht="12.5" x14ac:dyDescent="0.25">
      <c r="A311" s="56" t="s">
        <v>196</v>
      </c>
      <c r="B311" s="72">
        <f>'Design Regulator'!E98/1000000000</f>
        <v>4.4999999999999998E-9</v>
      </c>
      <c r="C311" t="s">
        <v>134</v>
      </c>
      <c r="D311" s="72">
        <f>'Design Regulator'!F98/1000000000</f>
        <v>0</v>
      </c>
      <c r="E311" t="s">
        <v>134</v>
      </c>
      <c r="F311" t="s">
        <v>199</v>
      </c>
      <c r="I311" s="57"/>
    </row>
    <row r="312" spans="1:9" ht="12.5" x14ac:dyDescent="0.25">
      <c r="A312" s="56" t="s">
        <v>197</v>
      </c>
      <c r="B312" s="29">
        <v>0</v>
      </c>
      <c r="C312" t="s">
        <v>1</v>
      </c>
      <c r="D312" s="29">
        <v>0</v>
      </c>
      <c r="E312" t="s">
        <v>1</v>
      </c>
      <c r="F312" t="s">
        <v>200</v>
      </c>
      <c r="I312" s="57"/>
    </row>
    <row r="313" spans="1:9" ht="12.5" x14ac:dyDescent="0.25">
      <c r="A313" s="56"/>
      <c r="C313"/>
      <c r="I313" s="57"/>
    </row>
    <row r="314" spans="1:9" x14ac:dyDescent="0.3">
      <c r="A314" s="66" t="s">
        <v>117</v>
      </c>
      <c r="C314"/>
      <c r="I314" s="57"/>
    </row>
    <row r="315" spans="1:9" ht="12.5" x14ac:dyDescent="0.25">
      <c r="A315" s="212" t="s">
        <v>473</v>
      </c>
      <c r="B315" s="408">
        <v>34.799999999999997</v>
      </c>
      <c r="C315" s="114" t="s">
        <v>205</v>
      </c>
      <c r="D315" s="114"/>
      <c r="E315" s="114"/>
      <c r="F315" t="s">
        <v>477</v>
      </c>
      <c r="I315" s="57"/>
    </row>
    <row r="316" spans="1:9" x14ac:dyDescent="0.3">
      <c r="A316" s="66" t="s">
        <v>77</v>
      </c>
      <c r="C316"/>
      <c r="I316" s="57"/>
    </row>
    <row r="317" spans="1:9" ht="12.5" x14ac:dyDescent="0.25">
      <c r="A317" s="212" t="s">
        <v>59</v>
      </c>
      <c r="C317"/>
      <c r="I317" s="57"/>
    </row>
    <row r="318" spans="1:9" ht="12.5" x14ac:dyDescent="0.25">
      <c r="A318" s="56" t="s">
        <v>88</v>
      </c>
      <c r="B318" s="69">
        <f>(Qgd_Q1+Qgs_Q1/2)*(RdsonDRT+Rgate1)/(VCC-Vsp_Q1)</f>
        <v>4.0000000000000002E-9</v>
      </c>
      <c r="C318" t="s">
        <v>133</v>
      </c>
      <c r="D318" s="69">
        <f>(Qgd_Q3+Qgs_Q3/2)*(RdsonDRT+Rgate3)/(VCC-Vsp_Q3)</f>
        <v>2.5882352941176468E-9</v>
      </c>
      <c r="E318" t="s">
        <v>133</v>
      </c>
      <c r="I318" s="57"/>
    </row>
    <row r="319" spans="1:9" ht="12.5" x14ac:dyDescent="0.25">
      <c r="A319" s="56" t="s">
        <v>89</v>
      </c>
      <c r="B319" s="69">
        <f>(Qgd_Q1+Qgs_Q1/2)*(RdsonDRT2+Rgate1)/(Vsp_Q1)</f>
        <v>1.9310344827586211E-9</v>
      </c>
      <c r="C319" t="s">
        <v>133</v>
      </c>
      <c r="D319" s="69">
        <f>(Qgd_Q3+Qgs_Q3/2)*(RdsonDRT2+Rgate3)/(Vsp_Q3)</f>
        <v>1.0688259109311741E-9</v>
      </c>
      <c r="E319" t="s">
        <v>133</v>
      </c>
      <c r="I319" s="57"/>
    </row>
    <row r="320" spans="1:9" ht="12.5" x14ac:dyDescent="0.25">
      <c r="A320" s="56"/>
      <c r="C320"/>
      <c r="I320" s="57"/>
    </row>
    <row r="321" spans="1:9" x14ac:dyDescent="0.3">
      <c r="A321" s="66" t="s">
        <v>413</v>
      </c>
      <c r="B321" s="2" t="s">
        <v>7</v>
      </c>
      <c r="C321" s="2" t="s">
        <v>76</v>
      </c>
      <c r="I321" s="57"/>
    </row>
    <row r="322" spans="1:9" ht="12.5" x14ac:dyDescent="0.25">
      <c r="A322" s="58" t="s">
        <v>115</v>
      </c>
      <c r="B322" s="3">
        <f>CHOOSE(Ext_VCC, IF(MODE=1, (Qg_Q1+Qg_Q2+Qg_Q3+Qg_Q4)*Fsw*VCC, (Qg_Q1+Qg_Q2)*2*Fsw*VCC), IF(MODE=1, (Qg_Q1+Qg_Q2+Qg_Q3+Qg_Q4)*Fsw*Vin, (Qg_Q1+Qg_Q2)*2*Fsw*Vin))</f>
        <v>0.51480000000000004</v>
      </c>
      <c r="C322" s="3" t="s">
        <v>116</v>
      </c>
      <c r="I322" s="57"/>
    </row>
    <row r="323" spans="1:9" ht="12.5" x14ac:dyDescent="0.25">
      <c r="A323" s="58" t="s">
        <v>119</v>
      </c>
      <c r="B323" s="642">
        <f>B322*ThetaJaCtrl</f>
        <v>17.915040000000001</v>
      </c>
      <c r="C323" s="114" t="s">
        <v>226</v>
      </c>
      <c r="I323" s="57"/>
    </row>
    <row r="324" spans="1:9" ht="12.5" x14ac:dyDescent="0.25">
      <c r="A324" s="212" t="s">
        <v>807</v>
      </c>
      <c r="B324" s="642">
        <f>B323 + Ta</f>
        <v>42.915040000000005</v>
      </c>
      <c r="C324" s="114" t="s">
        <v>226</v>
      </c>
      <c r="I324" s="57"/>
    </row>
    <row r="325" spans="1:9" ht="12.5" x14ac:dyDescent="0.25">
      <c r="A325" s="643"/>
      <c r="B325" s="642"/>
      <c r="C325" s="114"/>
      <c r="I325" s="57"/>
    </row>
    <row r="326" spans="1:9" ht="12.5" x14ac:dyDescent="0.25">
      <c r="A326" s="58" t="s">
        <v>210</v>
      </c>
      <c r="B326" s="42">
        <f>(Qg_Q1+Qg_Q2)*Fsw+Iq</f>
        <v>5.7550000000000006E-3</v>
      </c>
      <c r="C326" t="s">
        <v>1</v>
      </c>
      <c r="I326" s="57"/>
    </row>
    <row r="327" spans="1:9" ht="12.5" x14ac:dyDescent="0.25">
      <c r="A327" s="58" t="s">
        <v>211</v>
      </c>
      <c r="B327">
        <f>Qrr_Q2*Fsw</f>
        <v>0</v>
      </c>
      <c r="C327" t="s">
        <v>1</v>
      </c>
      <c r="I327" s="57"/>
    </row>
    <row r="328" spans="1:9" ht="12.5" x14ac:dyDescent="0.25">
      <c r="A328" s="58" t="s">
        <v>212</v>
      </c>
      <c r="B328" t="e">
        <f>C328/Vin</f>
        <v>#NAME?</v>
      </c>
      <c r="C328" t="e">
        <f>Deadtime*Fsw*(Ipp/2)*(Vsd_Q1+Vsd_Q2)</f>
        <v>#NAME?</v>
      </c>
      <c r="I328" s="57"/>
    </row>
    <row r="329" spans="1:9" ht="12.5" x14ac:dyDescent="0.25">
      <c r="A329" s="58" t="s">
        <v>214</v>
      </c>
      <c r="B329" t="e">
        <f>SUM(B326:B328)</f>
        <v>#NAME?</v>
      </c>
      <c r="C329" t="s">
        <v>1</v>
      </c>
      <c r="I329" s="57"/>
    </row>
    <row r="330" spans="1:9" x14ac:dyDescent="0.3">
      <c r="A330" s="56"/>
      <c r="I330" s="57"/>
    </row>
    <row r="331" spans="1:9" x14ac:dyDescent="0.3">
      <c r="A331" s="66" t="s">
        <v>440</v>
      </c>
      <c r="I331" s="57"/>
    </row>
    <row r="332" spans="1:9" x14ac:dyDescent="0.3">
      <c r="A332" s="56" t="s">
        <v>114</v>
      </c>
      <c r="I332" s="57"/>
    </row>
    <row r="333" spans="1:9" ht="13.5" thickBot="1" x14ac:dyDescent="0.35">
      <c r="A333" s="60" t="s">
        <v>115</v>
      </c>
      <c r="B333" s="61"/>
      <c r="C333" s="298"/>
      <c r="D333" s="61"/>
      <c r="E333" s="61"/>
      <c r="F333" s="61"/>
      <c r="G333" s="61"/>
      <c r="H333" s="61"/>
      <c r="I333" s="62"/>
    </row>
    <row r="334" spans="1:9" x14ac:dyDescent="0.3">
      <c r="A334" s="1"/>
      <c r="B334" s="1"/>
      <c r="C334" s="1"/>
    </row>
    <row r="335" spans="1:9" ht="21.75" customHeight="1" thickBot="1" x14ac:dyDescent="0.4">
      <c r="A335" s="89" t="s">
        <v>206</v>
      </c>
      <c r="D335" s="2"/>
    </row>
    <row r="336" spans="1:9" x14ac:dyDescent="0.3">
      <c r="A336" s="90" t="str">
        <f>"RC1 = "&amp;'Design Regulator'!D70&amp;"kΩ"</f>
        <v>RC1 = 18kΩ</v>
      </c>
      <c r="B336" s="63" t="str">
        <f>'Design Regulator'!D70&amp;"kΩ"</f>
        <v>18kΩ</v>
      </c>
      <c r="C336" s="297"/>
      <c r="D336" s="292" t="str">
        <f>'Design Regulator'!D73&amp;"kΩ"</f>
        <v>15kΩ</v>
      </c>
      <c r="E336" s="63"/>
      <c r="F336" s="63"/>
      <c r="G336" s="63"/>
      <c r="H336" s="63"/>
      <c r="I336" s="64"/>
    </row>
    <row r="337" spans="1:9" x14ac:dyDescent="0.3">
      <c r="A337" s="56" t="str">
        <f>"RC2 = "&amp;'Design Regulator'!D73&amp;"kΩ"</f>
        <v>RC2 = 15kΩ</v>
      </c>
      <c r="B337" t="str">
        <f>'Design Regulator'!D73&amp;"kΩ"</f>
        <v>15kΩ</v>
      </c>
      <c r="I337" s="57"/>
    </row>
    <row r="338" spans="1:9" x14ac:dyDescent="0.3">
      <c r="A338" s="56"/>
      <c r="I338" s="57"/>
    </row>
    <row r="339" spans="1:9" x14ac:dyDescent="0.3">
      <c r="A339" s="56" t="str">
        <f>"LF = "&amp;'Design Regulator'!E28&amp;"µH"</f>
        <v>LF = 10µH</v>
      </c>
      <c r="B339" t="str">
        <f>'Design Regulator'!E28&amp;"µH"</f>
        <v>10µH</v>
      </c>
      <c r="D339" t="str">
        <f>IF(MODE = 1, 'Design Regulator'!J28&amp;"µH", 'Design Regulator'!E28&amp;"µH")</f>
        <v>10µH</v>
      </c>
      <c r="I339" s="57"/>
    </row>
    <row r="340" spans="1:9" x14ac:dyDescent="0.3">
      <c r="A340" s="56" t="str">
        <f>"Rdcr = "&amp;Rdcr*1000&amp;"mΩ"</f>
        <v>Rdcr = 1.86mΩ</v>
      </c>
      <c r="B340" t="str">
        <f>Rdcr*1000&amp;"mΩ"</f>
        <v>1.86mΩ</v>
      </c>
      <c r="D340" t="str">
        <f>IF(MODE=1, Rdcr2*1000&amp;"mΩ", Rdcr*1000&amp;"mΩ")</f>
        <v>1.86mΩ</v>
      </c>
      <c r="I340" s="57"/>
    </row>
    <row r="341" spans="1:9" x14ac:dyDescent="0.3">
      <c r="A341" s="56" t="str">
        <f>"Rs = "&amp;'Design Regulator'!E19&amp;"mΩ"</f>
        <v>Rs = 2.2mΩ</v>
      </c>
      <c r="B341" t="str">
        <f>CHOOSE(SENSING_TYPE, 'Design Regulator'!E19&amp;"mΩ", Rdcr*1000&amp;"mΩ")</f>
        <v>2.2mΩ</v>
      </c>
      <c r="D341" t="str">
        <f>IF(MODE = 1, 'Design Regulator'!J19&amp;"mΩ", CHOOSE(SENSING_TYPE, 'Design Regulator'!E19&amp;"mΩ", Rdcr*1000&amp;"mΩ"))</f>
        <v>2.2mΩ</v>
      </c>
      <c r="I341" s="57"/>
    </row>
    <row r="342" spans="1:9" x14ac:dyDescent="0.3">
      <c r="A342" s="56"/>
      <c r="I342" s="57"/>
    </row>
    <row r="343" spans="1:9" x14ac:dyDescent="0.3">
      <c r="A343" s="56" t="str">
        <f>"VOUT = "&amp;'Design Regulator'!E10&amp;"V"</f>
        <v>VOUT = 24V</v>
      </c>
      <c r="B343" t="str">
        <f>'Design Regulator'!E10&amp;"V"</f>
        <v>24V</v>
      </c>
      <c r="D343" t="str">
        <f>IF(MODE=1, 'Design Regulator'!J10&amp;"V", "")</f>
        <v/>
      </c>
      <c r="I343" s="57"/>
    </row>
    <row r="344" spans="1:9" x14ac:dyDescent="0.3">
      <c r="A344" s="56"/>
      <c r="I344" s="57"/>
    </row>
    <row r="345" spans="1:9" x14ac:dyDescent="0.3">
      <c r="A345" s="56" t="str">
        <f>"COUT = "&amp;'Design Regulator'!$E$35&amp;"µF"</f>
        <v>COUT = 204µF</v>
      </c>
      <c r="B345" t="str">
        <f>ROUND('Design Regulator'!$E$35/Number_of_Phases, 0)&amp;"µF"</f>
        <v>102µF</v>
      </c>
      <c r="D345" t="str">
        <f>IF(MODE=1, 'Design Regulator'!$J$35&amp;"µF", ROUND('Design Regulator'!$E$35/Number_of_Phases, 0)&amp;"µF")</f>
        <v>102µF</v>
      </c>
      <c r="I345" s="57"/>
    </row>
    <row r="346" spans="1:9" x14ac:dyDescent="0.3">
      <c r="A346" s="212" t="s">
        <v>266</v>
      </c>
      <c r="B346" t="str">
        <f>"22µF"</f>
        <v>22µF</v>
      </c>
      <c r="I346" s="57"/>
    </row>
    <row r="347" spans="1:9" x14ac:dyDescent="0.3">
      <c r="A347" s="212" t="s">
        <v>267</v>
      </c>
      <c r="B347" s="116" t="str">
        <f>ROUNDUP(Cout*1000000/22,0)&amp;" x"</f>
        <v>10 x</v>
      </c>
      <c r="C347" s="299"/>
      <c r="I347" s="57"/>
    </row>
    <row r="348" spans="1:9" x14ac:dyDescent="0.3">
      <c r="A348" s="56"/>
      <c r="I348" s="57"/>
    </row>
    <row r="349" spans="1:9" x14ac:dyDescent="0.3">
      <c r="A349" s="56" t="s">
        <v>215</v>
      </c>
      <c r="B349" t="str">
        <f>Cin*1000000&amp;"µF"</f>
        <v>1328µF</v>
      </c>
      <c r="I349" s="57"/>
    </row>
    <row r="350" spans="1:9" x14ac:dyDescent="0.3">
      <c r="A350" s="212" t="s">
        <v>265</v>
      </c>
      <c r="B350" t="str">
        <f>"10µF"</f>
        <v>10µF</v>
      </c>
      <c r="I350" s="57"/>
    </row>
    <row r="351" spans="1:9" x14ac:dyDescent="0.3">
      <c r="A351" s="212" t="s">
        <v>264</v>
      </c>
      <c r="B351" s="116" t="str">
        <f>ROUNDUP(Cin*1000000/10,0)&amp;" x"</f>
        <v>133 x</v>
      </c>
      <c r="C351" s="299"/>
      <c r="I351" s="57"/>
    </row>
    <row r="352" spans="1:9" x14ac:dyDescent="0.3">
      <c r="A352" s="212"/>
      <c r="B352" s="116"/>
      <c r="C352" s="299"/>
      <c r="I352" s="57"/>
    </row>
    <row r="353" spans="1:9" ht="12.5" x14ac:dyDescent="0.25">
      <c r="A353" s="56" t="str">
        <f>"RC1 = "&amp;Rcea1_u/1000&amp;"kΩ"</f>
        <v>RC1 = 18kΩ</v>
      </c>
      <c r="B353" t="str">
        <f>ROUND(Rcea1_u/1000,2)&amp;"kΩ"</f>
        <v>18kΩ</v>
      </c>
      <c r="C353" s="114" t="str">
        <f>IF(MODE=1, "Rc2", "")</f>
        <v/>
      </c>
      <c r="D353" t="str">
        <f>IF(MODE=1, ROUND(Rcea2_u/1000,2)&amp;"kΩ", "")</f>
        <v/>
      </c>
      <c r="E353" t="str">
        <f>IF(MODE=1, ROUND(Rcea2_u/1000,2), "")</f>
        <v/>
      </c>
      <c r="I353" s="57"/>
    </row>
    <row r="354" spans="1:9" ht="12.5" x14ac:dyDescent="0.25">
      <c r="A354" s="56" t="str">
        <f>"CC1 = "&amp;Cc1ea_u*10^9&amp;"nF"</f>
        <v>CC1 = 3.3nF</v>
      </c>
      <c r="B354" t="str">
        <f>Cc1ea_u*10^9&amp;"nF"</f>
        <v>3.3nF</v>
      </c>
      <c r="C354" s="114" t="str">
        <f>IF(MODE=1, "Cc3", "")</f>
        <v/>
      </c>
      <c r="D354" t="str">
        <f>IF(MODE=1, Cc3ea_u*10^9&amp;"nF", "")</f>
        <v/>
      </c>
      <c r="E354" t="str">
        <f>IF(MODE=1, Cc3ea_u*10^9, "")</f>
        <v/>
      </c>
      <c r="I354" s="57"/>
    </row>
    <row r="355" spans="1:9" ht="12.5" x14ac:dyDescent="0.25">
      <c r="A355" s="56" t="str">
        <f>"CC2 = "&amp;IF(Cc2ea_u&gt;0, Cc2ea_u*10^12&amp;"pF", "OPEN")</f>
        <v>CC2 = 82pF</v>
      </c>
      <c r="B355" t="str">
        <f>IF(Cc2ea_u&gt;0, ROUND(Cc2ea_u*10^12,1)&amp;"pF", "N/A")</f>
        <v>82pF</v>
      </c>
      <c r="C355" s="114" t="str">
        <f>IF(MODE=1, "Cc4", "")</f>
        <v/>
      </c>
      <c r="D355" t="str">
        <f>IF(MODE=1, IF(Cc4ea_u&gt;0, ROUND(Cc4ea_u*10^12,1)&amp;"pF", "N/A"), "")</f>
        <v/>
      </c>
      <c r="E355" t="str">
        <f>IF(MODE=1, IF(Cc4ea_u&gt;0, ROUND(Cc4ea_u*10^12,1), "N/A"), "")</f>
        <v/>
      </c>
      <c r="I355" s="57"/>
    </row>
    <row r="356" spans="1:9" x14ac:dyDescent="0.3">
      <c r="A356" s="56"/>
      <c r="I356" s="57"/>
    </row>
    <row r="357" spans="1:9" x14ac:dyDescent="0.3">
      <c r="A357" s="56" t="str">
        <f>"gm = "&amp;$B$184*1000&amp;"mS"</f>
        <v>gm = 1.2mS</v>
      </c>
      <c r="B357" t="str">
        <f>$B$184*1000&amp;"mS"</f>
        <v>1.2mS</v>
      </c>
      <c r="I357" s="57"/>
    </row>
    <row r="358" spans="1:9" x14ac:dyDescent="0.3">
      <c r="A358" s="56" t="str">
        <f>"RoEA = "&amp;RoEA/1000000&amp;"MΩ"</f>
        <v>RoEA = 64MΩ</v>
      </c>
      <c r="B358" t="str">
        <f>RoEA/1000000&amp;"MΩ"</f>
        <v>64MΩ</v>
      </c>
      <c r="I358" s="57"/>
    </row>
    <row r="359" spans="1:9" x14ac:dyDescent="0.3">
      <c r="A359" s="56" t="str">
        <f>"GBW = "&amp;GBW&amp;"MHz"</f>
        <v>GBW = 30MHz</v>
      </c>
      <c r="B359" t="str">
        <f>GBW&amp;"MHz"</f>
        <v>30MHz</v>
      </c>
      <c r="I359" s="57"/>
    </row>
    <row r="360" spans="1:9" x14ac:dyDescent="0.3">
      <c r="A360" s="56"/>
      <c r="I360" s="57"/>
    </row>
    <row r="361" spans="1:9" x14ac:dyDescent="0.3">
      <c r="A361" s="56" t="e">
        <f>"Cslope = "&amp;Cslope&amp;"pF"</f>
        <v>#NAME?</v>
      </c>
      <c r="B361" t="e">
        <f>ROUND(Cslope*1,0)&amp;"pF"</f>
        <v>#NAME?</v>
      </c>
      <c r="I361" s="57"/>
    </row>
    <row r="362" spans="1:9" x14ac:dyDescent="0.3">
      <c r="A362" s="56" t="str">
        <f>IF(DITHER=1, "Cdither = "&amp;Cdither*1000000000&amp;"nF", "")</f>
        <v>Cdither = 10nF</v>
      </c>
      <c r="B362" t="str">
        <f>IF(DITHER=1, ROUND(Cdither*1000000000,1)&amp;"nF", "")</f>
        <v>10nF</v>
      </c>
      <c r="C362" s="2" t="str">
        <f>IF(DITHER=1, "Cd", "")</f>
        <v>Cd</v>
      </c>
      <c r="I362" s="57"/>
    </row>
    <row r="363" spans="1:9" x14ac:dyDescent="0.3">
      <c r="A363" s="56" t="str">
        <f>"RFB1 = "&amp;'Design Regulator'!E65&amp;"kΩ"</f>
        <v>RFB1 = 390kΩ</v>
      </c>
      <c r="B363" t="str">
        <f>'Design Regulator'!E65&amp;"kΩ"</f>
        <v>390kΩ</v>
      </c>
      <c r="D363" t="str">
        <f>'Design Regulator'!J65&amp;"kΩ"</f>
        <v>115kΩ</v>
      </c>
      <c r="I363" s="57"/>
    </row>
    <row r="364" spans="1:9" x14ac:dyDescent="0.3">
      <c r="A364" s="56" t="str">
        <f>"RFB2 = "&amp;IF(Vout=Vref,"OPEN",'Design Regulator'!E66&amp;"kΩ")</f>
        <v>RFB2 = 10kΩ</v>
      </c>
      <c r="B364" t="str">
        <f>IF(Vout=Vref,"OPEN",Rfb2_u/1000&amp;"kΩ")</f>
        <v>10kΩ</v>
      </c>
      <c r="D364" t="str">
        <f>IF(Vout2=Vref,"OPEN",Rfb4_u/1000&amp;"kΩ")</f>
        <v>15.8kΩ</v>
      </c>
      <c r="I364" s="57"/>
    </row>
    <row r="365" spans="1:9" x14ac:dyDescent="0.3">
      <c r="A365" s="56" t="str">
        <f>CHOOSE(BODE_PLOT_TYPE, "Crossover Frequency = "&amp;ROUND('Stability Calculations'!Q4,1)&amp;" kHz",  "Crossover Frequency = "&amp;ROUND('Ch2 Stability Calculations'!Q4,1)&amp;" kHz")</f>
        <v>Crossover Frequency = 30 kHz</v>
      </c>
      <c r="B365" t="str">
        <f>CHOOSE(BODE_PLOT_TYPE, ROUND('Stability Calculations'!Q4,1)&amp;" kHz", ROUND('Ch2 Stability Calculations'!Q4,1)&amp;" kHz")</f>
        <v>30 kHz</v>
      </c>
      <c r="D365" s="115">
        <f>'Stability Calculations'!Q4</f>
        <v>30.027999999999999</v>
      </c>
      <c r="I365" s="57"/>
    </row>
    <row r="366" spans="1:9" x14ac:dyDescent="0.3">
      <c r="A366" s="56" t="str">
        <f>CHOOSE(BODE_PLOT_TYPE, "Phase Margin = "&amp;ROUND('Stability Calculations'!Q5,0)&amp;"°", "Phase Margin = "&amp;ROUND('Ch2 Stability Calculations'!Q5,0)&amp;"°")</f>
        <v>Phase Margin = 52°</v>
      </c>
      <c r="B366" s="116" t="str">
        <f>CHOOSE(BODE_PLOT_TYPE, ROUND('Stability Calculations'!Q5,0)&amp;"°", ROUND('Ch2 Stability Calculations'!Q5,0)&amp;"°")</f>
        <v>52°</v>
      </c>
      <c r="C366" s="299"/>
      <c r="E366" s="213"/>
      <c r="I366" s="57"/>
    </row>
    <row r="367" spans="1:9" x14ac:dyDescent="0.3">
      <c r="A367" s="56"/>
      <c r="B367" s="116"/>
      <c r="C367" s="299"/>
      <c r="E367" s="213"/>
      <c r="I367" s="57"/>
    </row>
    <row r="368" spans="1:9" x14ac:dyDescent="0.3">
      <c r="A368" s="66" t="s">
        <v>598</v>
      </c>
      <c r="B368" s="492" t="str">
        <f>IF(PLOT_TYPE=1, ROUND('Efficiency Calculations'!AZ109,1)&amp;"%", ROUND('Ch2 Efficiency Calculations'!AZ109,1)&amp;"%")</f>
        <v>98.9%</v>
      </c>
      <c r="C368" s="299"/>
      <c r="D368" s="492"/>
      <c r="E368" s="213"/>
      <c r="I368" s="57"/>
    </row>
    <row r="369" spans="1:9" x14ac:dyDescent="0.3">
      <c r="A369" s="66" t="s">
        <v>599</v>
      </c>
      <c r="B369" s="492" t="str">
        <f>IF(PLOT_TYPE=1, ROUND('Efficiency Calculations'!AZ59,1)&amp;"%", ROUND('Ch2 Efficiency Calculations'!AZ59,1)&amp;"%")</f>
        <v>99.2%</v>
      </c>
      <c r="C369" s="299"/>
      <c r="D369" s="492"/>
      <c r="E369" s="213"/>
      <c r="I369" s="57"/>
    </row>
    <row r="370" spans="1:9" x14ac:dyDescent="0.3">
      <c r="A370" s="56"/>
      <c r="B370" s="116"/>
      <c r="C370" s="299"/>
      <c r="E370" s="213"/>
      <c r="I370" s="57"/>
    </row>
    <row r="371" spans="1:9" x14ac:dyDescent="0.3">
      <c r="A371" s="56" t="str">
        <f>"CDITH = "&amp;Cdither*1000000000&amp;"nF"</f>
        <v>CDITH = 10nF</v>
      </c>
      <c r="B371" t="str">
        <f>Cdither*1000000000&amp;"nF"</f>
        <v>10nF</v>
      </c>
      <c r="I371" s="57"/>
    </row>
    <row r="372" spans="1:9" x14ac:dyDescent="0.3">
      <c r="A372" s="56" t="str">
        <f>"Rs = "&amp;Rs&amp;"Ω"</f>
        <v>Rs = 0.0022Ω</v>
      </c>
      <c r="B372" t="str">
        <f>'Standard Value Calculator'!O6&amp;"Ω"</f>
        <v>Ω</v>
      </c>
      <c r="I372" s="57"/>
    </row>
    <row r="373" spans="1:9" x14ac:dyDescent="0.3">
      <c r="A373" s="56" t="s">
        <v>189</v>
      </c>
      <c r="B373" t="str">
        <f>'Standard Value Calculator'!O16&amp;"mΩ"</f>
        <v>2.26mΩ</v>
      </c>
      <c r="I373" s="57"/>
    </row>
    <row r="374" spans="1:9" x14ac:dyDescent="0.3">
      <c r="A374" s="56" t="s">
        <v>167</v>
      </c>
      <c r="B374" t="str">
        <f>'Standard Value Calculator'!O6&amp;"mΩ"</f>
        <v>mΩ</v>
      </c>
      <c r="I374" s="57"/>
    </row>
    <row r="375" spans="1:9" x14ac:dyDescent="0.3">
      <c r="A375" s="56" t="e">
        <f>"Rshunt = "&amp;ROUND(Rshunt,1)&amp;"mΩ"</f>
        <v>#NAME?</v>
      </c>
      <c r="B375" t="e">
        <f>IF(Rshunt="0", "N/A",ROUND(Rshunt,1)&amp;"mΩ")</f>
        <v>#NAME?</v>
      </c>
      <c r="I375" s="57"/>
    </row>
    <row r="376" spans="1:9" x14ac:dyDescent="0.3">
      <c r="A376" s="56"/>
      <c r="I376" s="57"/>
    </row>
    <row r="377" spans="1:9" x14ac:dyDescent="0.3">
      <c r="A377" s="212" t="s">
        <v>262</v>
      </c>
      <c r="B377" s="114" t="s">
        <v>263</v>
      </c>
      <c r="I377" s="57"/>
    </row>
    <row r="378" spans="1:9" x14ac:dyDescent="0.3">
      <c r="A378" s="212"/>
      <c r="B378" s="114"/>
      <c r="I378" s="57"/>
    </row>
    <row r="379" spans="1:9" x14ac:dyDescent="0.3">
      <c r="A379" s="212"/>
      <c r="B379" s="114"/>
      <c r="I379" s="57"/>
    </row>
    <row r="380" spans="1:9" x14ac:dyDescent="0.3">
      <c r="A380" s="212" t="s">
        <v>280</v>
      </c>
      <c r="B380" t="str">
        <f>'Standard Value Calculator'!O4/1000&amp;"kΩ"</f>
        <v>100kΩ</v>
      </c>
      <c r="I380" s="57"/>
    </row>
    <row r="381" spans="1:9" ht="12.5" x14ac:dyDescent="0.25">
      <c r="A381" s="56" t="s">
        <v>152</v>
      </c>
      <c r="B381" t="str">
        <f>IF(MODE=1, 'Standard Value Calculator'!B4*1000000000&amp;"nF", "")</f>
        <v/>
      </c>
      <c r="C381" s="114" t="str">
        <f>IF(MODE=1,"Css1","")</f>
        <v/>
      </c>
      <c r="I381" s="57"/>
    </row>
    <row r="382" spans="1:9" ht="12.5" x14ac:dyDescent="0.25">
      <c r="A382" s="643" t="s">
        <v>814</v>
      </c>
      <c r="B382" t="str">
        <f xml:space="preserve"> 'Standard Value Calculator'!B4*1000000000&amp;"nF"</f>
        <v>100nF</v>
      </c>
      <c r="C382" s="114" t="str">
        <f>IF(MODE=1,"Css2","Css")</f>
        <v>Css</v>
      </c>
      <c r="I382" s="57"/>
    </row>
    <row r="383" spans="1:9" x14ac:dyDescent="0.3">
      <c r="A383" s="212" t="s">
        <v>682</v>
      </c>
      <c r="B383" t="str">
        <f>IF(Cres_u = 0, "N/A", Cres_u*1000000000 &amp;"nF")</f>
        <v>470nF</v>
      </c>
      <c r="D383">
        <f>Cres_u</f>
        <v>4.7E-7</v>
      </c>
      <c r="I383" s="57"/>
    </row>
    <row r="384" spans="1:9" x14ac:dyDescent="0.3">
      <c r="A384" s="643"/>
      <c r="I384" s="57"/>
    </row>
    <row r="385" spans="1:9" x14ac:dyDescent="0.3">
      <c r="A385" s="56" t="s">
        <v>190</v>
      </c>
      <c r="B385" t="str">
        <f>IF(B76="y","","|")</f>
        <v>|</v>
      </c>
      <c r="I385" s="57"/>
    </row>
    <row r="386" spans="1:9" x14ac:dyDescent="0.3">
      <c r="A386" s="56" t="s">
        <v>207</v>
      </c>
      <c r="B386" t="str">
        <f>'Design Regulator'!$E$11&amp;"A"</f>
        <v>60A</v>
      </c>
      <c r="D386" t="str">
        <f>IF(MODE=1,'Design Regulator'!$J$11&amp;"A","")</f>
        <v/>
      </c>
      <c r="I386" s="57"/>
    </row>
    <row r="387" spans="1:9" x14ac:dyDescent="0.3">
      <c r="A387" s="56" t="s">
        <v>144</v>
      </c>
      <c r="B387" t="str">
        <f>VIN_nom&amp;"V"</f>
        <v>45V</v>
      </c>
      <c r="I387" s="57"/>
    </row>
    <row r="388" spans="1:9" x14ac:dyDescent="0.3">
      <c r="A388" s="212" t="s">
        <v>608</v>
      </c>
      <c r="B388" t="str">
        <f>VIN_min&amp;"V"&amp;"..."&amp;VIN_max&amp;"V"</f>
        <v>36V...51V</v>
      </c>
      <c r="I388" s="57"/>
    </row>
    <row r="389" spans="1:9" x14ac:dyDescent="0.3">
      <c r="A389" s="56"/>
      <c r="I389" s="57"/>
    </row>
    <row r="390" spans="1:9" ht="13.5" thickBot="1" x14ac:dyDescent="0.35">
      <c r="A390" s="60"/>
      <c r="B390" s="61"/>
      <c r="C390" s="298"/>
      <c r="D390" s="61"/>
      <c r="E390" s="61"/>
      <c r="F390" s="61"/>
      <c r="G390" s="61"/>
      <c r="H390" s="61"/>
      <c r="I390" s="62"/>
    </row>
  </sheetData>
  <sheetProtection selectLockedCells="1"/>
  <mergeCells count="2">
    <mergeCell ref="E5:H5"/>
    <mergeCell ref="A1:I1"/>
  </mergeCells>
  <phoneticPr fontId="5" type="noConversion"/>
  <pageMargins left="0.75" right="0.75" top="1" bottom="1" header="0.5" footer="0.5"/>
  <pageSetup orientation="portrait" r:id="rId1"/>
  <headerFooter alignWithMargins="0"/>
  <ignoredErrors>
    <ignoredError sqref="K132" formula="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E687"/>
  <sheetViews>
    <sheetView zoomScaleNormal="100" workbookViewId="0">
      <pane ySplit="11" topLeftCell="A12" activePane="bottomLeft" state="frozen"/>
      <selection activeCell="A93" sqref="A93"/>
      <selection pane="bottomLeft" activeCell="C5" sqref="C5"/>
    </sheetView>
  </sheetViews>
  <sheetFormatPr defaultColWidth="9.08984375" defaultRowHeight="12.5" x14ac:dyDescent="0.25"/>
  <cols>
    <col min="1" max="1" width="16.08984375" style="319" customWidth="1"/>
    <col min="2" max="2" width="15.6328125" style="319" customWidth="1"/>
    <col min="3" max="3" width="10" style="319" customWidth="1"/>
    <col min="4" max="4" width="10.90625" style="319" customWidth="1"/>
    <col min="5" max="5" width="10.08984375" style="319" customWidth="1"/>
    <col min="6" max="8" width="11.90625" style="319" customWidth="1"/>
    <col min="9" max="9" width="14.36328125" style="319" customWidth="1"/>
    <col min="10" max="10" width="11" style="319" customWidth="1"/>
    <col min="11" max="11" width="12" style="319" customWidth="1"/>
    <col min="12" max="12" width="11.453125" style="319" customWidth="1"/>
    <col min="13" max="13" width="10.90625" style="319" customWidth="1"/>
    <col min="14" max="14" width="11.453125" style="319" customWidth="1"/>
    <col min="15" max="15" width="12.36328125" style="319" customWidth="1"/>
    <col min="16" max="16" width="12.08984375" style="319" customWidth="1"/>
    <col min="17" max="17" width="9.453125" style="319" customWidth="1"/>
    <col min="18" max="18" width="16.08984375" style="319" bestFit="1" customWidth="1"/>
    <col min="19" max="19" width="16.08984375" style="359" customWidth="1"/>
    <col min="20" max="20" width="9.08984375" style="319"/>
    <col min="21" max="21" width="13.453125" style="319" bestFit="1" customWidth="1"/>
    <col min="22" max="22" width="9.36328125" style="319" bestFit="1" customWidth="1"/>
    <col min="23" max="23" width="9.08984375" style="319"/>
    <col min="24" max="24" width="13.54296875" style="319" customWidth="1"/>
    <col min="25" max="25" width="10.54296875" style="319" customWidth="1"/>
    <col min="26" max="26" width="9.08984375" style="319"/>
    <col min="27" max="27" width="9.36328125" style="319" bestFit="1" customWidth="1"/>
    <col min="28" max="28" width="11.36328125" style="319" bestFit="1" customWidth="1"/>
    <col min="29" max="29" width="9.08984375" style="319"/>
    <col min="30" max="30" width="12.36328125" customWidth="1"/>
    <col min="31" max="31" width="8.90625" customWidth="1"/>
    <col min="32" max="16384" width="9.08984375" style="319"/>
  </cols>
  <sheetData>
    <row r="1" spans="1:31" ht="13" thickBot="1" x14ac:dyDescent="0.3"/>
    <row r="2" spans="1:31" ht="13" x14ac:dyDescent="0.3">
      <c r="A2" s="740" t="s">
        <v>422</v>
      </c>
      <c r="B2" s="741"/>
      <c r="C2" s="742"/>
      <c r="D2" s="743"/>
      <c r="E2" s="740" t="s">
        <v>328</v>
      </c>
      <c r="F2" s="741"/>
      <c r="G2" s="741"/>
      <c r="H2" s="401"/>
      <c r="I2" s="417"/>
      <c r="J2" s="740" t="s">
        <v>420</v>
      </c>
      <c r="K2" s="742"/>
      <c r="L2" s="743"/>
      <c r="M2" s="740" t="s">
        <v>421</v>
      </c>
      <c r="N2" s="742"/>
      <c r="O2" s="743"/>
      <c r="P2" s="740" t="s">
        <v>329</v>
      </c>
      <c r="Q2" s="741"/>
      <c r="R2" s="749"/>
      <c r="AD2" s="114"/>
      <c r="AE2" s="114"/>
    </row>
    <row r="3" spans="1:31" x14ac:dyDescent="0.25">
      <c r="B3" s="320" t="s">
        <v>330</v>
      </c>
      <c r="C3" s="404">
        <f>Afb</f>
        <v>2.4999999999999998E-2</v>
      </c>
      <c r="D3" s="322" t="s">
        <v>28</v>
      </c>
      <c r="E3" s="323" t="s">
        <v>331</v>
      </c>
      <c r="F3" s="404">
        <f>Acs</f>
        <v>37.878787878787882</v>
      </c>
      <c r="G3" s="322" t="s">
        <v>419</v>
      </c>
      <c r="H3" s="415" t="s">
        <v>347</v>
      </c>
      <c r="I3" s="427">
        <f>gm</f>
        <v>1.1999999999999999E-3</v>
      </c>
      <c r="J3" s="323" t="s">
        <v>438</v>
      </c>
      <c r="K3" s="324">
        <f>Fesr</f>
        <v>390085.64527881466</v>
      </c>
      <c r="L3" s="322" t="s">
        <v>9</v>
      </c>
      <c r="M3" s="323" t="s">
        <v>333</v>
      </c>
      <c r="N3" s="324">
        <f>Fsw/2</f>
        <v>110000</v>
      </c>
      <c r="O3" s="322" t="s">
        <v>9</v>
      </c>
      <c r="P3" s="325" t="s">
        <v>334</v>
      </c>
      <c r="Q3" s="324">
        <f>Am*Afb*AEA</f>
        <v>49211.88319413631</v>
      </c>
      <c r="R3" s="322" t="s">
        <v>28</v>
      </c>
    </row>
    <row r="4" spans="1:31" x14ac:dyDescent="0.25">
      <c r="B4" s="320" t="s">
        <v>443</v>
      </c>
      <c r="C4" s="324">
        <f>Fz1_u</f>
        <v>2679.3761493898373</v>
      </c>
      <c r="D4" s="322" t="s">
        <v>9</v>
      </c>
      <c r="E4" s="323" t="s">
        <v>336</v>
      </c>
      <c r="F4" s="329">
        <f>Am</f>
        <v>25.631189163612664</v>
      </c>
      <c r="G4" s="322" t="s">
        <v>28</v>
      </c>
      <c r="H4" s="416"/>
      <c r="I4" s="416"/>
      <c r="J4" s="323" t="s">
        <v>437</v>
      </c>
      <c r="K4" s="324">
        <f>Fp_dominant</f>
        <v>2305.9361495490862</v>
      </c>
      <c r="L4" s="322" t="s">
        <v>9</v>
      </c>
      <c r="M4" s="323" t="s">
        <v>338</v>
      </c>
      <c r="N4" s="402">
        <f>Q*pole3</f>
        <v>69853.924149179365</v>
      </c>
      <c r="O4" s="322"/>
      <c r="P4" s="325" t="s">
        <v>339</v>
      </c>
      <c r="Q4" s="365">
        <f>AE7</f>
        <v>30.027999999999999</v>
      </c>
      <c r="R4" s="322" t="s">
        <v>2</v>
      </c>
    </row>
    <row r="5" spans="1:31" x14ac:dyDescent="0.25">
      <c r="B5" s="320" t="s">
        <v>442</v>
      </c>
      <c r="C5" s="404">
        <f>Fp1_u</f>
        <v>0.75336265876811326</v>
      </c>
      <c r="D5" s="322" t="s">
        <v>9</v>
      </c>
      <c r="E5" s="323" t="s">
        <v>27</v>
      </c>
      <c r="F5" s="404">
        <f>Q</f>
        <v>0.63503567408344874</v>
      </c>
      <c r="G5" s="322"/>
      <c r="H5" s="416"/>
      <c r="I5" s="416"/>
      <c r="J5" s="323"/>
      <c r="K5" s="324"/>
      <c r="L5" s="322"/>
      <c r="M5" s="323" t="s">
        <v>341</v>
      </c>
      <c r="N5" s="321">
        <f>pole3^2</f>
        <v>12100000000</v>
      </c>
      <c r="O5" s="322"/>
      <c r="P5" s="325" t="s">
        <v>342</v>
      </c>
      <c r="Q5" s="329">
        <f>AE9</f>
        <v>52.077157413738419</v>
      </c>
      <c r="R5" s="388" t="s">
        <v>399</v>
      </c>
    </row>
    <row r="6" spans="1:31" x14ac:dyDescent="0.25">
      <c r="B6" s="320" t="s">
        <v>343</v>
      </c>
      <c r="C6" s="321">
        <f>AEA</f>
        <v>76800</v>
      </c>
      <c r="D6" s="322" t="s">
        <v>28</v>
      </c>
      <c r="E6" s="323" t="s">
        <v>371</v>
      </c>
      <c r="F6" s="404">
        <f>mc</f>
        <v>2.1544011544011545</v>
      </c>
      <c r="G6" s="415"/>
      <c r="H6" s="418"/>
      <c r="I6" s="328"/>
      <c r="J6" s="326"/>
      <c r="K6" s="327"/>
      <c r="L6" s="328"/>
      <c r="M6" s="326"/>
      <c r="N6" s="430"/>
      <c r="O6" s="328"/>
      <c r="P6" s="400" t="s">
        <v>344</v>
      </c>
      <c r="Q6" s="327">
        <f>180/Pi</f>
        <v>57.295779578552292</v>
      </c>
      <c r="R6" s="328"/>
      <c r="AD6" s="5" t="s">
        <v>46</v>
      </c>
      <c r="AE6" s="5"/>
    </row>
    <row r="7" spans="1:31" ht="13" thickBot="1" x14ac:dyDescent="0.3">
      <c r="B7" s="396" t="s">
        <v>441</v>
      </c>
      <c r="C7" s="403">
        <f>Fp2_u</f>
        <v>100060.22121612207</v>
      </c>
      <c r="D7" s="398" t="s">
        <v>9</v>
      </c>
      <c r="E7" s="397" t="s">
        <v>346</v>
      </c>
      <c r="F7" s="399">
        <f>k</f>
        <v>1.0012472519861684</v>
      </c>
      <c r="G7" s="399"/>
      <c r="H7" s="419"/>
      <c r="I7" s="398"/>
      <c r="J7" s="397"/>
      <c r="K7" s="397"/>
      <c r="L7" s="398"/>
      <c r="M7" s="397"/>
      <c r="N7" s="397"/>
      <c r="O7" s="398"/>
      <c r="P7" s="397"/>
      <c r="Q7" s="397"/>
      <c r="R7" s="398"/>
      <c r="AD7" t="s">
        <v>43</v>
      </c>
      <c r="AE7">
        <f>SUM(AD12:AD613)/1000</f>
        <v>30.027999999999999</v>
      </c>
    </row>
    <row r="8" spans="1:31" x14ac:dyDescent="0.25">
      <c r="B8" s="405"/>
      <c r="C8" s="406"/>
      <c r="F8" s="407"/>
      <c r="G8" s="407"/>
      <c r="H8" s="407"/>
    </row>
    <row r="9" spans="1:31" ht="13" thickBot="1" x14ac:dyDescent="0.3">
      <c r="AD9" t="s">
        <v>44</v>
      </c>
      <c r="AE9" s="4">
        <f>SUM(AE13:AE613)</f>
        <v>52.077157413738419</v>
      </c>
    </row>
    <row r="10" spans="1:31" ht="14" x14ac:dyDescent="0.3">
      <c r="A10" s="744" t="s">
        <v>450</v>
      </c>
      <c r="B10" s="738"/>
      <c r="C10" s="750" t="s">
        <v>348</v>
      </c>
      <c r="D10" s="751"/>
      <c r="E10" s="751"/>
      <c r="F10" s="751"/>
      <c r="G10" s="751"/>
      <c r="H10" s="752"/>
      <c r="I10" s="750" t="s">
        <v>349</v>
      </c>
      <c r="J10" s="751"/>
      <c r="K10" s="751"/>
      <c r="L10" s="751"/>
      <c r="M10" s="751"/>
      <c r="N10" s="752"/>
      <c r="O10" s="747" t="s">
        <v>350</v>
      </c>
      <c r="P10" s="748"/>
      <c r="Q10" s="747" t="s">
        <v>351</v>
      </c>
      <c r="R10" s="753"/>
      <c r="S10" s="754"/>
      <c r="X10" s="731" t="s">
        <v>352</v>
      </c>
      <c r="Y10" s="732"/>
      <c r="AA10" s="731" t="s">
        <v>353</v>
      </c>
      <c r="AB10" s="732"/>
    </row>
    <row r="11" spans="1:31" ht="13" x14ac:dyDescent="0.3">
      <c r="A11" s="745"/>
      <c r="B11" s="739"/>
      <c r="C11" s="733" t="s">
        <v>437</v>
      </c>
      <c r="D11" s="734"/>
      <c r="E11" s="734" t="s">
        <v>438</v>
      </c>
      <c r="F11" s="735"/>
      <c r="G11" s="736" t="s">
        <v>439</v>
      </c>
      <c r="H11" s="737"/>
      <c r="I11" s="733" t="s">
        <v>337</v>
      </c>
      <c r="J11" s="734"/>
      <c r="K11" s="734" t="s">
        <v>332</v>
      </c>
      <c r="L11" s="735"/>
      <c r="M11" s="736" t="s">
        <v>340</v>
      </c>
      <c r="N11" s="737"/>
      <c r="O11" s="733" t="s">
        <v>333</v>
      </c>
      <c r="P11" s="735"/>
      <c r="Q11" s="323"/>
      <c r="R11" s="321"/>
      <c r="S11" s="366"/>
      <c r="X11" s="323"/>
      <c r="Y11" s="322"/>
      <c r="AA11" s="323"/>
      <c r="AB11" s="322"/>
    </row>
    <row r="12" spans="1:31" ht="13.5" thickBot="1" x14ac:dyDescent="0.35">
      <c r="A12" s="746"/>
      <c r="B12" s="363"/>
      <c r="C12" s="330" t="s">
        <v>354</v>
      </c>
      <c r="D12" s="331" t="s">
        <v>355</v>
      </c>
      <c r="E12" s="331" t="s">
        <v>354</v>
      </c>
      <c r="F12" s="332" t="s">
        <v>355</v>
      </c>
      <c r="G12" s="331" t="s">
        <v>354</v>
      </c>
      <c r="H12" s="332" t="s">
        <v>355</v>
      </c>
      <c r="I12" s="330" t="s">
        <v>354</v>
      </c>
      <c r="J12" s="331" t="s">
        <v>355</v>
      </c>
      <c r="K12" s="331" t="s">
        <v>354</v>
      </c>
      <c r="L12" s="332" t="s">
        <v>355</v>
      </c>
      <c r="M12" s="330" t="s">
        <v>354</v>
      </c>
      <c r="N12" s="331" t="s">
        <v>355</v>
      </c>
      <c r="O12" s="330" t="s">
        <v>354</v>
      </c>
      <c r="P12" s="332" t="s">
        <v>355</v>
      </c>
      <c r="Q12" s="330" t="s">
        <v>356</v>
      </c>
      <c r="R12" s="331" t="s">
        <v>358</v>
      </c>
      <c r="S12" s="367" t="s">
        <v>357</v>
      </c>
      <c r="V12" s="333" t="s">
        <v>359</v>
      </c>
      <c r="X12" s="334" t="s">
        <v>360</v>
      </c>
      <c r="Y12" s="335" t="s">
        <v>361</v>
      </c>
      <c r="AA12" s="334" t="s">
        <v>360</v>
      </c>
      <c r="AB12" s="335" t="s">
        <v>361</v>
      </c>
    </row>
    <row r="13" spans="1:31" x14ac:dyDescent="0.25">
      <c r="A13" s="336">
        <v>1</v>
      </c>
      <c r="B13" s="364">
        <f>A13/1000</f>
        <v>1E-3</v>
      </c>
      <c r="C13" s="337">
        <f t="shared" ref="C13:C76" si="0">SQRT(1+(A13/pole1)^2)</f>
        <v>1.0000000940319471</v>
      </c>
      <c r="D13" s="338">
        <f t="shared" ref="D13:D76" si="1">ATAN(A13/pole1)</f>
        <v>4.3366332476620577E-4</v>
      </c>
      <c r="E13" s="338">
        <f t="shared" ref="E13:E76" si="2">SQRT(1+(A13/Zero1)^2)</f>
        <v>1.0000000000032858</v>
      </c>
      <c r="F13" s="339">
        <f t="shared" ref="F13:F76" si="3">ATAN(A13/Zero1)</f>
        <v>2.5635396023943844E-6</v>
      </c>
      <c r="G13" s="338">
        <f t="shared" ref="G13:G76" si="4">IF(VIN_nom&gt;Vout, 1, SQRT(1+(A13/z_RHP)^2))</f>
        <v>1</v>
      </c>
      <c r="H13" s="339">
        <f t="shared" ref="H13:H76" si="5">IF(VIN_nom&gt;Vout, 0, -ATAN(A13/z_RHP))</f>
        <v>0</v>
      </c>
      <c r="I13" s="337">
        <f t="shared" ref="I13:I76" si="6">SQRT(1+(A13/Pole2)^2)</f>
        <v>1.6619094014473714</v>
      </c>
      <c r="J13" s="340">
        <f t="shared" ref="J13:J76" si="7">ATAN(A13/Pole2)</f>
        <v>0.92514658775478942</v>
      </c>
      <c r="K13" s="338">
        <f t="shared" ref="K13:K76" si="8">SQRT(1+(A13/Zero2)^2)</f>
        <v>1.0000000696470321</v>
      </c>
      <c r="L13" s="339">
        <f t="shared" ref="L13:L76" si="9">ATAN(A13/Zero2)</f>
        <v>3.7322118949083467E-4</v>
      </c>
      <c r="M13" s="337">
        <f t="shared" ref="M13:M76" si="10">SQRT(1+(A13/pole4)^2)</f>
        <v>1.0000000000499398</v>
      </c>
      <c r="N13" s="340">
        <f t="shared" ref="N13:N76" si="11">ATAN(A13/pole4)</f>
        <v>9.9939815024672687E-6</v>
      </c>
      <c r="O13" s="341">
        <f t="shared" ref="O13:O76" si="12">SQRT((1-(V13/pterm2))^2+(A13/pterm1)^2)</f>
        <v>1.0000000000198233</v>
      </c>
      <c r="P13" s="342">
        <f t="shared" ref="P13:P76" si="13">IF((ATAN((A13/pterm1)/(1-A13^2/pterm2))&gt;0),ATAN((A13/pterm1)/(1-A13^2/pterm2)),PI()+ATAN((A13/pterm1)/(1-A13^2/pterm2)))</f>
        <v>1.4315588024500131E-5</v>
      </c>
      <c r="Q13" s="343">
        <f t="shared" ref="Q13:Q76" si="14">20*LOG10(((E13*K13*G13)/(C13*I13*O13*M13))*Adc)</f>
        <v>89.429252585242423</v>
      </c>
      <c r="R13" s="344">
        <f t="shared" ref="R13:R76" si="15">((F13+L13+H13)-(D13+J13+P13+N13))*radconv</f>
        <v>-53.011704004845456</v>
      </c>
      <c r="S13" s="600">
        <f t="shared" ref="S13:S76" si="16">IF(R13&gt;0,R13,R13+180)</f>
        <v>126.98829599515454</v>
      </c>
      <c r="U13" s="319">
        <f>IF(Q13&lt;0,A13,1000000000)</f>
        <v>1000000000</v>
      </c>
      <c r="V13" s="319">
        <f>A13^2</f>
        <v>1</v>
      </c>
      <c r="X13" s="345">
        <f t="shared" ref="X13:X76" si="17">20*LOG10((K13/(I13*M13))*AEA)</f>
        <v>93.295078112257272</v>
      </c>
      <c r="Y13" s="346">
        <f t="shared" ref="Y13:Y76" si="18">(L13-(J13+N13))*radconv</f>
        <v>-52.986183583802365</v>
      </c>
      <c r="AA13" s="345">
        <f t="shared" ref="AA13:AA76" si="19">20*LOG10((E13*G13/(C13*O13))*Acs*Am)</f>
        <v>59.743295762147774</v>
      </c>
      <c r="AB13" s="346">
        <f t="shared" ref="AB13:AB76" si="20">(F13+H13-(D13+P13))*radconv</f>
        <v>-2.5520421043096108E-2</v>
      </c>
      <c r="AD13">
        <f>SUM((Q14&lt;0)*(Q13&gt;0))*A13</f>
        <v>0</v>
      </c>
      <c r="AE13">
        <f t="shared" ref="AE13:AE44" si="21">IF(AD13&gt;0,S11,0)</f>
        <v>0</v>
      </c>
    </row>
    <row r="14" spans="1:31" x14ac:dyDescent="0.25">
      <c r="A14" s="347">
        <v>1.0965</v>
      </c>
      <c r="B14" s="364">
        <f t="shared" ref="B14:B77" si="22">A14/1000</f>
        <v>1.0965E-3</v>
      </c>
      <c r="C14" s="337">
        <f t="shared" si="0"/>
        <v>1.0000001130557608</v>
      </c>
      <c r="D14" s="338">
        <f t="shared" si="1"/>
        <v>4.7551182957544612E-4</v>
      </c>
      <c r="E14" s="338">
        <f t="shared" si="2"/>
        <v>1.0000000000039506</v>
      </c>
      <c r="F14" s="339">
        <f t="shared" si="3"/>
        <v>2.8109211740241968E-6</v>
      </c>
      <c r="G14" s="338">
        <f t="shared" si="4"/>
        <v>1</v>
      </c>
      <c r="H14" s="339">
        <f t="shared" si="5"/>
        <v>0</v>
      </c>
      <c r="I14" s="337">
        <f t="shared" si="6"/>
        <v>1.765900756757818</v>
      </c>
      <c r="J14" s="340">
        <f t="shared" si="7"/>
        <v>0.96880697387300307</v>
      </c>
      <c r="K14" s="348">
        <f t="shared" si="8"/>
        <v>1.0000000837374794</v>
      </c>
      <c r="L14" s="349">
        <f t="shared" si="9"/>
        <v>4.092370304324786E-4</v>
      </c>
      <c r="M14" s="337">
        <f t="shared" si="10"/>
        <v>1.0000000000600433</v>
      </c>
      <c r="N14" s="340">
        <f t="shared" si="11"/>
        <v>1.0958400717381546E-5</v>
      </c>
      <c r="O14" s="341">
        <f t="shared" si="12"/>
        <v>1.0000000000238338</v>
      </c>
      <c r="P14" s="342">
        <f t="shared" si="13"/>
        <v>1.5697042268909908E-5</v>
      </c>
      <c r="Q14" s="343">
        <f t="shared" si="14"/>
        <v>88.902073581740083</v>
      </c>
      <c r="R14" s="344">
        <f t="shared" si="15"/>
        <v>-55.51371428594107</v>
      </c>
      <c r="S14" s="346">
        <f t="shared" si="16"/>
        <v>124.48628571405894</v>
      </c>
      <c r="U14" s="319">
        <f t="shared" ref="U14:U77" si="23">IF(Q14&lt;0,A14,1000000000)</f>
        <v>1000000000</v>
      </c>
      <c r="V14" s="319">
        <f t="shared" ref="V14:V77" si="24">A14^2</f>
        <v>1.2023122500000001</v>
      </c>
      <c r="X14" s="345">
        <f t="shared" si="17"/>
        <v>92.767899274022739</v>
      </c>
      <c r="Y14" s="346">
        <f t="shared" si="18"/>
        <v>-55.485731144612849</v>
      </c>
      <c r="AA14" s="345">
        <f t="shared" si="19"/>
        <v>59.743295596879982</v>
      </c>
      <c r="AB14" s="346">
        <f t="shared" si="20"/>
        <v>-2.7983141328223989E-2</v>
      </c>
      <c r="AD14">
        <f t="shared" ref="AD14:AD77" si="25">SUM((Q15&lt;0)*(Q14&gt;0))*A14</f>
        <v>0</v>
      </c>
      <c r="AE14">
        <f t="shared" si="21"/>
        <v>0</v>
      </c>
    </row>
    <row r="15" spans="1:31" x14ac:dyDescent="0.25">
      <c r="A15" s="347">
        <v>1.2022999999999999</v>
      </c>
      <c r="B15" s="364">
        <f t="shared" si="22"/>
        <v>1.2022999999999999E-3</v>
      </c>
      <c r="C15" s="337">
        <f t="shared" si="0"/>
        <v>1.0000001359255546</v>
      </c>
      <c r="D15" s="338">
        <f t="shared" si="1"/>
        <v>5.2139340080437644E-4</v>
      </c>
      <c r="E15" s="338">
        <f t="shared" si="2"/>
        <v>1.0000000000047498</v>
      </c>
      <c r="F15" s="339">
        <f t="shared" si="3"/>
        <v>3.0821436639557604E-6</v>
      </c>
      <c r="G15" s="338">
        <f t="shared" si="4"/>
        <v>1</v>
      </c>
      <c r="H15" s="339">
        <f t="shared" si="5"/>
        <v>0</v>
      </c>
      <c r="I15" s="337">
        <f t="shared" si="6"/>
        <v>1.8833302848063826</v>
      </c>
      <c r="J15" s="340">
        <f t="shared" si="7"/>
        <v>1.0110463937502847</v>
      </c>
      <c r="K15" s="348">
        <f t="shared" si="8"/>
        <v>1.0000001006765449</v>
      </c>
      <c r="L15" s="349">
        <f t="shared" si="9"/>
        <v>4.4872382684237657E-4</v>
      </c>
      <c r="M15" s="337">
        <f t="shared" si="10"/>
        <v>1.0000000000721894</v>
      </c>
      <c r="N15" s="340">
        <f t="shared" si="11"/>
        <v>1.2015763960238165E-5</v>
      </c>
      <c r="O15" s="341">
        <f t="shared" si="12"/>
        <v>1.0000000000286553</v>
      </c>
      <c r="P15" s="342">
        <f t="shared" si="13"/>
        <v>1.7211631481966414E-5</v>
      </c>
      <c r="Q15" s="343">
        <f t="shared" si="14"/>
        <v>88.342869581257887</v>
      </c>
      <c r="R15" s="344">
        <f t="shared" si="15"/>
        <v>-57.934352992481216</v>
      </c>
      <c r="S15" s="346">
        <f t="shared" si="16"/>
        <v>122.06564700751878</v>
      </c>
      <c r="U15" s="319">
        <f t="shared" si="23"/>
        <v>1000000000</v>
      </c>
      <c r="V15" s="319">
        <f t="shared" si="24"/>
        <v>1.4455252899999997</v>
      </c>
      <c r="X15" s="345">
        <f t="shared" si="17"/>
        <v>92.208695472219944</v>
      </c>
      <c r="Y15" s="346">
        <f t="shared" si="18"/>
        <v>-57.903669791095425</v>
      </c>
      <c r="AA15" s="345">
        <f t="shared" si="19"/>
        <v>59.743295398200559</v>
      </c>
      <c r="AB15" s="346">
        <f t="shared" si="20"/>
        <v>-3.0683201385777896E-2</v>
      </c>
      <c r="AD15">
        <f t="shared" si="25"/>
        <v>0</v>
      </c>
      <c r="AE15">
        <f t="shared" si="21"/>
        <v>0</v>
      </c>
    </row>
    <row r="16" spans="1:31" x14ac:dyDescent="0.25">
      <c r="A16" s="347">
        <v>1.3183</v>
      </c>
      <c r="B16" s="364">
        <f t="shared" si="22"/>
        <v>1.3183000000000001E-3</v>
      </c>
      <c r="C16" s="337">
        <f t="shared" si="0"/>
        <v>1.000000163419515</v>
      </c>
      <c r="D16" s="338">
        <f t="shared" si="1"/>
        <v>5.7169833459345292E-4</v>
      </c>
      <c r="E16" s="338">
        <f t="shared" si="2"/>
        <v>1.0000000000057105</v>
      </c>
      <c r="F16" s="339">
        <f t="shared" si="3"/>
        <v>3.379514257831054E-6</v>
      </c>
      <c r="G16" s="338">
        <f t="shared" si="4"/>
        <v>1</v>
      </c>
      <c r="H16" s="339">
        <f t="shared" si="5"/>
        <v>0</v>
      </c>
      <c r="I16" s="337">
        <f t="shared" si="6"/>
        <v>2.0154668762654979</v>
      </c>
      <c r="J16" s="340">
        <f t="shared" si="7"/>
        <v>1.0516225517244471</v>
      </c>
      <c r="K16" s="348">
        <f t="shared" si="8"/>
        <v>1.0000001210406113</v>
      </c>
      <c r="L16" s="349">
        <f t="shared" si="9"/>
        <v>4.9201747724807556E-4</v>
      </c>
      <c r="M16" s="337">
        <f t="shared" si="10"/>
        <v>1.000000000086791</v>
      </c>
      <c r="N16" s="340">
        <f t="shared" si="11"/>
        <v>1.317506581437892E-5</v>
      </c>
      <c r="O16" s="341">
        <f t="shared" si="12"/>
        <v>1.0000000000344513</v>
      </c>
      <c r="P16" s="342">
        <f t="shared" si="13"/>
        <v>1.887223969289812E-5</v>
      </c>
      <c r="Q16" s="343">
        <f t="shared" si="14"/>
        <v>87.753886021051969</v>
      </c>
      <c r="R16" s="344">
        <f t="shared" si="15"/>
        <v>-60.259741843726154</v>
      </c>
      <c r="S16" s="346">
        <f t="shared" si="16"/>
        <v>119.74025815627385</v>
      </c>
      <c r="U16" s="319">
        <f t="shared" si="23"/>
        <v>1000000000</v>
      </c>
      <c r="V16" s="319">
        <f t="shared" si="24"/>
        <v>1.7379148900000001</v>
      </c>
      <c r="X16" s="345">
        <f t="shared" si="17"/>
        <v>91.61971215086551</v>
      </c>
      <c r="Y16" s="346">
        <f t="shared" si="18"/>
        <v>-60.226098274180259</v>
      </c>
      <c r="AA16" s="345">
        <f t="shared" si="19"/>
        <v>59.743295159349088</v>
      </c>
      <c r="AB16" s="346">
        <f t="shared" si="20"/>
        <v>-3.3643569545890546E-2</v>
      </c>
      <c r="AD16">
        <f t="shared" si="25"/>
        <v>0</v>
      </c>
      <c r="AE16">
        <f t="shared" si="21"/>
        <v>0</v>
      </c>
    </row>
    <row r="17" spans="1:31" x14ac:dyDescent="0.25">
      <c r="A17" s="347">
        <v>1.4454</v>
      </c>
      <c r="B17" s="364">
        <f t="shared" si="22"/>
        <v>1.4454000000000001E-3</v>
      </c>
      <c r="C17" s="337">
        <f t="shared" si="0"/>
        <v>1.000000196449762</v>
      </c>
      <c r="D17" s="338">
        <f t="shared" si="1"/>
        <v>6.2681692681893029E-4</v>
      </c>
      <c r="E17" s="338">
        <f t="shared" si="2"/>
        <v>1.0000000000068647</v>
      </c>
      <c r="F17" s="339">
        <f t="shared" si="3"/>
        <v>3.7053401412920025E-6</v>
      </c>
      <c r="G17" s="338">
        <f t="shared" si="4"/>
        <v>1</v>
      </c>
      <c r="H17" s="339">
        <f t="shared" si="5"/>
        <v>0</v>
      </c>
      <c r="I17" s="337">
        <f t="shared" si="6"/>
        <v>2.1635659974273245</v>
      </c>
      <c r="J17" s="340">
        <f t="shared" si="7"/>
        <v>1.0903219360959522</v>
      </c>
      <c r="K17" s="348">
        <f t="shared" si="8"/>
        <v>1.0000001455052621</v>
      </c>
      <c r="L17" s="349">
        <f t="shared" si="9"/>
        <v>5.3945388000870963E-4</v>
      </c>
      <c r="M17" s="337">
        <f t="shared" si="10"/>
        <v>1.0000000001043334</v>
      </c>
      <c r="N17" s="340">
        <f t="shared" si="11"/>
        <v>1.4445300863142369E-5</v>
      </c>
      <c r="O17" s="341">
        <f t="shared" si="12"/>
        <v>1.0000000000414149</v>
      </c>
      <c r="P17" s="342">
        <f t="shared" si="13"/>
        <v>2.0691750930935505E-5</v>
      </c>
      <c r="Q17" s="343">
        <f t="shared" si="14"/>
        <v>87.137996297651284</v>
      </c>
      <c r="R17" s="344">
        <f t="shared" si="15"/>
        <v>-62.477651758510042</v>
      </c>
      <c r="S17" s="346">
        <f t="shared" si="16"/>
        <v>117.52234824148996</v>
      </c>
      <c r="U17" s="319">
        <f t="shared" si="23"/>
        <v>1000000000</v>
      </c>
      <c r="V17" s="319">
        <f t="shared" si="24"/>
        <v>2.0891811599999999</v>
      </c>
      <c r="X17" s="345">
        <f t="shared" si="17"/>
        <v>91.003822714412323</v>
      </c>
      <c r="Y17" s="346">
        <f t="shared" si="18"/>
        <v>-62.440764544386482</v>
      </c>
      <c r="AA17" s="345">
        <f t="shared" si="19"/>
        <v>59.743294872401606</v>
      </c>
      <c r="AB17" s="346">
        <f t="shared" si="20"/>
        <v>-3.6887214123557131E-2</v>
      </c>
      <c r="AD17">
        <f t="shared" si="25"/>
        <v>0</v>
      </c>
      <c r="AE17">
        <f t="shared" si="21"/>
        <v>0</v>
      </c>
    </row>
    <row r="18" spans="1:31" x14ac:dyDescent="0.25">
      <c r="A18" s="347">
        <v>1.5849</v>
      </c>
      <c r="B18" s="364">
        <f t="shared" si="22"/>
        <v>1.5849E-3</v>
      </c>
      <c r="C18" s="337">
        <f t="shared" si="0"/>
        <v>1.0000002361995841</v>
      </c>
      <c r="D18" s="338">
        <f t="shared" si="1"/>
        <v>6.8731293827952681E-4</v>
      </c>
      <c r="E18" s="338">
        <f t="shared" si="2"/>
        <v>1.0000000000082538</v>
      </c>
      <c r="F18" s="339">
        <f t="shared" si="3"/>
        <v>4.0629539158214031E-6</v>
      </c>
      <c r="G18" s="338">
        <f t="shared" si="4"/>
        <v>1</v>
      </c>
      <c r="H18" s="339">
        <f t="shared" si="5"/>
        <v>0</v>
      </c>
      <c r="I18" s="337">
        <f t="shared" si="6"/>
        <v>2.3293429072868954</v>
      </c>
      <c r="J18" s="340">
        <f t="shared" si="7"/>
        <v>1.1270725254370304</v>
      </c>
      <c r="K18" s="348">
        <f t="shared" si="8"/>
        <v>1.0000001749469289</v>
      </c>
      <c r="L18" s="349">
        <f t="shared" si="9"/>
        <v>5.9151822169948773E-4</v>
      </c>
      <c r="M18" s="337">
        <f t="shared" si="10"/>
        <v>1.0000000001254443</v>
      </c>
      <c r="N18" s="340">
        <f t="shared" si="11"/>
        <v>1.5839461282463072E-5</v>
      </c>
      <c r="O18" s="341">
        <f t="shared" si="12"/>
        <v>1.0000000000497944</v>
      </c>
      <c r="P18" s="342">
        <f t="shared" si="13"/>
        <v>2.2688775460521914E-5</v>
      </c>
      <c r="Q18" s="343">
        <f t="shared" si="14"/>
        <v>86.496730624800776</v>
      </c>
      <c r="R18" s="344">
        <f t="shared" si="15"/>
        <v>-64.583962334696295</v>
      </c>
      <c r="S18" s="346">
        <f t="shared" si="16"/>
        <v>115.4160376653037</v>
      </c>
      <c r="U18" s="319">
        <f t="shared" si="23"/>
        <v>1000000000</v>
      </c>
      <c r="V18" s="319">
        <f t="shared" si="24"/>
        <v>2.51190801</v>
      </c>
      <c r="X18" s="345">
        <f t="shared" si="17"/>
        <v>90.362557386885015</v>
      </c>
      <c r="Y18" s="346">
        <f t="shared" si="18"/>
        <v>-64.54351502311745</v>
      </c>
      <c r="AA18" s="345">
        <f t="shared" si="19"/>
        <v>59.74329452707839</v>
      </c>
      <c r="AB18" s="346">
        <f t="shared" si="20"/>
        <v>-4.0447311578845492E-2</v>
      </c>
      <c r="AD18">
        <f t="shared" si="25"/>
        <v>0</v>
      </c>
      <c r="AE18">
        <f t="shared" si="21"/>
        <v>0</v>
      </c>
    </row>
    <row r="19" spans="1:31" x14ac:dyDescent="0.25">
      <c r="A19" s="347">
        <v>1.7378</v>
      </c>
      <c r="B19" s="364">
        <f t="shared" si="22"/>
        <v>1.7378000000000001E-3</v>
      </c>
      <c r="C19" s="337">
        <f t="shared" si="0"/>
        <v>1.0000002839716422</v>
      </c>
      <c r="D19" s="338">
        <f t="shared" si="1"/>
        <v>7.5362003035048036E-4</v>
      </c>
      <c r="E19" s="338">
        <f t="shared" si="2"/>
        <v>1.0000000000099232</v>
      </c>
      <c r="F19" s="339">
        <f t="shared" si="3"/>
        <v>4.4549191210212492E-6</v>
      </c>
      <c r="G19" s="338">
        <f t="shared" si="4"/>
        <v>1</v>
      </c>
      <c r="H19" s="339">
        <f t="shared" si="5"/>
        <v>0</v>
      </c>
      <c r="I19" s="337">
        <f t="shared" si="6"/>
        <v>2.5141553834306296</v>
      </c>
      <c r="J19" s="340">
        <f t="shared" si="7"/>
        <v>1.1617354199686436</v>
      </c>
      <c r="K19" s="348">
        <f t="shared" si="8"/>
        <v>1.0000002103304593</v>
      </c>
      <c r="L19" s="349">
        <f t="shared" si="9"/>
        <v>6.4858372226718865E-4</v>
      </c>
      <c r="M19" s="337">
        <f t="shared" si="10"/>
        <v>1.0000000001508158</v>
      </c>
      <c r="N19" s="340">
        <f t="shared" si="11"/>
        <v>1.7367541053819641E-5</v>
      </c>
      <c r="O19" s="341">
        <f t="shared" si="12"/>
        <v>1.0000000000598657</v>
      </c>
      <c r="P19" s="342">
        <f t="shared" si="13"/>
        <v>2.4877628869696564E-5</v>
      </c>
      <c r="Q19" s="343">
        <f t="shared" si="14"/>
        <v>85.833556747751885</v>
      </c>
      <c r="R19" s="344">
        <f t="shared" si="15"/>
        <v>-66.570719910156157</v>
      </c>
      <c r="S19" s="346">
        <f t="shared" si="16"/>
        <v>113.42928008984384</v>
      </c>
      <c r="U19" s="319">
        <f t="shared" si="23"/>
        <v>1000000000</v>
      </c>
      <c r="V19" s="319">
        <f t="shared" si="24"/>
        <v>3.0199488400000001</v>
      </c>
      <c r="X19" s="345">
        <f t="shared" si="17"/>
        <v>89.699383924851816</v>
      </c>
      <c r="Y19" s="346">
        <f t="shared" si="18"/>
        <v>-66.526370527935057</v>
      </c>
      <c r="AA19" s="345">
        <f t="shared" si="19"/>
        <v>59.743294112062699</v>
      </c>
      <c r="AB19" s="346">
        <f t="shared" si="20"/>
        <v>-4.434938222109986E-2</v>
      </c>
      <c r="AD19">
        <f t="shared" si="25"/>
        <v>0</v>
      </c>
      <c r="AE19">
        <f t="shared" si="21"/>
        <v>0</v>
      </c>
    </row>
    <row r="20" spans="1:31" x14ac:dyDescent="0.25">
      <c r="A20" s="347">
        <v>1.9055</v>
      </c>
      <c r="B20" s="364">
        <f t="shared" si="22"/>
        <v>1.9055000000000001E-3</v>
      </c>
      <c r="C20" s="337">
        <f t="shared" si="0"/>
        <v>1.0000003414233987</v>
      </c>
      <c r="D20" s="338">
        <f t="shared" si="1"/>
        <v>8.2634532905483528E-4</v>
      </c>
      <c r="E20" s="338">
        <f t="shared" si="2"/>
        <v>1.0000000000119309</v>
      </c>
      <c r="F20" s="339">
        <f t="shared" si="3"/>
        <v>4.8848247123343469E-6</v>
      </c>
      <c r="G20" s="338">
        <f t="shared" si="4"/>
        <v>1</v>
      </c>
      <c r="H20" s="339">
        <f t="shared" si="5"/>
        <v>0</v>
      </c>
      <c r="I20" s="337">
        <f t="shared" si="6"/>
        <v>2.7198330140160776</v>
      </c>
      <c r="J20" s="340">
        <f t="shared" si="7"/>
        <v>1.1942944419505026</v>
      </c>
      <c r="K20" s="348">
        <f t="shared" si="8"/>
        <v>1.0000002528834928</v>
      </c>
      <c r="L20" s="349">
        <f t="shared" si="9"/>
        <v>7.1117288969958835E-4</v>
      </c>
      <c r="M20" s="337">
        <f t="shared" si="10"/>
        <v>1.0000000001813281</v>
      </c>
      <c r="N20" s="340">
        <f t="shared" si="11"/>
        <v>1.9043531751283316E-5</v>
      </c>
      <c r="O20" s="341">
        <f t="shared" si="12"/>
        <v>1.0000000000719775</v>
      </c>
      <c r="P20" s="342">
        <f t="shared" si="13"/>
        <v>2.7278352981713613E-5</v>
      </c>
      <c r="Q20" s="343">
        <f t="shared" si="14"/>
        <v>85.150554098369952</v>
      </c>
      <c r="R20" s="344">
        <f t="shared" si="15"/>
        <v>-68.437004161242271</v>
      </c>
      <c r="S20" s="346">
        <f t="shared" si="16"/>
        <v>111.56299583875773</v>
      </c>
      <c r="U20" s="319">
        <f t="shared" si="23"/>
        <v>1000000000</v>
      </c>
      <c r="V20" s="319">
        <f t="shared" si="24"/>
        <v>3.63093025</v>
      </c>
      <c r="X20" s="345">
        <f t="shared" si="17"/>
        <v>89.016381774577113</v>
      </c>
      <c r="Y20" s="346">
        <f t="shared" si="18"/>
        <v>-68.388375006753265</v>
      </c>
      <c r="AA20" s="345">
        <f t="shared" si="19"/>
        <v>59.743293612955469</v>
      </c>
      <c r="AB20" s="346">
        <f t="shared" si="20"/>
        <v>-4.8629154489000535E-2</v>
      </c>
      <c r="AD20">
        <f t="shared" si="25"/>
        <v>0</v>
      </c>
      <c r="AE20">
        <f t="shared" si="21"/>
        <v>0</v>
      </c>
    </row>
    <row r="21" spans="1:31" x14ac:dyDescent="0.25">
      <c r="A21" s="347">
        <v>2.0893000000000002</v>
      </c>
      <c r="B21" s="364">
        <f t="shared" si="22"/>
        <v>2.0893000000000001E-3</v>
      </c>
      <c r="C21" s="337">
        <f t="shared" si="0"/>
        <v>1.0000004104657914</v>
      </c>
      <c r="D21" s="338">
        <f t="shared" si="1"/>
        <v>9.0605259329691221E-4</v>
      </c>
      <c r="E21" s="338">
        <f t="shared" si="2"/>
        <v>1.0000000000143434</v>
      </c>
      <c r="F21" s="339">
        <f t="shared" si="3"/>
        <v>5.3560032912431046E-6</v>
      </c>
      <c r="G21" s="338">
        <f t="shared" si="4"/>
        <v>1</v>
      </c>
      <c r="H21" s="339">
        <f t="shared" si="5"/>
        <v>0</v>
      </c>
      <c r="I21" s="337">
        <f t="shared" si="6"/>
        <v>2.9480820916796118</v>
      </c>
      <c r="J21" s="340">
        <f t="shared" si="7"/>
        <v>1.224726171661835</v>
      </c>
      <c r="K21" s="348">
        <f t="shared" si="8"/>
        <v>1.0000003040214125</v>
      </c>
      <c r="L21" s="349">
        <f t="shared" si="9"/>
        <v>7.7977090936432575E-4</v>
      </c>
      <c r="M21" s="337">
        <f t="shared" si="10"/>
        <v>1.0000000002179961</v>
      </c>
      <c r="N21" s="340">
        <f t="shared" si="11"/>
        <v>2.0880425550765474E-5</v>
      </c>
      <c r="O21" s="341">
        <f t="shared" si="12"/>
        <v>1.0000000000865326</v>
      </c>
      <c r="P21" s="342">
        <f t="shared" si="13"/>
        <v>2.9909558061030717E-5</v>
      </c>
      <c r="Q21" s="343">
        <f t="shared" si="14"/>
        <v>84.450607310845072</v>
      </c>
      <c r="R21" s="344">
        <f t="shared" si="15"/>
        <v>-70.181479358469929</v>
      </c>
      <c r="S21" s="346">
        <f t="shared" si="16"/>
        <v>109.81852064153007</v>
      </c>
      <c r="U21" s="319">
        <f t="shared" si="23"/>
        <v>1000000000</v>
      </c>
      <c r="V21" s="319">
        <f t="shared" si="24"/>
        <v>4.3651744900000002</v>
      </c>
      <c r="X21" s="345">
        <f t="shared" si="17"/>
        <v>88.316435586852066</v>
      </c>
      <c r="Y21" s="346">
        <f t="shared" si="18"/>
        <v>-70.128159553735841</v>
      </c>
      <c r="AA21" s="345">
        <f t="shared" si="19"/>
        <v>59.743293013155629</v>
      </c>
      <c r="AB21" s="346">
        <f t="shared" si="20"/>
        <v>-5.331980473407523E-2</v>
      </c>
      <c r="AD21">
        <f t="shared" si="25"/>
        <v>0</v>
      </c>
      <c r="AE21">
        <f t="shared" si="21"/>
        <v>0</v>
      </c>
    </row>
    <row r="22" spans="1:31" x14ac:dyDescent="0.25">
      <c r="A22" s="347">
        <v>2.2909000000000002</v>
      </c>
      <c r="B22" s="364">
        <f t="shared" si="22"/>
        <v>2.2909000000000002E-3</v>
      </c>
      <c r="C22" s="337">
        <f t="shared" si="0"/>
        <v>1.0000004935005105</v>
      </c>
      <c r="D22" s="338">
        <f t="shared" si="1"/>
        <v>9.9347904613115772E-4</v>
      </c>
      <c r="E22" s="338">
        <f t="shared" si="2"/>
        <v>1.0000000000172449</v>
      </c>
      <c r="F22" s="339">
        <f t="shared" si="3"/>
        <v>5.8728128750706427E-6</v>
      </c>
      <c r="G22" s="338">
        <f t="shared" si="4"/>
        <v>1</v>
      </c>
      <c r="H22" s="339">
        <f t="shared" si="5"/>
        <v>0</v>
      </c>
      <c r="I22" s="337">
        <f t="shared" si="6"/>
        <v>3.2011042939150989</v>
      </c>
      <c r="J22" s="340">
        <f t="shared" si="7"/>
        <v>1.2530861084684439</v>
      </c>
      <c r="K22" s="348">
        <f t="shared" si="8"/>
        <v>1.0000003655230889</v>
      </c>
      <c r="L22" s="349">
        <f t="shared" si="9"/>
        <v>8.5501225435279408E-4</v>
      </c>
      <c r="M22" s="337">
        <f t="shared" si="10"/>
        <v>1.0000000002620952</v>
      </c>
      <c r="N22" s="340">
        <f t="shared" si="11"/>
        <v>2.2895212220764034E-5</v>
      </c>
      <c r="O22" s="341">
        <f t="shared" si="12"/>
        <v>1.0000000001040377</v>
      </c>
      <c r="P22" s="342">
        <f t="shared" si="13"/>
        <v>3.2795580607324209E-5</v>
      </c>
      <c r="Q22" s="343">
        <f t="shared" si="14"/>
        <v>83.73540209684883</v>
      </c>
      <c r="R22" s="344">
        <f t="shared" si="15"/>
        <v>-71.80733338653296</v>
      </c>
      <c r="S22" s="346">
        <f t="shared" si="16"/>
        <v>108.19266661346704</v>
      </c>
      <c r="U22" s="319">
        <f t="shared" si="23"/>
        <v>1000000000</v>
      </c>
      <c r="V22" s="319">
        <f t="shared" si="24"/>
        <v>5.2482228100000006</v>
      </c>
      <c r="X22" s="345">
        <f t="shared" si="17"/>
        <v>87.60123109421275</v>
      </c>
      <c r="Y22" s="346">
        <f t="shared" si="18"/>
        <v>-71.748868669124278</v>
      </c>
      <c r="AA22" s="345">
        <f t="shared" si="19"/>
        <v>59.74329229179871</v>
      </c>
      <c r="AB22" s="346">
        <f t="shared" si="20"/>
        <v>-5.8464717408672949E-2</v>
      </c>
      <c r="AD22">
        <f t="shared" si="25"/>
        <v>0</v>
      </c>
      <c r="AE22">
        <f t="shared" si="21"/>
        <v>0</v>
      </c>
    </row>
    <row r="23" spans="1:31" x14ac:dyDescent="0.25">
      <c r="A23" s="347">
        <v>2.5118999999999998</v>
      </c>
      <c r="B23" s="364">
        <f t="shared" si="22"/>
        <v>2.5118999999999996E-3</v>
      </c>
      <c r="C23" s="337">
        <f t="shared" si="0"/>
        <v>1.0000005933077374</v>
      </c>
      <c r="D23" s="338">
        <f t="shared" si="1"/>
        <v>1.0893185429000124E-3</v>
      </c>
      <c r="E23" s="338">
        <f t="shared" si="2"/>
        <v>1.0000000000207327</v>
      </c>
      <c r="F23" s="339">
        <f t="shared" si="3"/>
        <v>6.4393551271795567E-6</v>
      </c>
      <c r="G23" s="338">
        <f t="shared" si="4"/>
        <v>1</v>
      </c>
      <c r="H23" s="339">
        <f t="shared" si="5"/>
        <v>0</v>
      </c>
      <c r="I23" s="337">
        <f t="shared" si="6"/>
        <v>3.4809808926774934</v>
      </c>
      <c r="J23" s="340">
        <f t="shared" si="7"/>
        <v>1.2794152620972434</v>
      </c>
      <c r="K23" s="348">
        <f t="shared" si="8"/>
        <v>1.0000004394477311</v>
      </c>
      <c r="L23" s="349">
        <f t="shared" si="9"/>
        <v>9.3749407475806625E-4</v>
      </c>
      <c r="M23" s="337">
        <f t="shared" si="10"/>
        <v>1.0000000003151026</v>
      </c>
      <c r="N23" s="340">
        <f t="shared" si="11"/>
        <v>2.5103882131609787E-5</v>
      </c>
      <c r="O23" s="341">
        <f t="shared" si="12"/>
        <v>1.0000000001250786</v>
      </c>
      <c r="P23" s="342">
        <f t="shared" si="13"/>
        <v>3.5959325561478417E-5</v>
      </c>
      <c r="Q23" s="343">
        <f t="shared" si="14"/>
        <v>83.007365562033016</v>
      </c>
      <c r="R23" s="344">
        <f t="shared" si="15"/>
        <v>-73.316923464036989</v>
      </c>
      <c r="S23" s="346">
        <f t="shared" si="16"/>
        <v>106.68307653596301</v>
      </c>
      <c r="U23" s="319">
        <f t="shared" si="23"/>
        <v>1000000000</v>
      </c>
      <c r="V23" s="319">
        <f t="shared" si="24"/>
        <v>6.309641609999999</v>
      </c>
      <c r="X23" s="345">
        <f t="shared" si="17"/>
        <v>86.873195426463482</v>
      </c>
      <c r="Y23" s="346">
        <f t="shared" si="18"/>
        <v>-73.252818739193003</v>
      </c>
      <c r="AA23" s="345">
        <f t="shared" si="19"/>
        <v>59.743291424732156</v>
      </c>
      <c r="AB23" s="346">
        <f t="shared" si="20"/>
        <v>-6.4104724843997846E-2</v>
      </c>
      <c r="AD23">
        <f t="shared" si="25"/>
        <v>0</v>
      </c>
      <c r="AE23">
        <f t="shared" si="21"/>
        <v>0</v>
      </c>
    </row>
    <row r="24" spans="1:31" x14ac:dyDescent="0.25">
      <c r="A24" s="347">
        <v>2.7542</v>
      </c>
      <c r="B24" s="364">
        <f t="shared" si="22"/>
        <v>2.7542000000000001E-3</v>
      </c>
      <c r="C24" s="337">
        <f t="shared" si="0"/>
        <v>1.0000007132901749</v>
      </c>
      <c r="D24" s="338">
        <f t="shared" si="1"/>
        <v>1.1943950359784925E-3</v>
      </c>
      <c r="E24" s="338">
        <f t="shared" si="2"/>
        <v>1.0000000000249254</v>
      </c>
      <c r="F24" s="339">
        <f t="shared" si="3"/>
        <v>7.0605007728127572E-6</v>
      </c>
      <c r="G24" s="338">
        <f t="shared" si="4"/>
        <v>1</v>
      </c>
      <c r="H24" s="339">
        <f t="shared" si="5"/>
        <v>0</v>
      </c>
      <c r="I24" s="337">
        <f t="shared" si="6"/>
        <v>3.7901747755233566</v>
      </c>
      <c r="J24" s="340">
        <f t="shared" si="7"/>
        <v>1.3037951368971981</v>
      </c>
      <c r="K24" s="348">
        <f t="shared" si="8"/>
        <v>1.0000005283156348</v>
      </c>
      <c r="L24" s="349">
        <f t="shared" si="9"/>
        <v>1.0279254857775803E-3</v>
      </c>
      <c r="M24" s="337">
        <f t="shared" si="10"/>
        <v>1.0000000003788245</v>
      </c>
      <c r="N24" s="340">
        <f t="shared" si="11"/>
        <v>2.7525423848060224E-5</v>
      </c>
      <c r="O24" s="341">
        <f t="shared" si="12"/>
        <v>1.0000000001503728</v>
      </c>
      <c r="P24" s="342">
        <f t="shared" si="13"/>
        <v>3.9427992540799834E-5</v>
      </c>
      <c r="Q24" s="343">
        <f t="shared" si="14"/>
        <v>82.268213340284447</v>
      </c>
      <c r="R24" s="344">
        <f t="shared" si="15"/>
        <v>-74.714928393196573</v>
      </c>
      <c r="S24" s="346">
        <f t="shared" si="16"/>
        <v>105.28507160680343</v>
      </c>
      <c r="U24" s="319">
        <f t="shared" si="23"/>
        <v>1000000000</v>
      </c>
      <c r="V24" s="319">
        <f t="shared" si="24"/>
        <v>7.5856176399999997</v>
      </c>
      <c r="X24" s="345">
        <f t="shared" si="17"/>
        <v>86.134044247051747</v>
      </c>
      <c r="Y24" s="346">
        <f t="shared" si="18"/>
        <v>-74.644640077811573</v>
      </c>
      <c r="AA24" s="345">
        <f t="shared" si="19"/>
        <v>59.74329038239533</v>
      </c>
      <c r="AB24" s="346">
        <f t="shared" si="20"/>
        <v>-7.0288315384989947E-2</v>
      </c>
      <c r="AD24">
        <f t="shared" si="25"/>
        <v>0</v>
      </c>
      <c r="AE24">
        <f t="shared" si="21"/>
        <v>0</v>
      </c>
    </row>
    <row r="25" spans="1:31" x14ac:dyDescent="0.25">
      <c r="A25" s="347">
        <v>3.02</v>
      </c>
      <c r="B25" s="364">
        <f t="shared" si="22"/>
        <v>3.0200000000000001E-3</v>
      </c>
      <c r="C25" s="337">
        <f t="shared" si="0"/>
        <v>1.0000008576086419</v>
      </c>
      <c r="D25" s="338">
        <f t="shared" si="1"/>
        <v>1.3096625741087914E-3</v>
      </c>
      <c r="E25" s="338">
        <f t="shared" si="2"/>
        <v>1.0000000000299685</v>
      </c>
      <c r="F25" s="339">
        <f t="shared" si="3"/>
        <v>7.7418895990933248E-6</v>
      </c>
      <c r="G25" s="338">
        <f t="shared" si="4"/>
        <v>1</v>
      </c>
      <c r="H25" s="339">
        <f t="shared" si="5"/>
        <v>0</v>
      </c>
      <c r="I25" s="337">
        <f t="shared" si="6"/>
        <v>4.1315401060319124</v>
      </c>
      <c r="J25" s="340">
        <f t="shared" si="7"/>
        <v>1.3263280025817767</v>
      </c>
      <c r="K25" s="348">
        <f t="shared" si="8"/>
        <v>1.0000006352086126</v>
      </c>
      <c r="L25" s="349">
        <f t="shared" si="9"/>
        <v>1.127127567288985E-3</v>
      </c>
      <c r="M25" s="337">
        <f t="shared" si="10"/>
        <v>1.0000000004554712</v>
      </c>
      <c r="N25" s="340">
        <f t="shared" si="11"/>
        <v>3.0181824129291362E-5</v>
      </c>
      <c r="O25" s="341">
        <f t="shared" si="12"/>
        <v>1.0000000001807974</v>
      </c>
      <c r="P25" s="342">
        <f t="shared" si="13"/>
        <v>4.3233075839022139E-5</v>
      </c>
      <c r="Q25" s="343">
        <f t="shared" si="14"/>
        <v>81.519158294849788</v>
      </c>
      <c r="R25" s="344">
        <f t="shared" si="15"/>
        <v>-76.007218156629506</v>
      </c>
      <c r="S25" s="346">
        <f t="shared" si="16"/>
        <v>103.99278184337049</v>
      </c>
      <c r="U25" s="319">
        <f t="shared" si="23"/>
        <v>1000000000</v>
      </c>
      <c r="V25" s="319">
        <f t="shared" si="24"/>
        <v>9.1204000000000001</v>
      </c>
      <c r="X25" s="345">
        <f t="shared" si="17"/>
        <v>85.384990455370854</v>
      </c>
      <c r="Y25" s="346">
        <f t="shared" si="18"/>
        <v>-75.930146523277301</v>
      </c>
      <c r="AA25" s="345">
        <f t="shared" si="19"/>
        <v>59.743289128641585</v>
      </c>
      <c r="AB25" s="346">
        <f t="shared" si="20"/>
        <v>-7.7071633352201019E-2</v>
      </c>
      <c r="AD25">
        <f t="shared" si="25"/>
        <v>0</v>
      </c>
      <c r="AE25">
        <f t="shared" si="21"/>
        <v>0</v>
      </c>
    </row>
    <row r="26" spans="1:31" x14ac:dyDescent="0.25">
      <c r="A26" s="347">
        <v>3.3113000000000001</v>
      </c>
      <c r="B26" s="364">
        <f t="shared" si="22"/>
        <v>3.3113000000000001E-3</v>
      </c>
      <c r="C26" s="337">
        <f t="shared" si="0"/>
        <v>1.0000010310323293</v>
      </c>
      <c r="D26" s="338">
        <f t="shared" si="1"/>
        <v>1.4359884702839301E-3</v>
      </c>
      <c r="E26" s="338">
        <f t="shared" si="2"/>
        <v>1.0000000000360285</v>
      </c>
      <c r="F26" s="339">
        <f t="shared" si="3"/>
        <v>8.488648685223232E-6</v>
      </c>
      <c r="G26" s="338">
        <f t="shared" si="4"/>
        <v>1</v>
      </c>
      <c r="H26" s="339">
        <f t="shared" si="5"/>
        <v>0</v>
      </c>
      <c r="I26" s="337">
        <f t="shared" si="6"/>
        <v>4.5076810458640582</v>
      </c>
      <c r="J26" s="340">
        <f t="shared" si="7"/>
        <v>1.3470915928041771</v>
      </c>
      <c r="K26" s="348">
        <f t="shared" si="8"/>
        <v>1.0000007636590844</v>
      </c>
      <c r="L26" s="349">
        <f t="shared" si="9"/>
        <v>1.235846752966016E-3</v>
      </c>
      <c r="M26" s="337">
        <f t="shared" si="10"/>
        <v>1.0000000005475755</v>
      </c>
      <c r="N26" s="340">
        <f t="shared" si="11"/>
        <v>3.3093070938140998E-5</v>
      </c>
      <c r="O26" s="341">
        <f t="shared" si="12"/>
        <v>1.0000000002173579</v>
      </c>
      <c r="P26" s="342">
        <f t="shared" si="13"/>
        <v>4.740320663229742E-5</v>
      </c>
      <c r="Q26" s="343">
        <f t="shared" si="14"/>
        <v>80.762333788068688</v>
      </c>
      <c r="R26" s="344">
        <f t="shared" si="15"/>
        <v>-77.198255982381554</v>
      </c>
      <c r="S26" s="346">
        <f t="shared" si="16"/>
        <v>102.80174401761845</v>
      </c>
      <c r="U26" s="319">
        <f t="shared" si="23"/>
        <v>1000000000</v>
      </c>
      <c r="V26" s="319">
        <f t="shared" si="24"/>
        <v>10.964707690000001</v>
      </c>
      <c r="X26" s="345">
        <f t="shared" si="17"/>
        <v>84.628167455192226</v>
      </c>
      <c r="Y26" s="346">
        <f t="shared" si="18"/>
        <v>-77.113750263576293</v>
      </c>
      <c r="AA26" s="345">
        <f t="shared" si="19"/>
        <v>59.743287622039077</v>
      </c>
      <c r="AB26" s="346">
        <f t="shared" si="20"/>
        <v>-8.4505718805262905E-2</v>
      </c>
      <c r="AD26">
        <f t="shared" si="25"/>
        <v>0</v>
      </c>
      <c r="AE26">
        <f t="shared" si="21"/>
        <v>0</v>
      </c>
    </row>
    <row r="27" spans="1:31" x14ac:dyDescent="0.25">
      <c r="A27" s="347">
        <v>3.6307999999999998</v>
      </c>
      <c r="B27" s="364">
        <f t="shared" si="22"/>
        <v>3.6308E-3</v>
      </c>
      <c r="C27" s="337">
        <f t="shared" si="0"/>
        <v>1.0000012395950499</v>
      </c>
      <c r="D27" s="338">
        <f t="shared" si="1"/>
        <v>1.5745435970685694E-3</v>
      </c>
      <c r="E27" s="338">
        <f t="shared" si="2"/>
        <v>1.0000000000433167</v>
      </c>
      <c r="F27" s="339">
        <f t="shared" si="3"/>
        <v>9.3076995881251343E-6</v>
      </c>
      <c r="G27" s="338">
        <f t="shared" si="4"/>
        <v>1</v>
      </c>
      <c r="H27" s="339">
        <f t="shared" si="5"/>
        <v>0</v>
      </c>
      <c r="I27" s="337">
        <f t="shared" si="6"/>
        <v>4.9221112691105535</v>
      </c>
      <c r="J27" s="340">
        <f t="shared" si="7"/>
        <v>1.3662072228114244</v>
      </c>
      <c r="K27" s="348">
        <f t="shared" si="8"/>
        <v>1.0000009181361433</v>
      </c>
      <c r="L27" s="349">
        <f t="shared" si="9"/>
        <v>1.3550907282835649E-3</v>
      </c>
      <c r="M27" s="337">
        <f t="shared" si="10"/>
        <v>1.0000000006583423</v>
      </c>
      <c r="N27" s="340">
        <f t="shared" si="11"/>
        <v>3.6286148024440434E-5</v>
      </c>
      <c r="O27" s="341">
        <f t="shared" si="12"/>
        <v>1.0000000002613261</v>
      </c>
      <c r="P27" s="342">
        <f t="shared" si="13"/>
        <v>5.1977037008430778E-5</v>
      </c>
      <c r="Q27" s="343">
        <f t="shared" si="14"/>
        <v>79.998368348209794</v>
      </c>
      <c r="R27" s="344">
        <f t="shared" si="15"/>
        <v>-78.295005436117805</v>
      </c>
      <c r="S27" s="346">
        <f t="shared" si="16"/>
        <v>101.7049945638822</v>
      </c>
      <c r="U27" s="319">
        <f t="shared" si="23"/>
        <v>1000000000</v>
      </c>
      <c r="V27" s="319">
        <f t="shared" si="24"/>
        <v>13.182708639999998</v>
      </c>
      <c r="X27" s="345">
        <f t="shared" si="17"/>
        <v>83.864203827202658</v>
      </c>
      <c r="Y27" s="346">
        <f t="shared" si="18"/>
        <v>-78.202345960291737</v>
      </c>
      <c r="AA27" s="345">
        <f t="shared" si="19"/>
        <v>59.743285810169759</v>
      </c>
      <c r="AB27" s="346">
        <f t="shared" si="20"/>
        <v>-9.265947582605831E-2</v>
      </c>
      <c r="AD27">
        <f t="shared" si="25"/>
        <v>0</v>
      </c>
      <c r="AE27">
        <f t="shared" si="21"/>
        <v>0</v>
      </c>
    </row>
    <row r="28" spans="1:31" x14ac:dyDescent="0.25">
      <c r="A28" s="347">
        <v>3.9811000000000001</v>
      </c>
      <c r="B28" s="364">
        <f t="shared" si="22"/>
        <v>3.9811000000000004E-3</v>
      </c>
      <c r="C28" s="337">
        <f t="shared" si="0"/>
        <v>1.0000014903260701</v>
      </c>
      <c r="D28" s="338">
        <f t="shared" si="1"/>
        <v>1.7264554551338568E-3</v>
      </c>
      <c r="E28" s="338">
        <f t="shared" si="2"/>
        <v>1.0000000000520783</v>
      </c>
      <c r="F28" s="339">
        <f t="shared" si="3"/>
        <v>1.020570751076031E-5</v>
      </c>
      <c r="G28" s="338">
        <f t="shared" si="4"/>
        <v>1</v>
      </c>
      <c r="H28" s="339">
        <f t="shared" si="5"/>
        <v>0</v>
      </c>
      <c r="I28" s="337">
        <f t="shared" si="6"/>
        <v>5.3782254844225221</v>
      </c>
      <c r="J28" s="340">
        <f t="shared" si="7"/>
        <v>1.3837730233977457</v>
      </c>
      <c r="K28" s="348">
        <f t="shared" si="8"/>
        <v>1.0000011038461916</v>
      </c>
      <c r="L28" s="349">
        <f t="shared" si="9"/>
        <v>1.4858298530527265E-3</v>
      </c>
      <c r="M28" s="337">
        <f t="shared" si="10"/>
        <v>1.0000000007915042</v>
      </c>
      <c r="N28" s="340">
        <f t="shared" si="11"/>
        <v>3.9787039739802666E-5</v>
      </c>
      <c r="O28" s="341">
        <f t="shared" si="12"/>
        <v>1.0000000003141842</v>
      </c>
      <c r="P28" s="342">
        <f t="shared" si="13"/>
        <v>5.6991787496466864E-5</v>
      </c>
      <c r="Q28" s="343">
        <f t="shared" si="14"/>
        <v>79.228616199393272</v>
      </c>
      <c r="R28" s="344">
        <f t="shared" si="15"/>
        <v>-79.303101241187136</v>
      </c>
      <c r="S28" s="346">
        <f t="shared" si="16"/>
        <v>100.69689875881286</v>
      </c>
      <c r="U28" s="319">
        <f t="shared" si="23"/>
        <v>1000000000</v>
      </c>
      <c r="V28" s="319">
        <f t="shared" si="24"/>
        <v>15.849157210000001</v>
      </c>
      <c r="X28" s="345">
        <f t="shared" si="17"/>
        <v>83.09445385658816</v>
      </c>
      <c r="Y28" s="346">
        <f t="shared" si="18"/>
        <v>-79.201501985051394</v>
      </c>
      <c r="AA28" s="345">
        <f t="shared" si="19"/>
        <v>59.743283631967742</v>
      </c>
      <c r="AB28" s="346">
        <f t="shared" si="20"/>
        <v>-0.10159925613574419</v>
      </c>
      <c r="AD28">
        <f t="shared" si="25"/>
        <v>0</v>
      </c>
      <c r="AE28">
        <f t="shared" si="21"/>
        <v>0</v>
      </c>
    </row>
    <row r="29" spans="1:31" x14ac:dyDescent="0.25">
      <c r="A29" s="347">
        <v>4.3651999999999997</v>
      </c>
      <c r="B29" s="364">
        <f t="shared" si="22"/>
        <v>4.3651999999999996E-3</v>
      </c>
      <c r="C29" s="337">
        <f t="shared" si="0"/>
        <v>1.0000017917745059</v>
      </c>
      <c r="D29" s="338">
        <f t="shared" si="1"/>
        <v>1.8930250026903026E-3</v>
      </c>
      <c r="E29" s="338">
        <f t="shared" si="2"/>
        <v>1.0000000000626121</v>
      </c>
      <c r="F29" s="339">
        <f t="shared" si="3"/>
        <v>1.1190363071929378E-5</v>
      </c>
      <c r="G29" s="338">
        <f t="shared" si="4"/>
        <v>1</v>
      </c>
      <c r="H29" s="339">
        <f t="shared" si="5"/>
        <v>0</v>
      </c>
      <c r="I29" s="337">
        <f t="shared" si="6"/>
        <v>5.879946440667883</v>
      </c>
      <c r="J29" s="340">
        <f t="shared" si="7"/>
        <v>1.3998960531990656</v>
      </c>
      <c r="K29" s="348">
        <f t="shared" si="8"/>
        <v>1.000001327121347</v>
      </c>
      <c r="L29" s="349">
        <f t="shared" si="9"/>
        <v>1.629183770594355E-3</v>
      </c>
      <c r="M29" s="337">
        <f t="shared" si="10"/>
        <v>1.0000000009516019</v>
      </c>
      <c r="N29" s="340">
        <f t="shared" si="11"/>
        <v>4.3625728028346338E-5</v>
      </c>
      <c r="O29" s="341">
        <f t="shared" si="12"/>
        <v>1.0000000003777343</v>
      </c>
      <c r="P29" s="342">
        <f t="shared" si="13"/>
        <v>6.2490404860718918E-5</v>
      </c>
      <c r="Q29" s="343">
        <f t="shared" si="14"/>
        <v>78.453928239848381</v>
      </c>
      <c r="R29" s="344">
        <f t="shared" si="15"/>
        <v>-80.228691532040642</v>
      </c>
      <c r="S29" s="346">
        <f t="shared" si="16"/>
        <v>99.771308467959358</v>
      </c>
      <c r="U29" s="319">
        <f t="shared" si="23"/>
        <v>1000000000</v>
      </c>
      <c r="V29" s="319">
        <f t="shared" si="24"/>
        <v>19.054971039999998</v>
      </c>
      <c r="X29" s="345">
        <f t="shared" si="17"/>
        <v>82.319768515847315</v>
      </c>
      <c r="Y29" s="346">
        <f t="shared" si="18"/>
        <v>-80.117289912863114</v>
      </c>
      <c r="AA29" s="345">
        <f t="shared" si="19"/>
        <v>59.743281013163703</v>
      </c>
      <c r="AB29" s="346">
        <f t="shared" si="20"/>
        <v>-0.11140161917753295</v>
      </c>
      <c r="AD29">
        <f t="shared" si="25"/>
        <v>0</v>
      </c>
      <c r="AE29">
        <f t="shared" si="21"/>
        <v>0</v>
      </c>
    </row>
    <row r="30" spans="1:31" x14ac:dyDescent="0.25">
      <c r="A30" s="347">
        <v>4.7862999999999998</v>
      </c>
      <c r="B30" s="364">
        <f t="shared" si="22"/>
        <v>4.7862999999999994E-3</v>
      </c>
      <c r="C30" s="337">
        <f t="shared" si="0"/>
        <v>1.0000021541444069</v>
      </c>
      <c r="D30" s="338">
        <f t="shared" si="1"/>
        <v>2.0756399206277748E-3</v>
      </c>
      <c r="E30" s="338">
        <f t="shared" si="2"/>
        <v>1.0000000000752749</v>
      </c>
      <c r="F30" s="339">
        <f t="shared" si="3"/>
        <v>1.2269869598351378E-5</v>
      </c>
      <c r="G30" s="338">
        <f t="shared" si="4"/>
        <v>1</v>
      </c>
      <c r="H30" s="339">
        <f t="shared" si="5"/>
        <v>0</v>
      </c>
      <c r="I30" s="337">
        <f t="shared" si="6"/>
        <v>6.4314666629684858</v>
      </c>
      <c r="J30" s="340">
        <f t="shared" si="7"/>
        <v>1.4146773852452896</v>
      </c>
      <c r="K30" s="348">
        <f t="shared" si="8"/>
        <v>1.0000015955194987</v>
      </c>
      <c r="L30" s="349">
        <f t="shared" si="9"/>
        <v>1.7863467621019407E-3</v>
      </c>
      <c r="M30" s="337">
        <f t="shared" si="10"/>
        <v>1.0000000011440551</v>
      </c>
      <c r="N30" s="340">
        <f t="shared" si="11"/>
        <v>4.7834193630368334E-5</v>
      </c>
      <c r="O30" s="341">
        <f t="shared" si="12"/>
        <v>1.0000000004541276</v>
      </c>
      <c r="P30" s="342">
        <f t="shared" si="13"/>
        <v>6.8518698983180415E-5</v>
      </c>
      <c r="Q30" s="343">
        <f t="shared" si="14"/>
        <v>77.675194368206746</v>
      </c>
      <c r="R30" s="344">
        <f t="shared" si="15"/>
        <v>-81.077582434765858</v>
      </c>
      <c r="S30" s="346">
        <f t="shared" si="16"/>
        <v>98.922417565234142</v>
      </c>
      <c r="U30" s="319">
        <f t="shared" si="23"/>
        <v>1000000000</v>
      </c>
      <c r="V30" s="319">
        <f t="shared" si="24"/>
        <v>22.908667689999998</v>
      </c>
      <c r="X30" s="345">
        <f t="shared" si="17"/>
        <v>81.541037792257981</v>
      </c>
      <c r="Y30" s="346">
        <f t="shared" si="18"/>
        <v>-80.955434206859124</v>
      </c>
      <c r="AA30" s="345">
        <f t="shared" si="19"/>
        <v>59.743277865111388</v>
      </c>
      <c r="AB30" s="346">
        <f t="shared" si="20"/>
        <v>-0.12214822790671752</v>
      </c>
      <c r="AD30">
        <f t="shared" si="25"/>
        <v>0</v>
      </c>
      <c r="AE30">
        <f t="shared" si="21"/>
        <v>0</v>
      </c>
    </row>
    <row r="31" spans="1:31" x14ac:dyDescent="0.25">
      <c r="A31" s="347">
        <v>5.2481</v>
      </c>
      <c r="B31" s="364">
        <f t="shared" si="22"/>
        <v>5.2481000000000003E-3</v>
      </c>
      <c r="C31" s="337">
        <f t="shared" si="0"/>
        <v>1.0000025898767091</v>
      </c>
      <c r="D31" s="338">
        <f t="shared" si="1"/>
        <v>2.275904707836205E-3</v>
      </c>
      <c r="E31" s="338">
        <f t="shared" si="2"/>
        <v>1.0000000000905012</v>
      </c>
      <c r="F31" s="339">
        <f t="shared" si="3"/>
        <v>1.3453712186543722E-5</v>
      </c>
      <c r="G31" s="338">
        <f t="shared" si="4"/>
        <v>1</v>
      </c>
      <c r="H31" s="339">
        <f t="shared" si="5"/>
        <v>0</v>
      </c>
      <c r="I31" s="337">
        <f t="shared" si="6"/>
        <v>7.0376420512324209</v>
      </c>
      <c r="J31" s="340">
        <f t="shared" si="7"/>
        <v>1.4282207295138589</v>
      </c>
      <c r="K31" s="348">
        <f t="shared" si="8"/>
        <v>1.0000019182553448</v>
      </c>
      <c r="L31" s="349">
        <f t="shared" si="9"/>
        <v>1.9586997106547438E-3</v>
      </c>
      <c r="M31" s="337">
        <f t="shared" si="10"/>
        <v>1.0000000013754704</v>
      </c>
      <c r="N31" s="340">
        <f t="shared" si="11"/>
        <v>5.2449414276749596E-5</v>
      </c>
      <c r="O31" s="341">
        <f t="shared" si="12"/>
        <v>1.000000000545987</v>
      </c>
      <c r="P31" s="342">
        <f t="shared" si="13"/>
        <v>7.5129637539960256E-5</v>
      </c>
      <c r="Q31" s="343">
        <f t="shared" si="14"/>
        <v>76.892850361759969</v>
      </c>
      <c r="R31" s="344">
        <f t="shared" si="15"/>
        <v>-81.855733515648723</v>
      </c>
      <c r="S31" s="346">
        <f t="shared" si="16"/>
        <v>98.144266484351277</v>
      </c>
      <c r="U31" s="319">
        <f t="shared" si="23"/>
        <v>1000000000</v>
      </c>
      <c r="V31" s="319">
        <f t="shared" si="24"/>
        <v>27.542553609999999</v>
      </c>
      <c r="X31" s="345">
        <f t="shared" si="17"/>
        <v>80.758697571190538</v>
      </c>
      <c r="Y31" s="346">
        <f t="shared" si="18"/>
        <v>-81.721800010942403</v>
      </c>
      <c r="AA31" s="345">
        <f t="shared" si="19"/>
        <v>59.743274079732053</v>
      </c>
      <c r="AB31" s="346">
        <f t="shared" si="20"/>
        <v>-0.13393350470632526</v>
      </c>
      <c r="AD31">
        <f t="shared" si="25"/>
        <v>0</v>
      </c>
      <c r="AE31">
        <f t="shared" si="21"/>
        <v>0</v>
      </c>
    </row>
    <row r="32" spans="1:31" x14ac:dyDescent="0.25">
      <c r="A32" s="347">
        <v>5.7544000000000004</v>
      </c>
      <c r="B32" s="364">
        <f t="shared" si="22"/>
        <v>5.7544000000000007E-3</v>
      </c>
      <c r="C32" s="337">
        <f t="shared" si="0"/>
        <v>1.0000031136863832</v>
      </c>
      <c r="D32" s="338">
        <f t="shared" si="1"/>
        <v>2.4954672124030816E-3</v>
      </c>
      <c r="E32" s="338">
        <f t="shared" si="2"/>
        <v>1.0000000001088054</v>
      </c>
      <c r="F32" s="339">
        <f t="shared" si="3"/>
        <v>1.4751632286980523E-5</v>
      </c>
      <c r="G32" s="338">
        <f t="shared" si="4"/>
        <v>1</v>
      </c>
      <c r="H32" s="339">
        <f t="shared" si="5"/>
        <v>0</v>
      </c>
      <c r="I32" s="337">
        <f t="shared" si="6"/>
        <v>7.7034683216688746</v>
      </c>
      <c r="J32" s="340">
        <f t="shared" si="7"/>
        <v>1.4406172980477028</v>
      </c>
      <c r="K32" s="348">
        <f t="shared" si="8"/>
        <v>1.0000023062279106</v>
      </c>
      <c r="L32" s="349">
        <f t="shared" si="9"/>
        <v>2.1476608105283936E-3</v>
      </c>
      <c r="M32" s="337">
        <f t="shared" si="10"/>
        <v>1.0000000016536637</v>
      </c>
      <c r="N32" s="340">
        <f t="shared" si="11"/>
        <v>5.7509367096311554E-5</v>
      </c>
      <c r="O32" s="341">
        <f t="shared" si="12"/>
        <v>1.0000000006564145</v>
      </c>
      <c r="P32" s="342">
        <f t="shared" si="13"/>
        <v>8.2377619766099079E-5</v>
      </c>
      <c r="Q32" s="343">
        <f t="shared" si="14"/>
        <v>76.107666638028476</v>
      </c>
      <c r="R32" s="344">
        <f t="shared" si="15"/>
        <v>-82.568388732621798</v>
      </c>
      <c r="S32" s="346">
        <f t="shared" si="16"/>
        <v>97.431611267378202</v>
      </c>
      <c r="U32" s="319">
        <f t="shared" si="23"/>
        <v>1000000000</v>
      </c>
      <c r="V32" s="319">
        <f t="shared" si="24"/>
        <v>33.113119360000006</v>
      </c>
      <c r="X32" s="345">
        <f t="shared" si="17"/>
        <v>79.973518397999271</v>
      </c>
      <c r="Y32" s="346">
        <f t="shared" si="18"/>
        <v>-82.421534309602066</v>
      </c>
      <c r="AA32" s="345">
        <f t="shared" si="19"/>
        <v>59.743269529191835</v>
      </c>
      <c r="AB32" s="346">
        <f t="shared" si="20"/>
        <v>-0.14685442301973681</v>
      </c>
      <c r="AD32">
        <f t="shared" si="25"/>
        <v>0</v>
      </c>
      <c r="AE32">
        <f t="shared" si="21"/>
        <v>0</v>
      </c>
    </row>
    <row r="33" spans="1:31" x14ac:dyDescent="0.25">
      <c r="A33" s="347">
        <v>6.3095999999999997</v>
      </c>
      <c r="B33" s="364">
        <f t="shared" si="22"/>
        <v>6.3095999999999994E-3</v>
      </c>
      <c r="C33" s="337">
        <f t="shared" si="0"/>
        <v>1.0000037435039155</v>
      </c>
      <c r="D33" s="338">
        <f t="shared" si="1"/>
        <v>2.7362354567363883E-3</v>
      </c>
      <c r="E33" s="338">
        <f t="shared" si="2"/>
        <v>1.0000000001308138</v>
      </c>
      <c r="F33" s="339">
        <f t="shared" si="3"/>
        <v>1.6174909473892438E-5</v>
      </c>
      <c r="G33" s="338">
        <f t="shared" si="4"/>
        <v>1</v>
      </c>
      <c r="H33" s="339">
        <f t="shared" si="5"/>
        <v>0</v>
      </c>
      <c r="I33" s="337">
        <f t="shared" si="6"/>
        <v>8.4347376395135658</v>
      </c>
      <c r="J33" s="340">
        <f t="shared" si="7"/>
        <v>1.4519594849492941</v>
      </c>
      <c r="K33" s="348">
        <f t="shared" si="8"/>
        <v>1.0000027727178837</v>
      </c>
      <c r="L33" s="349">
        <f t="shared" si="9"/>
        <v>2.354872173621082E-3</v>
      </c>
      <c r="M33" s="337">
        <f t="shared" si="10"/>
        <v>1.0000000019881572</v>
      </c>
      <c r="N33" s="340">
        <f t="shared" si="11"/>
        <v>6.3058025606487354E-5</v>
      </c>
      <c r="O33" s="341">
        <f t="shared" si="12"/>
        <v>1.0000000007891905</v>
      </c>
      <c r="P33" s="342">
        <f t="shared" si="13"/>
        <v>9.0325634249630883E-5</v>
      </c>
      <c r="Q33" s="343">
        <f t="shared" si="14"/>
        <v>75.319959665214085</v>
      </c>
      <c r="R33" s="344">
        <f t="shared" si="15"/>
        <v>-83.220862595569955</v>
      </c>
      <c r="S33" s="346">
        <f t="shared" si="16"/>
        <v>96.779137404430045</v>
      </c>
      <c r="U33" s="319">
        <f t="shared" si="23"/>
        <v>1000000000</v>
      </c>
      <c r="V33" s="319">
        <f t="shared" si="24"/>
        <v>39.811052159999996</v>
      </c>
      <c r="X33" s="345">
        <f t="shared" si="17"/>
        <v>79.185816896653819</v>
      </c>
      <c r="Y33" s="346">
        <f t="shared" si="18"/>
        <v>-83.059839328383418</v>
      </c>
      <c r="AA33" s="345">
        <f t="shared" si="19"/>
        <v>59.74326405772289</v>
      </c>
      <c r="AB33" s="346">
        <f t="shared" si="20"/>
        <v>-0.16102326718652807</v>
      </c>
      <c r="AD33">
        <f t="shared" si="25"/>
        <v>0</v>
      </c>
      <c r="AE33">
        <f t="shared" si="21"/>
        <v>0</v>
      </c>
    </row>
    <row r="34" spans="1:31" x14ac:dyDescent="0.25">
      <c r="A34" s="347">
        <v>6.9183000000000003</v>
      </c>
      <c r="B34" s="364">
        <f t="shared" si="22"/>
        <v>6.9183000000000005E-3</v>
      </c>
      <c r="C34" s="337">
        <f t="shared" si="0"/>
        <v>1.0000045006293983</v>
      </c>
      <c r="D34" s="338">
        <f t="shared" si="1"/>
        <v>3.0002041659372568E-3</v>
      </c>
      <c r="E34" s="338">
        <f t="shared" si="2"/>
        <v>1.0000000001572711</v>
      </c>
      <c r="F34" s="339">
        <f t="shared" si="3"/>
        <v>1.7735336029424418E-5</v>
      </c>
      <c r="G34" s="338">
        <f t="shared" si="4"/>
        <v>1</v>
      </c>
      <c r="H34" s="339">
        <f t="shared" si="5"/>
        <v>0</v>
      </c>
      <c r="I34" s="337">
        <f t="shared" si="6"/>
        <v>9.2375132262648396</v>
      </c>
      <c r="J34" s="340">
        <f t="shared" si="7"/>
        <v>1.4623295228522</v>
      </c>
      <c r="K34" s="348">
        <f t="shared" si="8"/>
        <v>1.0000033335017477</v>
      </c>
      <c r="L34" s="349">
        <f t="shared" si="9"/>
        <v>2.5820505369634592E-3</v>
      </c>
      <c r="M34" s="337">
        <f t="shared" si="10"/>
        <v>1.000000002390264</v>
      </c>
      <c r="N34" s="340">
        <f t="shared" si="11"/>
        <v>6.9141362120643822E-5</v>
      </c>
      <c r="O34" s="341">
        <f t="shared" si="12"/>
        <v>1.000000000948805</v>
      </c>
      <c r="P34" s="342">
        <f t="shared" si="13"/>
        <v>9.9039532696420867E-5</v>
      </c>
      <c r="Q34" s="343">
        <f t="shared" si="14"/>
        <v>74.530288060853977</v>
      </c>
      <c r="R34" s="344">
        <f t="shared" si="15"/>
        <v>-83.817888346279716</v>
      </c>
      <c r="S34" s="346">
        <f t="shared" si="16"/>
        <v>96.182111653720284</v>
      </c>
      <c r="U34" s="319">
        <f t="shared" si="23"/>
        <v>1000000000</v>
      </c>
      <c r="V34" s="319">
        <f t="shared" si="24"/>
        <v>47.862874890000008</v>
      </c>
      <c r="X34" s="345">
        <f t="shared" si="17"/>
        <v>78.396151869731568</v>
      </c>
      <c r="Y34" s="346">
        <f t="shared" si="18"/>
        <v>-83.641330922366478</v>
      </c>
      <c r="AA34" s="345">
        <f t="shared" si="19"/>
        <v>59.743257480285024</v>
      </c>
      <c r="AB34" s="346">
        <f t="shared" si="20"/>
        <v>-0.17655742391323889</v>
      </c>
      <c r="AD34">
        <f t="shared" si="25"/>
        <v>0</v>
      </c>
      <c r="AE34">
        <f t="shared" si="21"/>
        <v>0</v>
      </c>
    </row>
    <row r="35" spans="1:31" x14ac:dyDescent="0.25">
      <c r="A35" s="347">
        <v>7.5857999999999999</v>
      </c>
      <c r="B35" s="364">
        <f t="shared" si="22"/>
        <v>7.5858000000000002E-3</v>
      </c>
      <c r="C35" s="337">
        <f t="shared" si="0"/>
        <v>1.0000054109939784</v>
      </c>
      <c r="D35" s="338">
        <f t="shared" si="1"/>
        <v>3.2896715883084008E-3</v>
      </c>
      <c r="E35" s="338">
        <f t="shared" si="2"/>
        <v>1.0000000001890832</v>
      </c>
      <c r="F35" s="339">
        <f t="shared" si="3"/>
        <v>1.9446498713434583E-5</v>
      </c>
      <c r="G35" s="338">
        <f t="shared" si="4"/>
        <v>1</v>
      </c>
      <c r="H35" s="339">
        <f t="shared" si="5"/>
        <v>0</v>
      </c>
      <c r="I35" s="337">
        <f t="shared" si="6"/>
        <v>10.118788319032884</v>
      </c>
      <c r="J35" s="340">
        <f t="shared" si="7"/>
        <v>1.4718086882218082</v>
      </c>
      <c r="K35" s="348">
        <f t="shared" si="8"/>
        <v>1.0000040077861156</v>
      </c>
      <c r="L35" s="349">
        <f t="shared" si="9"/>
        <v>2.8311738662032929E-3</v>
      </c>
      <c r="M35" s="337">
        <f t="shared" si="10"/>
        <v>1.0000000028737557</v>
      </c>
      <c r="N35" s="340">
        <f t="shared" si="11"/>
        <v>7.5812344738696125E-5</v>
      </c>
      <c r="O35" s="341">
        <f t="shared" si="12"/>
        <v>1.0000000011407251</v>
      </c>
      <c r="P35" s="342">
        <f t="shared" si="13"/>
        <v>1.0859518772426169E-4</v>
      </c>
      <c r="Q35" s="343">
        <f t="shared" si="14"/>
        <v>73.738817254459136</v>
      </c>
      <c r="R35" s="344">
        <f t="shared" si="15"/>
        <v>-84.364147737606672</v>
      </c>
      <c r="S35" s="346">
        <f t="shared" si="16"/>
        <v>95.635852262393328</v>
      </c>
      <c r="U35" s="319">
        <f t="shared" si="23"/>
        <v>1000000000</v>
      </c>
      <c r="V35" s="319">
        <f t="shared" si="24"/>
        <v>57.544361639999998</v>
      </c>
      <c r="X35" s="345">
        <f t="shared" si="17"/>
        <v>77.6046889720145</v>
      </c>
      <c r="Y35" s="346">
        <f t="shared" si="18"/>
        <v>-84.170555595761854</v>
      </c>
      <c r="AA35" s="345">
        <f t="shared" si="19"/>
        <v>59.743249571607258</v>
      </c>
      <c r="AB35" s="346">
        <f t="shared" si="20"/>
        <v>-0.19359214184482543</v>
      </c>
      <c r="AD35">
        <f t="shared" si="25"/>
        <v>0</v>
      </c>
      <c r="AE35">
        <f t="shared" si="21"/>
        <v>0</v>
      </c>
    </row>
    <row r="36" spans="1:31" x14ac:dyDescent="0.25">
      <c r="A36" s="347">
        <v>8.3176000000000005</v>
      </c>
      <c r="B36" s="364">
        <f t="shared" si="22"/>
        <v>8.3176000000000014E-3</v>
      </c>
      <c r="C36" s="337">
        <f t="shared" si="0"/>
        <v>1.0000065053414755</v>
      </c>
      <c r="D36" s="338">
        <f t="shared" si="1"/>
        <v>3.6070226529206161E-3</v>
      </c>
      <c r="E36" s="338">
        <f t="shared" si="2"/>
        <v>1.0000000002273244</v>
      </c>
      <c r="F36" s="339">
        <f t="shared" si="3"/>
        <v>2.1322496993690824E-5</v>
      </c>
      <c r="G36" s="338">
        <f t="shared" si="4"/>
        <v>1</v>
      </c>
      <c r="H36" s="339">
        <f t="shared" si="5"/>
        <v>0</v>
      </c>
      <c r="I36" s="337">
        <f t="shared" si="6"/>
        <v>11.085826921581809</v>
      </c>
      <c r="J36" s="340">
        <f t="shared" si="7"/>
        <v>1.4804682743943978</v>
      </c>
      <c r="K36" s="348">
        <f t="shared" si="8"/>
        <v>1.0000048183422576</v>
      </c>
      <c r="L36" s="349">
        <f t="shared" si="9"/>
        <v>3.1042947381446236E-3</v>
      </c>
      <c r="M36" s="337">
        <f t="shared" si="10"/>
        <v>1.000000003454961</v>
      </c>
      <c r="N36" s="340">
        <f t="shared" si="11"/>
        <v>8.3125940356224692E-5</v>
      </c>
      <c r="O36" s="341">
        <f t="shared" si="12"/>
        <v>1.0000000013714319</v>
      </c>
      <c r="P36" s="342">
        <f t="shared" si="13"/>
        <v>1.190713350689427E-4</v>
      </c>
      <c r="Q36" s="343">
        <f t="shared" si="14"/>
        <v>72.946023120562288</v>
      </c>
      <c r="R36" s="344">
        <f t="shared" si="15"/>
        <v>-84.863751471970403</v>
      </c>
      <c r="S36" s="346">
        <f t="shared" si="16"/>
        <v>95.136248528029597</v>
      </c>
      <c r="U36" s="319">
        <f t="shared" si="23"/>
        <v>1000000000</v>
      </c>
      <c r="V36" s="319">
        <f t="shared" si="24"/>
        <v>69.182469760000004</v>
      </c>
      <c r="X36" s="345">
        <f t="shared" si="17"/>
        <v>76.811904345114343</v>
      </c>
      <c r="Y36" s="346">
        <f t="shared" si="18"/>
        <v>-84.651483701233403</v>
      </c>
      <c r="AA36" s="345">
        <f t="shared" si="19"/>
        <v>59.743240064610575</v>
      </c>
      <c r="AB36" s="346">
        <f t="shared" si="20"/>
        <v>-0.21226777073700379</v>
      </c>
      <c r="AD36">
        <f t="shared" si="25"/>
        <v>0</v>
      </c>
      <c r="AE36">
        <f t="shared" si="21"/>
        <v>0</v>
      </c>
    </row>
    <row r="37" spans="1:31" x14ac:dyDescent="0.25">
      <c r="A37" s="347">
        <v>9.1201000000000008</v>
      </c>
      <c r="B37" s="364">
        <f t="shared" si="22"/>
        <v>9.1201000000000008E-3</v>
      </c>
      <c r="C37" s="337">
        <f t="shared" si="0"/>
        <v>1.0000078211920693</v>
      </c>
      <c r="D37" s="338">
        <f t="shared" si="1"/>
        <v>3.9550325140939096E-3</v>
      </c>
      <c r="E37" s="338">
        <f t="shared" si="2"/>
        <v>1.000000000273306</v>
      </c>
      <c r="F37" s="339">
        <f t="shared" si="3"/>
        <v>2.3379737523588362E-5</v>
      </c>
      <c r="G37" s="338">
        <f t="shared" si="4"/>
        <v>1</v>
      </c>
      <c r="H37" s="339">
        <f t="shared" si="5"/>
        <v>0</v>
      </c>
      <c r="I37" s="337">
        <f t="shared" si="6"/>
        <v>12.147088289023301</v>
      </c>
      <c r="J37" s="340">
        <f t="shared" si="7"/>
        <v>1.4883787974098814</v>
      </c>
      <c r="K37" s="348">
        <f t="shared" si="8"/>
        <v>1.0000057929605732</v>
      </c>
      <c r="L37" s="349">
        <f t="shared" si="9"/>
        <v>3.4038015829293759E-3</v>
      </c>
      <c r="M37" s="337">
        <f t="shared" si="10"/>
        <v>1.0000000041538066</v>
      </c>
      <c r="N37" s="340">
        <f t="shared" si="11"/>
        <v>9.1146110451284062E-5</v>
      </c>
      <c r="O37" s="341">
        <f t="shared" si="12"/>
        <v>1.0000000016488357</v>
      </c>
      <c r="P37" s="342">
        <f t="shared" si="13"/>
        <v>1.3055959449601666E-4</v>
      </c>
      <c r="Q37" s="343">
        <f t="shared" si="14"/>
        <v>72.151938263721092</v>
      </c>
      <c r="R37" s="344">
        <f t="shared" si="15"/>
        <v>-85.320769952630414</v>
      </c>
      <c r="S37" s="346">
        <f t="shared" si="16"/>
        <v>94.679230047369586</v>
      </c>
      <c r="U37" s="319">
        <f t="shared" si="23"/>
        <v>1000000000</v>
      </c>
      <c r="V37" s="319">
        <f t="shared" si="24"/>
        <v>83.176224010000013</v>
      </c>
      <c r="X37" s="345">
        <f t="shared" si="17"/>
        <v>76.017830919534418</v>
      </c>
      <c r="Y37" s="346">
        <f t="shared" si="18"/>
        <v>-85.088022328016521</v>
      </c>
      <c r="AA37" s="345">
        <f t="shared" si="19"/>
        <v>59.743228633349297</v>
      </c>
      <c r="AB37" s="346">
        <f t="shared" si="20"/>
        <v>-0.23274762461388512</v>
      </c>
      <c r="AD37">
        <f t="shared" si="25"/>
        <v>0</v>
      </c>
      <c r="AE37">
        <f t="shared" si="21"/>
        <v>0</v>
      </c>
    </row>
    <row r="38" spans="1:31" x14ac:dyDescent="0.25">
      <c r="A38" s="347">
        <v>10</v>
      </c>
      <c r="B38" s="364">
        <f t="shared" si="22"/>
        <v>0.01</v>
      </c>
      <c r="C38" s="337">
        <f t="shared" si="0"/>
        <v>1.0000094031509317</v>
      </c>
      <c r="D38" s="338">
        <f t="shared" si="1"/>
        <v>4.3366063343493614E-3</v>
      </c>
      <c r="E38" s="338">
        <f t="shared" si="2"/>
        <v>1.0000000003285867</v>
      </c>
      <c r="F38" s="339">
        <f t="shared" si="3"/>
        <v>2.5635396018384367E-5</v>
      </c>
      <c r="G38" s="338">
        <f t="shared" si="4"/>
        <v>1</v>
      </c>
      <c r="H38" s="339">
        <f t="shared" si="5"/>
        <v>0</v>
      </c>
      <c r="I38" s="337">
        <f t="shared" si="6"/>
        <v>13.311434402870187</v>
      </c>
      <c r="J38" s="340">
        <f t="shared" si="7"/>
        <v>1.4956021025209756</v>
      </c>
      <c r="K38" s="348">
        <f t="shared" si="8"/>
        <v>1.0000069646792076</v>
      </c>
      <c r="L38" s="349">
        <f t="shared" si="9"/>
        <v>3.7321947391779583E-3</v>
      </c>
      <c r="M38" s="337">
        <f t="shared" si="10"/>
        <v>1.0000000049939832</v>
      </c>
      <c r="N38" s="340">
        <f t="shared" si="11"/>
        <v>9.993981469526815E-5</v>
      </c>
      <c r="O38" s="341">
        <f t="shared" si="12"/>
        <v>1.0000000019823403</v>
      </c>
      <c r="P38" s="342">
        <f t="shared" si="13"/>
        <v>1.4315588044812921E-4</v>
      </c>
      <c r="Q38" s="343">
        <f t="shared" si="14"/>
        <v>71.356881325591971</v>
      </c>
      <c r="R38" s="344">
        <f t="shared" si="15"/>
        <v>-85.738778194158584</v>
      </c>
      <c r="S38" s="346">
        <f t="shared" si="16"/>
        <v>94.261221805841416</v>
      </c>
      <c r="U38" s="319">
        <f t="shared" si="23"/>
        <v>1000000000</v>
      </c>
      <c r="V38" s="319">
        <f t="shared" si="24"/>
        <v>100</v>
      </c>
      <c r="X38" s="345">
        <f t="shared" si="17"/>
        <v>75.222787724423682</v>
      </c>
      <c r="Y38" s="346">
        <f t="shared" si="18"/>
        <v>-85.483575525734906</v>
      </c>
      <c r="AA38" s="345">
        <f t="shared" si="19"/>
        <v>59.743214890330918</v>
      </c>
      <c r="AB38" s="346">
        <f t="shared" si="20"/>
        <v>-0.255202668423686</v>
      </c>
      <c r="AD38">
        <f t="shared" si="25"/>
        <v>0</v>
      </c>
      <c r="AE38">
        <f t="shared" si="21"/>
        <v>0</v>
      </c>
    </row>
    <row r="39" spans="1:31" x14ac:dyDescent="0.25">
      <c r="A39" s="347">
        <v>10.965</v>
      </c>
      <c r="B39" s="364">
        <f t="shared" si="22"/>
        <v>1.0964999999999999E-2</v>
      </c>
      <c r="C39" s="337">
        <f t="shared" si="0"/>
        <v>1.0000113055128002</v>
      </c>
      <c r="D39" s="338">
        <f t="shared" si="1"/>
        <v>4.7550828150638878E-3</v>
      </c>
      <c r="E39" s="338">
        <f t="shared" si="2"/>
        <v>1.0000000003950638</v>
      </c>
      <c r="F39" s="339">
        <f t="shared" si="3"/>
        <v>2.8109211732912712E-5</v>
      </c>
      <c r="G39" s="338">
        <f t="shared" si="4"/>
        <v>1</v>
      </c>
      <c r="H39" s="339">
        <f t="shared" si="5"/>
        <v>0</v>
      </c>
      <c r="I39" s="337">
        <f t="shared" si="6"/>
        <v>14.589055770398009</v>
      </c>
      <c r="J39" s="340">
        <f t="shared" si="7"/>
        <v>1.5021980066023326</v>
      </c>
      <c r="K39" s="348">
        <f t="shared" si="8"/>
        <v>1.0000083737132293</v>
      </c>
      <c r="L39" s="349">
        <f t="shared" si="9"/>
        <v>4.0923476873570329E-3</v>
      </c>
      <c r="M39" s="337">
        <f t="shared" si="10"/>
        <v>1.0000000060043273</v>
      </c>
      <c r="N39" s="340">
        <f t="shared" si="11"/>
        <v>1.0958400673954982E-4</v>
      </c>
      <c r="O39" s="341">
        <f t="shared" si="12"/>
        <v>1.0000000023833919</v>
      </c>
      <c r="P39" s="342">
        <f t="shared" si="13"/>
        <v>1.5697042295688982E-4</v>
      </c>
      <c r="Q39" s="343">
        <f t="shared" si="14"/>
        <v>70.560830466194318</v>
      </c>
      <c r="R39" s="344">
        <f t="shared" si="15"/>
        <v>-86.121239700073943</v>
      </c>
      <c r="S39" s="346">
        <f t="shared" si="16"/>
        <v>93.878760299926057</v>
      </c>
      <c r="U39" s="319">
        <f t="shared" si="23"/>
        <v>1000000000</v>
      </c>
      <c r="V39" s="319">
        <f t="shared" si="24"/>
        <v>120.23122499999999</v>
      </c>
      <c r="X39" s="345">
        <f t="shared" si="17"/>
        <v>74.426753391466235</v>
      </c>
      <c r="Y39" s="346">
        <f t="shared" si="18"/>
        <v>-85.841410319669762</v>
      </c>
      <c r="AA39" s="345">
        <f t="shared" si="19"/>
        <v>59.743198363890698</v>
      </c>
      <c r="AB39" s="346">
        <f t="shared" si="20"/>
        <v>-0.27982938040417676</v>
      </c>
      <c r="AD39">
        <f t="shared" si="25"/>
        <v>0</v>
      </c>
      <c r="AE39">
        <f t="shared" si="21"/>
        <v>0</v>
      </c>
    </row>
    <row r="40" spans="1:31" x14ac:dyDescent="0.25">
      <c r="A40" s="347">
        <v>12.023</v>
      </c>
      <c r="B40" s="364">
        <f t="shared" si="22"/>
        <v>1.2022999999999999E-2</v>
      </c>
      <c r="C40" s="337">
        <f t="shared" si="0"/>
        <v>1.0000135924640061</v>
      </c>
      <c r="D40" s="338">
        <f t="shared" si="1"/>
        <v>5.2138872341533768E-3</v>
      </c>
      <c r="E40" s="338">
        <f t="shared" si="2"/>
        <v>1.0000000004749805</v>
      </c>
      <c r="F40" s="339">
        <f t="shared" si="3"/>
        <v>3.0821436629895476E-5</v>
      </c>
      <c r="G40" s="338">
        <f t="shared" si="4"/>
        <v>1</v>
      </c>
      <c r="H40" s="339">
        <f t="shared" si="5"/>
        <v>0</v>
      </c>
      <c r="I40" s="337">
        <f t="shared" si="6"/>
        <v>15.990412632789969</v>
      </c>
      <c r="J40" s="340">
        <f t="shared" si="7"/>
        <v>1.5082180184420277</v>
      </c>
      <c r="K40" s="348">
        <f t="shared" si="8"/>
        <v>1.000010067604312</v>
      </c>
      <c r="L40" s="349">
        <f t="shared" si="9"/>
        <v>4.487208452647524E-3</v>
      </c>
      <c r="M40" s="337">
        <f t="shared" si="10"/>
        <v>1.0000000072189292</v>
      </c>
      <c r="N40" s="340">
        <f t="shared" si="11"/>
        <v>1.201576390298914E-4</v>
      </c>
      <c r="O40" s="341">
        <f t="shared" si="12"/>
        <v>1.0000000028655229</v>
      </c>
      <c r="P40" s="342">
        <f t="shared" si="13"/>
        <v>1.7211631517269132E-4</v>
      </c>
      <c r="Q40" s="343">
        <f t="shared" si="14"/>
        <v>69.764175573560095</v>
      </c>
      <c r="R40" s="344">
        <f t="shared" si="15"/>
        <v>-86.471142894162</v>
      </c>
      <c r="S40" s="346">
        <f t="shared" si="16"/>
        <v>93.528857105838</v>
      </c>
      <c r="U40" s="319">
        <f t="shared" si="23"/>
        <v>1000000000</v>
      </c>
      <c r="V40" s="319">
        <f t="shared" si="24"/>
        <v>144.55252899999999</v>
      </c>
      <c r="X40" s="345">
        <f t="shared" si="17"/>
        <v>73.630118366284108</v>
      </c>
      <c r="Y40" s="346">
        <f t="shared" si="18"/>
        <v>-86.164313560229971</v>
      </c>
      <c r="AA40" s="345">
        <f t="shared" si="19"/>
        <v>59.74317849643861</v>
      </c>
      <c r="AB40" s="346">
        <f t="shared" si="20"/>
        <v>-0.30682933393204587</v>
      </c>
      <c r="AD40">
        <f t="shared" si="25"/>
        <v>0</v>
      </c>
      <c r="AE40">
        <f t="shared" si="21"/>
        <v>0</v>
      </c>
    </row>
    <row r="41" spans="1:31" x14ac:dyDescent="0.25">
      <c r="A41" s="347">
        <v>13.183</v>
      </c>
      <c r="B41" s="364">
        <f t="shared" si="22"/>
        <v>1.3183E-2</v>
      </c>
      <c r="C41" s="337">
        <f t="shared" si="0"/>
        <v>1.000016341819322</v>
      </c>
      <c r="D41" s="338">
        <f t="shared" si="1"/>
        <v>5.7169216855453746E-3</v>
      </c>
      <c r="E41" s="338">
        <f t="shared" si="2"/>
        <v>1.0000000005710559</v>
      </c>
      <c r="F41" s="339">
        <f t="shared" si="3"/>
        <v>3.3795142565573256E-5</v>
      </c>
      <c r="G41" s="338">
        <f t="shared" si="4"/>
        <v>1</v>
      </c>
      <c r="H41" s="339">
        <f t="shared" si="5"/>
        <v>0</v>
      </c>
      <c r="I41" s="337">
        <f t="shared" si="6"/>
        <v>17.527426306572803</v>
      </c>
      <c r="J41" s="340">
        <f t="shared" si="7"/>
        <v>1.5137118869809851</v>
      </c>
      <c r="K41" s="348">
        <f t="shared" si="8"/>
        <v>1.0000121039885961</v>
      </c>
      <c r="L41" s="349">
        <f t="shared" si="9"/>
        <v>4.9201354673483553E-3</v>
      </c>
      <c r="M41" s="337">
        <f t="shared" si="10"/>
        <v>1.0000000086791179</v>
      </c>
      <c r="N41" s="340">
        <f t="shared" si="11"/>
        <v>1.3175065738909274E-4</v>
      </c>
      <c r="O41" s="341">
        <f t="shared" si="12"/>
        <v>1.0000000034451386</v>
      </c>
      <c r="P41" s="342">
        <f t="shared" si="13"/>
        <v>1.8872239739436617E-4</v>
      </c>
      <c r="Q41" s="343">
        <f t="shared" si="14"/>
        <v>68.966999785105955</v>
      </c>
      <c r="R41" s="344">
        <f t="shared" si="15"/>
        <v>-86.791380543894491</v>
      </c>
      <c r="S41" s="346">
        <f t="shared" si="16"/>
        <v>93.208619456105509</v>
      </c>
      <c r="U41" s="319">
        <f t="shared" si="23"/>
        <v>1000000000</v>
      </c>
      <c r="V41" s="319">
        <f t="shared" si="24"/>
        <v>173.79148899999998</v>
      </c>
      <c r="X41" s="345">
        <f t="shared" si="17"/>
        <v>72.832966462269383</v>
      </c>
      <c r="Y41" s="346">
        <f t="shared" si="18"/>
        <v>-86.454948381288276</v>
      </c>
      <c r="AA41" s="345">
        <f t="shared" si="19"/>
        <v>59.743154611999202</v>
      </c>
      <c r="AB41" s="346">
        <f t="shared" si="20"/>
        <v>-0.33643216260623415</v>
      </c>
      <c r="AD41">
        <f t="shared" si="25"/>
        <v>0</v>
      </c>
      <c r="AE41">
        <f t="shared" si="21"/>
        <v>0</v>
      </c>
    </row>
    <row r="42" spans="1:31" x14ac:dyDescent="0.25">
      <c r="A42" s="347">
        <v>14.454000000000001</v>
      </c>
      <c r="B42" s="364">
        <f t="shared" si="22"/>
        <v>1.4454E-2</v>
      </c>
      <c r="C42" s="337">
        <f t="shared" si="0"/>
        <v>1.0000196447851741</v>
      </c>
      <c r="D42" s="338">
        <f t="shared" si="1"/>
        <v>6.2680879990018304E-3</v>
      </c>
      <c r="E42" s="338">
        <f t="shared" si="2"/>
        <v>1.0000000006864773</v>
      </c>
      <c r="F42" s="339">
        <f t="shared" si="3"/>
        <v>3.7053401396132057E-5</v>
      </c>
      <c r="G42" s="338">
        <f t="shared" si="4"/>
        <v>1</v>
      </c>
      <c r="H42" s="339">
        <f t="shared" si="5"/>
        <v>0</v>
      </c>
      <c r="I42" s="337">
        <f t="shared" si="6"/>
        <v>19.212021822868341</v>
      </c>
      <c r="J42" s="340">
        <f t="shared" si="7"/>
        <v>1.5187220522984406</v>
      </c>
      <c r="K42" s="348">
        <f t="shared" si="8"/>
        <v>1.0000145504213984</v>
      </c>
      <c r="L42" s="349">
        <f t="shared" si="9"/>
        <v>5.3944869953623208E-3</v>
      </c>
      <c r="M42" s="337">
        <f t="shared" si="10"/>
        <v>1.0000000104333358</v>
      </c>
      <c r="N42" s="340">
        <f t="shared" si="11"/>
        <v>1.4445300763672004E-4</v>
      </c>
      <c r="O42" s="341">
        <f t="shared" si="12"/>
        <v>1.0000000041414678</v>
      </c>
      <c r="P42" s="342">
        <f t="shared" si="13"/>
        <v>2.0691750992274087E-4</v>
      </c>
      <c r="Q42" s="343">
        <f t="shared" si="14"/>
        <v>68.169893895936909</v>
      </c>
      <c r="R42" s="344">
        <f t="shared" si="15"/>
        <v>-87.084426644327607</v>
      </c>
      <c r="S42" s="346">
        <f t="shared" si="16"/>
        <v>92.915573355672393</v>
      </c>
      <c r="U42" s="319">
        <f t="shared" si="23"/>
        <v>1000000000</v>
      </c>
      <c r="V42" s="319">
        <f t="shared" si="24"/>
        <v>208.91811600000003</v>
      </c>
      <c r="X42" s="345">
        <f t="shared" si="17"/>
        <v>72.0358892668267</v>
      </c>
      <c r="Y42" s="346">
        <f t="shared" si="18"/>
        <v>-86.715559159437376</v>
      </c>
      <c r="AA42" s="345">
        <f t="shared" si="19"/>
        <v>59.743125918272838</v>
      </c>
      <c r="AB42" s="346">
        <f t="shared" si="20"/>
        <v>-0.36886748489022564</v>
      </c>
      <c r="AD42">
        <f t="shared" si="25"/>
        <v>0</v>
      </c>
      <c r="AE42">
        <f t="shared" si="21"/>
        <v>0</v>
      </c>
    </row>
    <row r="43" spans="1:31" x14ac:dyDescent="0.25">
      <c r="A43" s="347">
        <v>15.849</v>
      </c>
      <c r="B43" s="364">
        <f t="shared" si="22"/>
        <v>1.5848999999999999E-2</v>
      </c>
      <c r="C43" s="337">
        <f t="shared" si="0"/>
        <v>1.0000236196822503</v>
      </c>
      <c r="D43" s="338">
        <f t="shared" si="1"/>
        <v>6.8730222394330709E-3</v>
      </c>
      <c r="E43" s="338">
        <f t="shared" si="2"/>
        <v>1.0000000008253798</v>
      </c>
      <c r="F43" s="339">
        <f t="shared" si="3"/>
        <v>4.0629539136081069E-5</v>
      </c>
      <c r="G43" s="338">
        <f t="shared" si="4"/>
        <v>1</v>
      </c>
      <c r="H43" s="339">
        <f t="shared" si="5"/>
        <v>0</v>
      </c>
      <c r="I43" s="337">
        <f t="shared" si="6"/>
        <v>21.061430102744129</v>
      </c>
      <c r="J43" s="340">
        <f t="shared" si="7"/>
        <v>1.5232983124464012</v>
      </c>
      <c r="K43" s="348">
        <f t="shared" si="8"/>
        <v>1.0000174945413816</v>
      </c>
      <c r="L43" s="349">
        <f t="shared" si="9"/>
        <v>5.9151139187935929E-3</v>
      </c>
      <c r="M43" s="337">
        <f t="shared" si="10"/>
        <v>1.0000000125444266</v>
      </c>
      <c r="N43" s="340">
        <f t="shared" si="11"/>
        <v>1.583946115132308E-4</v>
      </c>
      <c r="O43" s="341">
        <f t="shared" si="12"/>
        <v>1.0000000049794564</v>
      </c>
      <c r="P43" s="342">
        <f t="shared" si="13"/>
        <v>2.2688775541389631E-4</v>
      </c>
      <c r="Q43" s="343">
        <f t="shared" si="14"/>
        <v>67.371589202295837</v>
      </c>
      <c r="R43" s="344">
        <f t="shared" si="15"/>
        <v>-87.35319559875775</v>
      </c>
      <c r="S43" s="346">
        <f t="shared" si="16"/>
        <v>92.64680440124225</v>
      </c>
      <c r="U43" s="319">
        <f t="shared" si="23"/>
        <v>1000000000</v>
      </c>
      <c r="V43" s="319">
        <f t="shared" si="24"/>
        <v>251.19080099999999</v>
      </c>
      <c r="X43" s="345">
        <f t="shared" si="17"/>
        <v>71.237619104028312</v>
      </c>
      <c r="Y43" s="346">
        <f t="shared" si="18"/>
        <v>-86.948728621784142</v>
      </c>
      <c r="AA43" s="345">
        <f t="shared" si="19"/>
        <v>59.743091387430169</v>
      </c>
      <c r="AB43" s="346">
        <f t="shared" si="20"/>
        <v>-0.40446697697359313</v>
      </c>
      <c r="AD43">
        <f t="shared" si="25"/>
        <v>0</v>
      </c>
      <c r="AE43">
        <f t="shared" si="21"/>
        <v>0</v>
      </c>
    </row>
    <row r="44" spans="1:31" x14ac:dyDescent="0.25">
      <c r="A44" s="347">
        <v>17.378</v>
      </c>
      <c r="B44" s="364">
        <f t="shared" si="22"/>
        <v>1.7378000000000001E-2</v>
      </c>
      <c r="C44" s="337">
        <f t="shared" si="0"/>
        <v>1.0000283967650712</v>
      </c>
      <c r="D44" s="338">
        <f t="shared" si="1"/>
        <v>7.5360590638854138E-3</v>
      </c>
      <c r="E44" s="338">
        <f t="shared" si="2"/>
        <v>1.0000000009923151</v>
      </c>
      <c r="F44" s="339">
        <f t="shared" si="3"/>
        <v>4.4549191181035978E-5</v>
      </c>
      <c r="G44" s="338">
        <f t="shared" si="4"/>
        <v>1</v>
      </c>
      <c r="H44" s="339">
        <f t="shared" si="5"/>
        <v>0</v>
      </c>
      <c r="I44" s="337">
        <f t="shared" si="6"/>
        <v>23.088909225065649</v>
      </c>
      <c r="J44" s="340">
        <f t="shared" si="7"/>
        <v>1.5274719370387801</v>
      </c>
      <c r="K44" s="348">
        <f t="shared" si="8"/>
        <v>1.0000210328269481</v>
      </c>
      <c r="L44" s="349">
        <f t="shared" si="9"/>
        <v>6.4857471897828726E-3</v>
      </c>
      <c r="M44" s="337">
        <f t="shared" si="10"/>
        <v>1.000000015081574</v>
      </c>
      <c r="N44" s="340">
        <f t="shared" si="11"/>
        <v>1.7367540880945935E-4</v>
      </c>
      <c r="O44" s="341">
        <f t="shared" si="12"/>
        <v>1.0000000059865664</v>
      </c>
      <c r="P44" s="342">
        <f t="shared" si="13"/>
        <v>2.487762897629945E-4</v>
      </c>
      <c r="Q44" s="343">
        <f t="shared" si="14"/>
        <v>66.573267229390069</v>
      </c>
      <c r="R44" s="344">
        <f t="shared" si="15"/>
        <v>-87.599526073391246</v>
      </c>
      <c r="S44" s="346">
        <f t="shared" si="16"/>
        <v>92.400473926608754</v>
      </c>
      <c r="U44" s="319">
        <f t="shared" si="23"/>
        <v>1000000000</v>
      </c>
      <c r="V44" s="319">
        <f t="shared" si="24"/>
        <v>301.99488400000001</v>
      </c>
      <c r="X44" s="345">
        <f t="shared" si="17"/>
        <v>70.439338630555227</v>
      </c>
      <c r="Y44" s="346">
        <f t="shared" si="18"/>
        <v>-87.156040343551609</v>
      </c>
      <c r="AA44" s="345">
        <f t="shared" si="19"/>
        <v>59.743049887997472</v>
      </c>
      <c r="AB44" s="346">
        <f t="shared" si="20"/>
        <v>-0.44348572983964896</v>
      </c>
      <c r="AD44">
        <f t="shared" si="25"/>
        <v>0</v>
      </c>
      <c r="AE44">
        <f t="shared" si="21"/>
        <v>0</v>
      </c>
    </row>
    <row r="45" spans="1:31" x14ac:dyDescent="0.25">
      <c r="A45" s="347">
        <v>19.055</v>
      </c>
      <c r="B45" s="364">
        <f t="shared" si="22"/>
        <v>1.9054999999999999E-2</v>
      </c>
      <c r="C45" s="337">
        <f t="shared" si="0"/>
        <v>1.0000341417628553</v>
      </c>
      <c r="D45" s="338">
        <f t="shared" si="1"/>
        <v>8.2632670899829806E-3</v>
      </c>
      <c r="E45" s="338">
        <f t="shared" si="2"/>
        <v>1.0000000011930756</v>
      </c>
      <c r="F45" s="339">
        <f t="shared" si="3"/>
        <v>4.8848247084878901E-5</v>
      </c>
      <c r="G45" s="338">
        <f t="shared" si="4"/>
        <v>1</v>
      </c>
      <c r="H45" s="339">
        <f t="shared" si="5"/>
        <v>0</v>
      </c>
      <c r="I45" s="337">
        <f t="shared" si="6"/>
        <v>25.313023573117025</v>
      </c>
      <c r="J45" s="340">
        <f t="shared" si="7"/>
        <v>1.5312806880508218</v>
      </c>
      <c r="K45" s="348">
        <f t="shared" si="8"/>
        <v>1.0000252880327365</v>
      </c>
      <c r="L45" s="349">
        <f t="shared" si="9"/>
        <v>7.111610203635068E-3</v>
      </c>
      <c r="M45" s="337">
        <f t="shared" si="10"/>
        <v>1.0000000181328048</v>
      </c>
      <c r="N45" s="340">
        <f t="shared" si="11"/>
        <v>1.904353152337697E-4</v>
      </c>
      <c r="O45" s="341">
        <f t="shared" si="12"/>
        <v>1.0000000071977395</v>
      </c>
      <c r="P45" s="342">
        <f t="shared" si="13"/>
        <v>2.7278353122252481E-4</v>
      </c>
      <c r="Q45" s="343">
        <f t="shared" si="14"/>
        <v>65.774442109144758</v>
      </c>
      <c r="R45" s="344">
        <f t="shared" si="15"/>
        <v>-87.825647541089509</v>
      </c>
      <c r="S45" s="346">
        <f t="shared" si="16"/>
        <v>92.174352458910491</v>
      </c>
      <c r="U45" s="319">
        <f t="shared" si="23"/>
        <v>1000000000</v>
      </c>
      <c r="V45" s="319">
        <f t="shared" si="24"/>
        <v>363.09302500000001</v>
      </c>
      <c r="X45" s="345">
        <f t="shared" si="17"/>
        <v>69.640563417942673</v>
      </c>
      <c r="Y45" s="346">
        <f t="shared" si="18"/>
        <v>-87.339366664623327</v>
      </c>
      <c r="AA45" s="345">
        <f t="shared" si="19"/>
        <v>59.742999980364715</v>
      </c>
      <c r="AB45" s="346">
        <f t="shared" si="20"/>
        <v>-0.48628087646618112</v>
      </c>
      <c r="AD45">
        <f t="shared" si="25"/>
        <v>0</v>
      </c>
      <c r="AE45">
        <f t="shared" ref="AE45:AE76" si="26">IF(AD45&gt;0,S43,0)</f>
        <v>0</v>
      </c>
    </row>
    <row r="46" spans="1:31" x14ac:dyDescent="0.25">
      <c r="A46" s="347">
        <v>20.893000000000001</v>
      </c>
      <c r="B46" s="364">
        <f t="shared" si="22"/>
        <v>2.0893000000000002E-2</v>
      </c>
      <c r="C46" s="337">
        <f t="shared" si="0"/>
        <v>1.0000410457451787</v>
      </c>
      <c r="D46" s="338">
        <f t="shared" si="1"/>
        <v>9.0602804886894574E-3</v>
      </c>
      <c r="E46" s="338">
        <f t="shared" si="2"/>
        <v>1.0000000014343384</v>
      </c>
      <c r="F46" s="339">
        <f t="shared" si="3"/>
        <v>5.3560032861727725E-5</v>
      </c>
      <c r="G46" s="338">
        <f t="shared" si="4"/>
        <v>1</v>
      </c>
      <c r="H46" s="339">
        <f t="shared" si="5"/>
        <v>0</v>
      </c>
      <c r="I46" s="337">
        <f t="shared" si="6"/>
        <v>27.751014430615026</v>
      </c>
      <c r="J46" s="340">
        <f t="shared" si="7"/>
        <v>1.5347538049662848</v>
      </c>
      <c r="K46" s="348">
        <f t="shared" si="8"/>
        <v>1.0000304016837473</v>
      </c>
      <c r="L46" s="349">
        <f t="shared" si="9"/>
        <v>7.7975526350976048E-3</v>
      </c>
      <c r="M46" s="337">
        <f t="shared" si="10"/>
        <v>1.0000000217996083</v>
      </c>
      <c r="N46" s="340">
        <f t="shared" si="11"/>
        <v>2.0880425250343311E-4</v>
      </c>
      <c r="O46" s="341">
        <f t="shared" si="12"/>
        <v>1.0000000086532617</v>
      </c>
      <c r="P46" s="342">
        <f t="shared" si="13"/>
        <v>2.9909558246286595E-4</v>
      </c>
      <c r="Q46" s="343">
        <f t="shared" si="14"/>
        <v>64.975729723360601</v>
      </c>
      <c r="R46" s="344">
        <f t="shared" si="15"/>
        <v>-88.033296446614941</v>
      </c>
      <c r="S46" s="346">
        <f t="shared" si="16"/>
        <v>91.966703553385059</v>
      </c>
      <c r="U46" s="319">
        <f t="shared" si="23"/>
        <v>1000000000</v>
      </c>
      <c r="V46" s="319">
        <f t="shared" si="24"/>
        <v>436.51744900000006</v>
      </c>
      <c r="X46" s="345">
        <f t="shared" si="17"/>
        <v>68.841911007679656</v>
      </c>
      <c r="Y46" s="346">
        <f t="shared" si="18"/>
        <v>-87.500112462086477</v>
      </c>
      <c r="AA46" s="345">
        <f t="shared" si="19"/>
        <v>59.742940004843568</v>
      </c>
      <c r="AB46" s="346">
        <f t="shared" si="20"/>
        <v>-0.53318398452845461</v>
      </c>
      <c r="AD46">
        <f t="shared" si="25"/>
        <v>0</v>
      </c>
      <c r="AE46">
        <f t="shared" si="26"/>
        <v>0</v>
      </c>
    </row>
    <row r="47" spans="1:31" x14ac:dyDescent="0.25">
      <c r="A47" s="347">
        <v>22.909000000000002</v>
      </c>
      <c r="B47" s="364">
        <f t="shared" si="22"/>
        <v>2.2909000000000002E-2</v>
      </c>
      <c r="C47" s="337">
        <f t="shared" si="0"/>
        <v>1.0000493488455733</v>
      </c>
      <c r="D47" s="338">
        <f t="shared" si="1"/>
        <v>9.9344668940835081E-3</v>
      </c>
      <c r="E47" s="338">
        <f t="shared" si="2"/>
        <v>1.0000000017244965</v>
      </c>
      <c r="F47" s="339">
        <f t="shared" si="3"/>
        <v>5.872812868386397E-5</v>
      </c>
      <c r="G47" s="338">
        <f t="shared" si="4"/>
        <v>1</v>
      </c>
      <c r="H47" s="339">
        <f t="shared" si="5"/>
        <v>0</v>
      </c>
      <c r="I47" s="337">
        <f t="shared" si="6"/>
        <v>30.425431304291617</v>
      </c>
      <c r="J47" s="340">
        <f t="shared" si="7"/>
        <v>1.5379231648610776</v>
      </c>
      <c r="K47" s="348">
        <f t="shared" si="8"/>
        <v>1.0000365516475576</v>
      </c>
      <c r="L47" s="349">
        <f t="shared" si="9"/>
        <v>8.5499162849420884E-3</v>
      </c>
      <c r="M47" s="337">
        <f t="shared" si="10"/>
        <v>1.0000000262095368</v>
      </c>
      <c r="N47" s="340">
        <f t="shared" si="11"/>
        <v>2.2895211824715923E-4</v>
      </c>
      <c r="O47" s="341">
        <f t="shared" si="12"/>
        <v>1.0000000104037641</v>
      </c>
      <c r="P47" s="342">
        <f t="shared" si="13"/>
        <v>3.279558085154801E-4</v>
      </c>
      <c r="Q47" s="343">
        <f t="shared" si="14"/>
        <v>64.176553368998412</v>
      </c>
      <c r="R47" s="344">
        <f t="shared" si="15"/>
        <v>-88.224379169047765</v>
      </c>
      <c r="S47" s="346">
        <f t="shared" si="16"/>
        <v>91.775620830952235</v>
      </c>
      <c r="U47" s="319">
        <f t="shared" si="23"/>
        <v>1000000000</v>
      </c>
      <c r="V47" s="319">
        <f t="shared" si="24"/>
        <v>524.82228100000009</v>
      </c>
      <c r="X47" s="345">
        <f t="shared" si="17"/>
        <v>68.042806782556056</v>
      </c>
      <c r="Y47" s="346">
        <f t="shared" si="18"/>
        <v>-87.639750533853856</v>
      </c>
      <c r="AA47" s="345">
        <f t="shared" si="19"/>
        <v>59.742867875604979</v>
      </c>
      <c r="AB47" s="346">
        <f t="shared" si="20"/>
        <v>-0.58462863519391106</v>
      </c>
      <c r="AD47">
        <f t="shared" si="25"/>
        <v>0</v>
      </c>
      <c r="AE47">
        <f t="shared" si="26"/>
        <v>0</v>
      </c>
    </row>
    <row r="48" spans="1:31" x14ac:dyDescent="0.25">
      <c r="A48" s="347">
        <v>25.119</v>
      </c>
      <c r="B48" s="364">
        <f t="shared" si="22"/>
        <v>2.5118999999999999E-2</v>
      </c>
      <c r="C48" s="337">
        <f t="shared" si="0"/>
        <v>1.0000593290313635</v>
      </c>
      <c r="D48" s="338">
        <f t="shared" si="1"/>
        <v>1.0892758900636538E-2</v>
      </c>
      <c r="E48" s="338">
        <f t="shared" si="2"/>
        <v>1.0000000020732647</v>
      </c>
      <c r="F48" s="339">
        <f t="shared" si="3"/>
        <v>6.4393551183682346E-5</v>
      </c>
      <c r="G48" s="338">
        <f t="shared" si="4"/>
        <v>1</v>
      </c>
      <c r="H48" s="339">
        <f t="shared" si="5"/>
        <v>0</v>
      </c>
      <c r="I48" s="337">
        <f t="shared" si="6"/>
        <v>33.357499869123579</v>
      </c>
      <c r="J48" s="340">
        <f t="shared" si="7"/>
        <v>1.5408135688763451</v>
      </c>
      <c r="K48" s="348">
        <f t="shared" si="8"/>
        <v>1.0000439438172295</v>
      </c>
      <c r="L48" s="349">
        <f t="shared" si="9"/>
        <v>9.3746688553573501E-3</v>
      </c>
      <c r="M48" s="337">
        <f t="shared" si="10"/>
        <v>1.0000000315102444</v>
      </c>
      <c r="N48" s="340">
        <f t="shared" si="11"/>
        <v>2.5103881609530356E-4</v>
      </c>
      <c r="O48" s="341">
        <f t="shared" si="12"/>
        <v>1.0000000125078576</v>
      </c>
      <c r="P48" s="342">
        <f t="shared" si="13"/>
        <v>3.595932588341966E-4</v>
      </c>
      <c r="Q48" s="343">
        <f t="shared" si="14"/>
        <v>63.377395838951813</v>
      </c>
      <c r="R48" s="344">
        <f t="shared" si="15"/>
        <v>-88.400391928650137</v>
      </c>
      <c r="S48" s="346">
        <f t="shared" si="16"/>
        <v>91.599608071349863</v>
      </c>
      <c r="U48" s="319">
        <f t="shared" si="23"/>
        <v>1000000000</v>
      </c>
      <c r="V48" s="319">
        <f t="shared" si="24"/>
        <v>630.96416099999999</v>
      </c>
      <c r="X48" s="345">
        <f t="shared" si="17"/>
        <v>67.243735949838154</v>
      </c>
      <c r="Y48" s="346">
        <f t="shared" si="18"/>
        <v>-87.759369118295751</v>
      </c>
      <c r="AA48" s="345">
        <f t="shared" si="19"/>
        <v>59.742781178276289</v>
      </c>
      <c r="AB48" s="346">
        <f t="shared" si="20"/>
        <v>-0.64102281035438158</v>
      </c>
      <c r="AD48">
        <f t="shared" si="25"/>
        <v>0</v>
      </c>
      <c r="AE48">
        <f t="shared" si="26"/>
        <v>0</v>
      </c>
    </row>
    <row r="49" spans="1:31" x14ac:dyDescent="0.25">
      <c r="A49" s="347">
        <v>27.542000000000002</v>
      </c>
      <c r="B49" s="364">
        <f t="shared" si="22"/>
        <v>2.7542000000000001E-2</v>
      </c>
      <c r="C49" s="337">
        <f t="shared" si="0"/>
        <v>1.0000713264992014</v>
      </c>
      <c r="D49" s="338">
        <f t="shared" si="1"/>
        <v>1.1943388120761098E-2</v>
      </c>
      <c r="E49" s="338">
        <f t="shared" si="2"/>
        <v>1.0000000024925335</v>
      </c>
      <c r="F49" s="339">
        <f t="shared" si="3"/>
        <v>7.0605007611977244E-5</v>
      </c>
      <c r="G49" s="338">
        <f t="shared" si="4"/>
        <v>1</v>
      </c>
      <c r="H49" s="339">
        <f t="shared" si="5"/>
        <v>0</v>
      </c>
      <c r="I49" s="337">
        <f t="shared" si="6"/>
        <v>36.572427905477547</v>
      </c>
      <c r="J49" s="340">
        <f t="shared" si="7"/>
        <v>1.543449915690883</v>
      </c>
      <c r="K49" s="348">
        <f t="shared" si="8"/>
        <v>1.0000528301819172</v>
      </c>
      <c r="L49" s="349">
        <f t="shared" si="9"/>
        <v>1.0278896454894198E-2</v>
      </c>
      <c r="M49" s="337">
        <f t="shared" si="10"/>
        <v>1.0000000378824472</v>
      </c>
      <c r="N49" s="340">
        <f t="shared" si="11"/>
        <v>2.7525423159858168E-4</v>
      </c>
      <c r="O49" s="341">
        <f t="shared" si="12"/>
        <v>1.0000000150372768</v>
      </c>
      <c r="P49" s="342">
        <f t="shared" si="13"/>
        <v>3.9427992965180891E-4</v>
      </c>
      <c r="Q49" s="343">
        <f t="shared" si="14"/>
        <v>62.578162756169817</v>
      </c>
      <c r="R49" s="344">
        <f t="shared" si="15"/>
        <v>-88.56285062032785</v>
      </c>
      <c r="S49" s="346">
        <f t="shared" si="16"/>
        <v>91.43714937967215</v>
      </c>
      <c r="U49" s="319">
        <f t="shared" si="23"/>
        <v>1000000000</v>
      </c>
      <c r="V49" s="319">
        <f t="shared" si="24"/>
        <v>758.56176400000004</v>
      </c>
      <c r="X49" s="345">
        <f t="shared" si="17"/>
        <v>66.444607087259001</v>
      </c>
      <c r="Y49" s="346">
        <f t="shared" si="18"/>
        <v>-87.859999680151319</v>
      </c>
      <c r="AA49" s="345">
        <f t="shared" si="19"/>
        <v>59.742676958073453</v>
      </c>
      <c r="AB49" s="346">
        <f t="shared" si="20"/>
        <v>-0.70285094017652716</v>
      </c>
      <c r="AD49">
        <f t="shared" si="25"/>
        <v>0</v>
      </c>
      <c r="AE49">
        <f t="shared" si="26"/>
        <v>0</v>
      </c>
    </row>
    <row r="50" spans="1:31" x14ac:dyDescent="0.25">
      <c r="A50" s="347">
        <v>30.2</v>
      </c>
      <c r="B50" s="364">
        <f t="shared" si="22"/>
        <v>3.0199999999999998E-2</v>
      </c>
      <c r="C50" s="337">
        <f t="shared" si="0"/>
        <v>1.000085757223816</v>
      </c>
      <c r="D50" s="338">
        <f t="shared" si="1"/>
        <v>1.3095884519947519E-2</v>
      </c>
      <c r="E50" s="338">
        <f t="shared" si="2"/>
        <v>1.0000000029968428</v>
      </c>
      <c r="F50" s="339">
        <f t="shared" si="3"/>
        <v>7.7418895837805165E-5</v>
      </c>
      <c r="G50" s="338">
        <f t="shared" si="4"/>
        <v>1</v>
      </c>
      <c r="H50" s="339">
        <f t="shared" si="5"/>
        <v>0</v>
      </c>
      <c r="I50" s="337">
        <f t="shared" si="6"/>
        <v>40.099406040177435</v>
      </c>
      <c r="J50" s="340">
        <f t="shared" si="7"/>
        <v>1.545855715982192</v>
      </c>
      <c r="K50" s="348">
        <f t="shared" si="8"/>
        <v>1.0000635188641227</v>
      </c>
      <c r="L50" s="349">
        <f t="shared" si="9"/>
        <v>1.1270803174564215E-2</v>
      </c>
      <c r="M50" s="337">
        <f t="shared" si="10"/>
        <v>1.0000000455471243</v>
      </c>
      <c r="N50" s="340">
        <f t="shared" si="11"/>
        <v>3.0181823221992496E-4</v>
      </c>
      <c r="O50" s="341">
        <f t="shared" si="12"/>
        <v>1.0000000180797384</v>
      </c>
      <c r="P50" s="342">
        <f t="shared" si="13"/>
        <v>4.3233076398509641E-4</v>
      </c>
      <c r="Q50" s="343">
        <f t="shared" si="14"/>
        <v>61.778447222010556</v>
      </c>
      <c r="R50" s="344">
        <f t="shared" si="15"/>
        <v>-88.713205684712051</v>
      </c>
      <c r="S50" s="346">
        <f t="shared" si="16"/>
        <v>91.286794315287949</v>
      </c>
      <c r="U50" s="319">
        <f t="shared" si="23"/>
        <v>1000000000</v>
      </c>
      <c r="V50" s="319">
        <f t="shared" si="24"/>
        <v>912.04</v>
      </c>
      <c r="X50" s="345">
        <f t="shared" si="17"/>
        <v>65.645016908983294</v>
      </c>
      <c r="Y50" s="346">
        <f t="shared" si="18"/>
        <v>-87.942531819703774</v>
      </c>
      <c r="AA50" s="345">
        <f t="shared" si="19"/>
        <v>59.742551602189891</v>
      </c>
      <c r="AB50" s="346">
        <f t="shared" si="20"/>
        <v>-0.77067386500826762</v>
      </c>
      <c r="AD50">
        <f t="shared" si="25"/>
        <v>0</v>
      </c>
      <c r="AE50">
        <f t="shared" si="26"/>
        <v>0</v>
      </c>
    </row>
    <row r="51" spans="1:31" x14ac:dyDescent="0.25">
      <c r="A51" s="347">
        <v>33.113</v>
      </c>
      <c r="B51" s="364">
        <f t="shared" si="22"/>
        <v>3.3112999999999997E-2</v>
      </c>
      <c r="C51" s="337">
        <f t="shared" si="0"/>
        <v>1.0001030979714804</v>
      </c>
      <c r="D51" s="338">
        <f t="shared" si="1"/>
        <v>1.4358907660398936E-2</v>
      </c>
      <c r="E51" s="338">
        <f t="shared" si="2"/>
        <v>1.0000000036028578</v>
      </c>
      <c r="F51" s="339">
        <f t="shared" si="3"/>
        <v>8.4886486650381898E-5</v>
      </c>
      <c r="G51" s="338">
        <f t="shared" si="4"/>
        <v>1</v>
      </c>
      <c r="H51" s="339">
        <f t="shared" si="5"/>
        <v>0</v>
      </c>
      <c r="I51" s="337">
        <f t="shared" si="6"/>
        <v>43.964972888928394</v>
      </c>
      <c r="J51" s="340">
        <f t="shared" si="7"/>
        <v>1.5480489854513821</v>
      </c>
      <c r="K51" s="348">
        <f t="shared" si="8"/>
        <v>1.000076363021942</v>
      </c>
      <c r="L51" s="349">
        <f t="shared" si="9"/>
        <v>1.2357844701454563E-2</v>
      </c>
      <c r="M51" s="337">
        <f t="shared" si="10"/>
        <v>1.0000000547575658</v>
      </c>
      <c r="N51" s="340">
        <f t="shared" si="11"/>
        <v>3.3093069742157677E-4</v>
      </c>
      <c r="O51" s="341">
        <f t="shared" si="12"/>
        <v>1.0000000217357849</v>
      </c>
      <c r="P51" s="342">
        <f t="shared" si="13"/>
        <v>4.74032073698027E-4</v>
      </c>
      <c r="Q51" s="343">
        <f t="shared" si="14"/>
        <v>60.979030667689116</v>
      </c>
      <c r="R51" s="344">
        <f t="shared" si="15"/>
        <v>-88.852583241517067</v>
      </c>
      <c r="S51" s="346">
        <f t="shared" si="16"/>
        <v>91.147416758482933</v>
      </c>
      <c r="U51" s="319">
        <f t="shared" si="23"/>
        <v>1000000000</v>
      </c>
      <c r="V51" s="319">
        <f t="shared" si="24"/>
        <v>1096.470769</v>
      </c>
      <c r="X51" s="345">
        <f t="shared" si="17"/>
        <v>64.845750986753231</v>
      </c>
      <c r="Y51" s="346">
        <f t="shared" si="18"/>
        <v>-88.007582033438624</v>
      </c>
      <c r="AA51" s="345">
        <f t="shared" si="19"/>
        <v>59.742400970098515</v>
      </c>
      <c r="AB51" s="346">
        <f t="shared" si="20"/>
        <v>-0.84500120807845158</v>
      </c>
      <c r="AD51">
        <f t="shared" si="25"/>
        <v>0</v>
      </c>
      <c r="AE51">
        <f t="shared" si="26"/>
        <v>0</v>
      </c>
    </row>
    <row r="52" spans="1:31" x14ac:dyDescent="0.25">
      <c r="A52" s="347">
        <v>36.308</v>
      </c>
      <c r="B52" s="364">
        <f t="shared" si="22"/>
        <v>3.6308E-2</v>
      </c>
      <c r="C52" s="337">
        <f t="shared" si="0"/>
        <v>1.000123951899796</v>
      </c>
      <c r="D52" s="338">
        <f t="shared" si="1"/>
        <v>1.5744147976668153E-2</v>
      </c>
      <c r="E52" s="338">
        <f t="shared" si="2"/>
        <v>1.0000000043316635</v>
      </c>
      <c r="F52" s="339">
        <f t="shared" si="3"/>
        <v>9.3076995615153717E-5</v>
      </c>
      <c r="G52" s="338">
        <f t="shared" si="4"/>
        <v>1</v>
      </c>
      <c r="H52" s="339">
        <f t="shared" si="5"/>
        <v>0</v>
      </c>
      <c r="I52" s="337">
        <f t="shared" si="6"/>
        <v>48.204957572333882</v>
      </c>
      <c r="J52" s="340">
        <f t="shared" si="7"/>
        <v>1.550050084325312</v>
      </c>
      <c r="K52" s="348">
        <f t="shared" si="8"/>
        <v>1.0000918094420037</v>
      </c>
      <c r="L52" s="349">
        <f t="shared" si="9"/>
        <v>1.3550086229187923E-2</v>
      </c>
      <c r="M52" s="337">
        <f t="shared" si="10"/>
        <v>1.0000000658342247</v>
      </c>
      <c r="N52" s="340">
        <f t="shared" si="11"/>
        <v>3.6286146447786027E-4</v>
      </c>
      <c r="O52" s="341">
        <f t="shared" si="12"/>
        <v>1.000000026132619</v>
      </c>
      <c r="P52" s="342">
        <f t="shared" si="13"/>
        <v>5.1977037980677578E-4</v>
      </c>
      <c r="Q52" s="343">
        <f t="shared" si="14"/>
        <v>60.179285674547948</v>
      </c>
      <c r="R52" s="344">
        <f t="shared" si="15"/>
        <v>-88.982276606059386</v>
      </c>
      <c r="S52" s="346">
        <f t="shared" si="16"/>
        <v>91.017723393940614</v>
      </c>
      <c r="U52" s="319">
        <f t="shared" si="23"/>
        <v>1000000000</v>
      </c>
      <c r="V52" s="319">
        <f t="shared" si="24"/>
        <v>1318.2708640000001</v>
      </c>
      <c r="X52" s="345">
        <f t="shared" si="17"/>
        <v>64.046187139831019</v>
      </c>
      <c r="Y52" s="346">
        <f t="shared" si="18"/>
        <v>-88.055755643847817</v>
      </c>
      <c r="AA52" s="345">
        <f t="shared" si="19"/>
        <v>59.742219823879552</v>
      </c>
      <c r="AB52" s="346">
        <f t="shared" si="20"/>
        <v>-0.92652096221155822</v>
      </c>
      <c r="AD52">
        <f t="shared" si="25"/>
        <v>0</v>
      </c>
      <c r="AE52">
        <f t="shared" si="26"/>
        <v>0</v>
      </c>
    </row>
    <row r="53" spans="1:31" x14ac:dyDescent="0.25">
      <c r="A53" s="347">
        <v>39.811</v>
      </c>
      <c r="B53" s="364">
        <f t="shared" si="22"/>
        <v>3.9810999999999999E-2</v>
      </c>
      <c r="C53" s="337">
        <f t="shared" si="0"/>
        <v>1.00014902161435</v>
      </c>
      <c r="D53" s="338">
        <f t="shared" si="1"/>
        <v>1.7262856687218556E-2</v>
      </c>
      <c r="E53" s="338">
        <f t="shared" si="2"/>
        <v>1.0000000052078233</v>
      </c>
      <c r="F53" s="339">
        <f t="shared" si="3"/>
        <v>1.0205707475681626E-4</v>
      </c>
      <c r="G53" s="338">
        <f t="shared" si="4"/>
        <v>1</v>
      </c>
      <c r="H53" s="339">
        <f t="shared" si="5"/>
        <v>0</v>
      </c>
      <c r="I53" s="337">
        <f t="shared" si="6"/>
        <v>52.853863965931453</v>
      </c>
      <c r="J53" s="340">
        <f t="shared" si="7"/>
        <v>1.5518751052185904</v>
      </c>
      <c r="K53" s="348">
        <f t="shared" si="8"/>
        <v>1.0001103785883581</v>
      </c>
      <c r="L53" s="349">
        <f t="shared" si="9"/>
        <v>1.4857216189699872E-2</v>
      </c>
      <c r="M53" s="337">
        <f t="shared" si="10"/>
        <v>1.0000000791504235</v>
      </c>
      <c r="N53" s="340">
        <f t="shared" si="11"/>
        <v>3.9787037661356497E-4</v>
      </c>
      <c r="O53" s="341">
        <f t="shared" si="12"/>
        <v>1.0000000314184299</v>
      </c>
      <c r="P53" s="342">
        <f t="shared" si="13"/>
        <v>5.6991788778144447E-4</v>
      </c>
      <c r="Q53" s="343">
        <f t="shared" si="14"/>
        <v>59.379528317943354</v>
      </c>
      <c r="R53" s="344">
        <f t="shared" si="15"/>
        <v>-89.103329753153858</v>
      </c>
      <c r="S53" s="346">
        <f t="shared" si="16"/>
        <v>90.896670246846142</v>
      </c>
      <c r="U53" s="319">
        <f t="shared" si="23"/>
        <v>1000000000</v>
      </c>
      <c r="V53" s="319">
        <f t="shared" si="24"/>
        <v>1584.9157210000001</v>
      </c>
      <c r="X53" s="345">
        <f t="shared" si="17"/>
        <v>63.246647544585741</v>
      </c>
      <c r="Y53" s="346">
        <f t="shared" si="18"/>
        <v>-88.087434471490354</v>
      </c>
      <c r="AA53" s="345">
        <f t="shared" si="19"/>
        <v>59.742002062520243</v>
      </c>
      <c r="AB53" s="346">
        <f t="shared" si="20"/>
        <v>-1.0158952816635132</v>
      </c>
      <c r="AD53">
        <f t="shared" si="25"/>
        <v>0</v>
      </c>
      <c r="AE53">
        <f t="shared" si="26"/>
        <v>0</v>
      </c>
    </row>
    <row r="54" spans="1:31" x14ac:dyDescent="0.25">
      <c r="A54" s="347">
        <v>43.652000000000001</v>
      </c>
      <c r="B54" s="364">
        <f t="shared" si="22"/>
        <v>4.3652000000000003E-2</v>
      </c>
      <c r="C54" s="337">
        <f t="shared" si="0"/>
        <v>1.0001791615616682</v>
      </c>
      <c r="D54" s="338">
        <f t="shared" si="1"/>
        <v>1.8928011871450153E-2</v>
      </c>
      <c r="E54" s="338">
        <f t="shared" si="2"/>
        <v>1.0000000062612113</v>
      </c>
      <c r="F54" s="339">
        <f t="shared" si="3"/>
        <v>1.119036302568633E-4</v>
      </c>
      <c r="G54" s="338">
        <f t="shared" si="4"/>
        <v>1</v>
      </c>
      <c r="H54" s="339">
        <f t="shared" si="5"/>
        <v>0</v>
      </c>
      <c r="I54" s="337">
        <f t="shared" si="6"/>
        <v>57.951505713935433</v>
      </c>
      <c r="J54" s="340">
        <f t="shared" si="7"/>
        <v>1.5535396632884559</v>
      </c>
      <c r="K54" s="348">
        <f t="shared" si="8"/>
        <v>1.0001327034176533</v>
      </c>
      <c r="L54" s="349">
        <f t="shared" si="9"/>
        <v>1.6290410931010708E-2</v>
      </c>
      <c r="M54" s="337">
        <f t="shared" si="10"/>
        <v>1.0000000951602028</v>
      </c>
      <c r="N54" s="340">
        <f t="shared" si="11"/>
        <v>4.3625725288400649E-4</v>
      </c>
      <c r="O54" s="341">
        <f t="shared" si="12"/>
        <v>1.000000037773447</v>
      </c>
      <c r="P54" s="342">
        <f t="shared" si="13"/>
        <v>6.2490406550311315E-4</v>
      </c>
      <c r="Q54" s="343">
        <f t="shared" si="14"/>
        <v>58.579700634455484</v>
      </c>
      <c r="R54" s="344">
        <f t="shared" si="15"/>
        <v>-89.216777975675669</v>
      </c>
      <c r="S54" s="346">
        <f t="shared" si="16"/>
        <v>90.783222024324331</v>
      </c>
      <c r="U54" s="319">
        <f t="shared" si="23"/>
        <v>1000000000</v>
      </c>
      <c r="V54" s="319">
        <f t="shared" si="24"/>
        <v>1905.497104</v>
      </c>
      <c r="X54" s="345">
        <f t="shared" si="17"/>
        <v>62.447081656452497</v>
      </c>
      <c r="Y54" s="346">
        <f t="shared" si="18"/>
        <v>-88.102890019767273</v>
      </c>
      <c r="AA54" s="345">
        <f t="shared" si="19"/>
        <v>59.741740267165611</v>
      </c>
      <c r="AB54" s="346">
        <f t="shared" si="20"/>
        <v>-1.1138879559083994</v>
      </c>
      <c r="AD54">
        <f t="shared" si="25"/>
        <v>0</v>
      </c>
      <c r="AE54">
        <f t="shared" si="26"/>
        <v>0</v>
      </c>
    </row>
    <row r="55" spans="1:31" x14ac:dyDescent="0.25">
      <c r="A55" s="347">
        <v>47.863</v>
      </c>
      <c r="B55" s="364">
        <f t="shared" si="22"/>
        <v>4.7863000000000003E-2</v>
      </c>
      <c r="C55" s="337">
        <f t="shared" si="0"/>
        <v>1.0002153914759724</v>
      </c>
      <c r="D55" s="338">
        <f t="shared" si="1"/>
        <v>2.0753448958520583E-2</v>
      </c>
      <c r="E55" s="338">
        <f t="shared" si="2"/>
        <v>1.0000000075274849</v>
      </c>
      <c r="F55" s="339">
        <f t="shared" si="3"/>
        <v>1.2269869537392947E-4</v>
      </c>
      <c r="G55" s="338">
        <f t="shared" si="4"/>
        <v>1</v>
      </c>
      <c r="H55" s="339">
        <f t="shared" si="5"/>
        <v>0</v>
      </c>
      <c r="I55" s="337">
        <f t="shared" si="6"/>
        <v>63.540352089735066</v>
      </c>
      <c r="J55" s="340">
        <f t="shared" si="7"/>
        <v>1.5550576465287951</v>
      </c>
      <c r="K55" s="348">
        <f t="shared" si="8"/>
        <v>1.0001595393507454</v>
      </c>
      <c r="L55" s="349">
        <f t="shared" si="9"/>
        <v>1.7861586881477702E-2</v>
      </c>
      <c r="M55" s="337">
        <f t="shared" si="10"/>
        <v>1.0000001144054977</v>
      </c>
      <c r="N55" s="340">
        <f t="shared" si="11"/>
        <v>4.7834190018522109E-4</v>
      </c>
      <c r="O55" s="341">
        <f t="shared" si="12"/>
        <v>1.00000004541279</v>
      </c>
      <c r="P55" s="342">
        <f t="shared" si="13"/>
        <v>6.8518701210431806E-4</v>
      </c>
      <c r="Q55" s="343">
        <f t="shared" si="14"/>
        <v>57.779920993061502</v>
      </c>
      <c r="R55" s="344">
        <f t="shared" si="15"/>
        <v>-89.323566818281037</v>
      </c>
      <c r="S55" s="346">
        <f t="shared" si="16"/>
        <v>90.676433181718963</v>
      </c>
      <c r="U55" s="319">
        <f t="shared" si="23"/>
        <v>1000000000</v>
      </c>
      <c r="V55" s="319">
        <f t="shared" si="24"/>
        <v>2290.8667689999997</v>
      </c>
      <c r="X55" s="345">
        <f t="shared" si="17"/>
        <v>61.647616697383057</v>
      </c>
      <c r="Y55" s="346">
        <f t="shared" si="18"/>
        <v>-88.102253574648017</v>
      </c>
      <c r="AA55" s="345">
        <f t="shared" si="19"/>
        <v>59.741425584841075</v>
      </c>
      <c r="AB55" s="346">
        <f t="shared" si="20"/>
        <v>-1.2213132436330263</v>
      </c>
      <c r="AD55">
        <f t="shared" si="25"/>
        <v>0</v>
      </c>
      <c r="AE55">
        <f t="shared" si="26"/>
        <v>0</v>
      </c>
    </row>
    <row r="56" spans="1:31" x14ac:dyDescent="0.25">
      <c r="A56" s="347">
        <v>52.481000000000002</v>
      </c>
      <c r="B56" s="364">
        <f t="shared" si="22"/>
        <v>5.2481E-2</v>
      </c>
      <c r="C56" s="337">
        <f t="shared" si="0"/>
        <v>1.0002589544775737</v>
      </c>
      <c r="D56" s="338">
        <f t="shared" si="1"/>
        <v>2.2755158040969801E-2</v>
      </c>
      <c r="E56" s="338">
        <f t="shared" si="2"/>
        <v>1.0000000090501184</v>
      </c>
      <c r="F56" s="339">
        <f t="shared" si="3"/>
        <v>1.3453712106183648E-4</v>
      </c>
      <c r="G56" s="338">
        <f t="shared" si="4"/>
        <v>1</v>
      </c>
      <c r="H56" s="339">
        <f t="shared" si="5"/>
        <v>0</v>
      </c>
      <c r="I56" s="337">
        <f t="shared" si="6"/>
        <v>69.669509572893404</v>
      </c>
      <c r="J56" s="340">
        <f t="shared" si="7"/>
        <v>1.556442352633385</v>
      </c>
      <c r="K56" s="348">
        <f t="shared" si="8"/>
        <v>1.0001918073234279</v>
      </c>
      <c r="L56" s="349">
        <f t="shared" si="9"/>
        <v>1.9584517868494217E-2</v>
      </c>
      <c r="M56" s="337">
        <f t="shared" si="10"/>
        <v>1.0000001375470438</v>
      </c>
      <c r="N56" s="340">
        <f t="shared" si="11"/>
        <v>5.2449409515337218E-4</v>
      </c>
      <c r="O56" s="341">
        <f t="shared" si="12"/>
        <v>1.000000054598736</v>
      </c>
      <c r="P56" s="342">
        <f t="shared" si="13"/>
        <v>7.5129640476093553E-4</v>
      </c>
      <c r="Q56" s="343">
        <f t="shared" si="14"/>
        <v>56.979959930802259</v>
      </c>
      <c r="R56" s="344">
        <f t="shared" si="15"/>
        <v>-89.424631265688859</v>
      </c>
      <c r="S56" s="346">
        <f t="shared" si="16"/>
        <v>90.575368734311141</v>
      </c>
      <c r="U56" s="319">
        <f t="shared" si="23"/>
        <v>1000000000</v>
      </c>
      <c r="V56" s="319">
        <f t="shared" si="24"/>
        <v>2754.255361</v>
      </c>
      <c r="X56" s="345">
        <f t="shared" si="17"/>
        <v>60.848033995389713</v>
      </c>
      <c r="Y56" s="346">
        <f t="shared" si="18"/>
        <v>-88.085519042326496</v>
      </c>
      <c r="AA56" s="345">
        <f t="shared" si="19"/>
        <v>59.741047224575169</v>
      </c>
      <c r="AB56" s="346">
        <f t="shared" si="20"/>
        <v>-1.3391122233623767</v>
      </c>
      <c r="AD56">
        <f t="shared" si="25"/>
        <v>0</v>
      </c>
      <c r="AE56">
        <f t="shared" si="26"/>
        <v>0</v>
      </c>
    </row>
    <row r="57" spans="1:31" x14ac:dyDescent="0.25">
      <c r="A57" s="347">
        <v>57.544000000000004</v>
      </c>
      <c r="B57" s="364">
        <f t="shared" si="22"/>
        <v>5.7544000000000005E-2</v>
      </c>
      <c r="C57" s="337">
        <f t="shared" si="0"/>
        <v>1.0003113206628016</v>
      </c>
      <c r="D57" s="338">
        <f t="shared" si="1"/>
        <v>2.4949545772346343E-2</v>
      </c>
      <c r="E57" s="338">
        <f t="shared" si="2"/>
        <v>1.0000000108805327</v>
      </c>
      <c r="F57" s="339">
        <f t="shared" si="3"/>
        <v>1.4751632181046815E-4</v>
      </c>
      <c r="G57" s="338">
        <f t="shared" si="4"/>
        <v>1</v>
      </c>
      <c r="H57" s="339">
        <f t="shared" si="5"/>
        <v>0</v>
      </c>
      <c r="I57" s="337">
        <f t="shared" si="6"/>
        <v>76.389412998763035</v>
      </c>
      <c r="J57" s="340">
        <f t="shared" si="7"/>
        <v>1.5577051335976073</v>
      </c>
      <c r="K57" s="348">
        <f t="shared" si="8"/>
        <v>1.0002305964696454</v>
      </c>
      <c r="L57" s="349">
        <f t="shared" si="9"/>
        <v>2.1473340033017759E-2</v>
      </c>
      <c r="M57" s="337">
        <f t="shared" si="10"/>
        <v>1.0000001653663519</v>
      </c>
      <c r="N57" s="340">
        <f t="shared" si="11"/>
        <v>5.7509360819636896E-4</v>
      </c>
      <c r="O57" s="341">
        <f t="shared" si="12"/>
        <v>1.0000000656415033</v>
      </c>
      <c r="P57" s="342">
        <f t="shared" si="13"/>
        <v>8.2377623636621395E-4</v>
      </c>
      <c r="Q57" s="343">
        <f t="shared" si="14"/>
        <v>56.180033351416732</v>
      </c>
      <c r="R57" s="344">
        <f t="shared" si="15"/>
        <v>-89.520799176412581</v>
      </c>
      <c r="S57" s="346">
        <f t="shared" si="16"/>
        <v>90.479200823587419</v>
      </c>
      <c r="U57" s="319">
        <f t="shared" si="23"/>
        <v>1000000000</v>
      </c>
      <c r="V57" s="319">
        <f t="shared" si="24"/>
        <v>3311.3119360000005</v>
      </c>
      <c r="X57" s="345">
        <f t="shared" si="17"/>
        <v>60.048562213270465</v>
      </c>
      <c r="Y57" s="346">
        <f t="shared" si="18"/>
        <v>-88.052548662253017</v>
      </c>
      <c r="AA57" s="345">
        <f t="shared" si="19"/>
        <v>59.740592427308897</v>
      </c>
      <c r="AB57" s="346">
        <f t="shared" si="20"/>
        <v>-1.4682505141595539</v>
      </c>
      <c r="AD57">
        <f t="shared" si="25"/>
        <v>0</v>
      </c>
      <c r="AE57">
        <f t="shared" si="26"/>
        <v>0</v>
      </c>
    </row>
    <row r="58" spans="1:31" x14ac:dyDescent="0.25">
      <c r="A58" s="347">
        <v>63.095999999999997</v>
      </c>
      <c r="B58" s="364">
        <f t="shared" si="22"/>
        <v>6.3095999999999999E-2</v>
      </c>
      <c r="C58" s="337">
        <f t="shared" si="0"/>
        <v>1.000374281049089</v>
      </c>
      <c r="D58" s="338">
        <f t="shared" si="1"/>
        <v>2.7355597152143786E-2</v>
      </c>
      <c r="E58" s="338">
        <f t="shared" si="2"/>
        <v>1.0000000130813849</v>
      </c>
      <c r="F58" s="339">
        <f t="shared" si="3"/>
        <v>1.6174909334242896E-4</v>
      </c>
      <c r="G58" s="338">
        <f t="shared" si="4"/>
        <v>1</v>
      </c>
      <c r="H58" s="339">
        <f t="shared" si="5"/>
        <v>0</v>
      </c>
      <c r="I58" s="337">
        <f t="shared" si="6"/>
        <v>83.758461690402896</v>
      </c>
      <c r="J58" s="340">
        <f t="shared" si="7"/>
        <v>1.558856950899866</v>
      </c>
      <c r="K58" s="348">
        <f t="shared" si="8"/>
        <v>1.0002772337434909</v>
      </c>
      <c r="L58" s="349">
        <f t="shared" si="9"/>
        <v>2.3544413768407792E-2</v>
      </c>
      <c r="M58" s="337">
        <f t="shared" si="10"/>
        <v>1.0000001988157103</v>
      </c>
      <c r="N58" s="340">
        <f t="shared" si="11"/>
        <v>6.3058017332117257E-4</v>
      </c>
      <c r="O58" s="341">
        <f t="shared" si="12"/>
        <v>1.0000000789191006</v>
      </c>
      <c r="P58" s="342">
        <f t="shared" si="13"/>
        <v>9.0325639352035352E-4</v>
      </c>
      <c r="Q58" s="343">
        <f t="shared" si="14"/>
        <v>55.37998087442201</v>
      </c>
      <c r="R58" s="344">
        <f t="shared" si="15"/>
        <v>-89.612903797784895</v>
      </c>
      <c r="S58" s="346">
        <f t="shared" si="16"/>
        <v>90.387096202215105</v>
      </c>
      <c r="U58" s="319">
        <f t="shared" si="23"/>
        <v>1000000000</v>
      </c>
      <c r="V58" s="319">
        <f t="shared" si="24"/>
        <v>3981.1052159999995</v>
      </c>
      <c r="X58" s="345">
        <f t="shared" si="17"/>
        <v>59.249056512051943</v>
      </c>
      <c r="Y58" s="346">
        <f t="shared" si="18"/>
        <v>-88.003058294289119</v>
      </c>
      <c r="AA58" s="345">
        <f t="shared" si="19"/>
        <v>59.740045651532697</v>
      </c>
      <c r="AB58" s="346">
        <f t="shared" si="20"/>
        <v>-1.6098455034957848</v>
      </c>
      <c r="AD58">
        <f t="shared" si="25"/>
        <v>0</v>
      </c>
      <c r="AE58">
        <f t="shared" si="26"/>
        <v>0</v>
      </c>
    </row>
    <row r="59" spans="1:31" x14ac:dyDescent="0.25">
      <c r="A59" s="347">
        <v>69.183000000000007</v>
      </c>
      <c r="B59" s="364">
        <f t="shared" si="22"/>
        <v>6.9183000000000008E-2</v>
      </c>
      <c r="C59" s="337">
        <f t="shared" si="0"/>
        <v>1.0004499627193899</v>
      </c>
      <c r="D59" s="338">
        <f t="shared" si="1"/>
        <v>2.9993134618029528E-2</v>
      </c>
      <c r="E59" s="338">
        <f t="shared" si="2"/>
        <v>1.000000015727107</v>
      </c>
      <c r="F59" s="339">
        <f t="shared" si="3"/>
        <v>1.7735335845333572E-4</v>
      </c>
      <c r="G59" s="338">
        <f t="shared" si="4"/>
        <v>1</v>
      </c>
      <c r="H59" s="339">
        <f t="shared" si="5"/>
        <v>0</v>
      </c>
      <c r="I59" s="337">
        <f t="shared" si="6"/>
        <v>91.837710449149284</v>
      </c>
      <c r="J59" s="340">
        <f t="shared" si="7"/>
        <v>1.5599073384146269</v>
      </c>
      <c r="K59" s="348">
        <f t="shared" si="8"/>
        <v>1.0003332951875592</v>
      </c>
      <c r="L59" s="349">
        <f t="shared" si="9"/>
        <v>2.5814826843434557E-2</v>
      </c>
      <c r="M59" s="337">
        <f t="shared" si="10"/>
        <v>1.00000023902637</v>
      </c>
      <c r="N59" s="340">
        <f t="shared" si="11"/>
        <v>6.914135121308387E-4</v>
      </c>
      <c r="O59" s="341">
        <f t="shared" si="12"/>
        <v>1.0000000948805754</v>
      </c>
      <c r="P59" s="342">
        <f t="shared" si="13"/>
        <v>9.9039539422586054E-4</v>
      </c>
      <c r="Q59" s="343">
        <f t="shared" si="14"/>
        <v>54.579963001160024</v>
      </c>
      <c r="R59" s="344">
        <f t="shared" si="15"/>
        <v>-89.701705379493589</v>
      </c>
      <c r="S59" s="346">
        <f t="shared" si="16"/>
        <v>90.298294620506411</v>
      </c>
      <c r="U59" s="319">
        <f t="shared" si="23"/>
        <v>1000000000</v>
      </c>
      <c r="V59" s="319">
        <f t="shared" si="24"/>
        <v>4786.2874890000012</v>
      </c>
      <c r="X59" s="345">
        <f t="shared" si="17"/>
        <v>58.449695846283348</v>
      </c>
      <c r="Y59" s="346">
        <f t="shared" si="18"/>
        <v>-87.936641472279391</v>
      </c>
      <c r="AA59" s="345">
        <f t="shared" si="19"/>
        <v>59.739388444039314</v>
      </c>
      <c r="AB59" s="346">
        <f t="shared" si="20"/>
        <v>-1.7650639072141863</v>
      </c>
      <c r="AD59">
        <f t="shared" si="25"/>
        <v>0</v>
      </c>
      <c r="AE59">
        <f t="shared" si="26"/>
        <v>0</v>
      </c>
    </row>
    <row r="60" spans="1:31" x14ac:dyDescent="0.25">
      <c r="A60" s="347">
        <v>75.858000000000004</v>
      </c>
      <c r="B60" s="364">
        <f t="shared" si="22"/>
        <v>7.5858000000000009E-2</v>
      </c>
      <c r="C60" s="337">
        <f t="shared" si="0"/>
        <v>1.0005409545458721</v>
      </c>
      <c r="D60" s="338">
        <f t="shared" si="1"/>
        <v>3.2884975248209936E-2</v>
      </c>
      <c r="E60" s="338">
        <f t="shared" si="2"/>
        <v>1.0000000189083154</v>
      </c>
      <c r="F60" s="339">
        <f t="shared" si="3"/>
        <v>1.9446498470752238E-4</v>
      </c>
      <c r="G60" s="338">
        <f t="shared" si="4"/>
        <v>1</v>
      </c>
      <c r="H60" s="339">
        <f t="shared" si="5"/>
        <v>0</v>
      </c>
      <c r="I60" s="337">
        <f t="shared" si="6"/>
        <v>100.69750594994713</v>
      </c>
      <c r="J60" s="340">
        <f t="shared" si="7"/>
        <v>1.5608654310108305</v>
      </c>
      <c r="K60" s="348">
        <f t="shared" si="8"/>
        <v>1.0004006991347774</v>
      </c>
      <c r="L60" s="349">
        <f t="shared" si="9"/>
        <v>2.8304253414674345E-2</v>
      </c>
      <c r="M60" s="337">
        <f t="shared" si="10"/>
        <v>1.0000002873755407</v>
      </c>
      <c r="N60" s="340">
        <f t="shared" si="11"/>
        <v>7.5812330359534101E-4</v>
      </c>
      <c r="O60" s="341">
        <f t="shared" si="12"/>
        <v>1.0000001140726087</v>
      </c>
      <c r="P60" s="342">
        <f t="shared" si="13"/>
        <v>1.0859519659119563E-3</v>
      </c>
      <c r="Q60" s="343">
        <f t="shared" si="14"/>
        <v>53.779804414254279</v>
      </c>
      <c r="R60" s="344">
        <f t="shared" si="15"/>
        <v>-89.787973422731881</v>
      </c>
      <c r="S60" s="346">
        <f t="shared" si="16"/>
        <v>90.212026577268119</v>
      </c>
      <c r="U60" s="319">
        <f t="shared" si="23"/>
        <v>1000000000</v>
      </c>
      <c r="V60" s="319">
        <f t="shared" si="24"/>
        <v>5754.4361640000006</v>
      </c>
      <c r="X60" s="345">
        <f t="shared" si="17"/>
        <v>57.65032735201985</v>
      </c>
      <c r="Y60" s="346">
        <f t="shared" si="18"/>
        <v>-87.852724687892064</v>
      </c>
      <c r="AA60" s="345">
        <f t="shared" si="19"/>
        <v>59.738598351397052</v>
      </c>
      <c r="AB60" s="346">
        <f t="shared" si="20"/>
        <v>-1.9352487348398226</v>
      </c>
      <c r="AD60">
        <f t="shared" si="25"/>
        <v>0</v>
      </c>
      <c r="AE60">
        <f t="shared" si="26"/>
        <v>0</v>
      </c>
    </row>
    <row r="61" spans="1:31" x14ac:dyDescent="0.25">
      <c r="A61" s="347">
        <v>83.176000000000002</v>
      </c>
      <c r="B61" s="364">
        <f t="shared" si="22"/>
        <v>8.3176E-2</v>
      </c>
      <c r="C61" s="337">
        <f t="shared" si="0"/>
        <v>1.000650324802336</v>
      </c>
      <c r="D61" s="338">
        <f t="shared" si="1"/>
        <v>3.6054751767739562E-2</v>
      </c>
      <c r="E61" s="338">
        <f t="shared" si="2"/>
        <v>1.0000000227324437</v>
      </c>
      <c r="F61" s="339">
        <f t="shared" si="3"/>
        <v>2.1322496673780605E-4</v>
      </c>
      <c r="G61" s="338">
        <f t="shared" si="4"/>
        <v>1</v>
      </c>
      <c r="H61" s="339">
        <f t="shared" si="5"/>
        <v>0</v>
      </c>
      <c r="I61" s="337">
        <f t="shared" si="6"/>
        <v>110.41085025271204</v>
      </c>
      <c r="J61" s="340">
        <f t="shared" si="7"/>
        <v>1.5617391220908163</v>
      </c>
      <c r="K61" s="348">
        <f t="shared" si="8"/>
        <v>1.0004817193598079</v>
      </c>
      <c r="L61" s="349">
        <f t="shared" si="9"/>
        <v>3.1033081101124051E-2</v>
      </c>
      <c r="M61" s="337">
        <f t="shared" si="10"/>
        <v>1.00000034549604</v>
      </c>
      <c r="N61" s="340">
        <f t="shared" si="11"/>
        <v>8.3125921401238387E-4</v>
      </c>
      <c r="O61" s="341">
        <f t="shared" si="12"/>
        <v>1.000000137143346</v>
      </c>
      <c r="P61" s="342">
        <f t="shared" si="13"/>
        <v>1.1907134675756537E-3</v>
      </c>
      <c r="Q61" s="343">
        <f t="shared" si="14"/>
        <v>52.979696949782571</v>
      </c>
      <c r="R61" s="344">
        <f t="shared" si="15"/>
        <v>-89.872414644530934</v>
      </c>
      <c r="S61" s="346">
        <f t="shared" si="16"/>
        <v>90.127585355469066</v>
      </c>
      <c r="U61" s="319">
        <f t="shared" si="23"/>
        <v>1000000000</v>
      </c>
      <c r="V61" s="319">
        <f t="shared" si="24"/>
        <v>6918.2469760000004</v>
      </c>
      <c r="X61" s="345">
        <f t="shared" si="17"/>
        <v>56.851169467192605</v>
      </c>
      <c r="Y61" s="346">
        <f t="shared" si="18"/>
        <v>-87.750623568802524</v>
      </c>
      <c r="AA61" s="345">
        <f t="shared" si="19"/>
        <v>59.737648771752603</v>
      </c>
      <c r="AB61" s="346">
        <f t="shared" si="20"/>
        <v>-2.1217910757283995</v>
      </c>
      <c r="AD61">
        <f t="shared" si="25"/>
        <v>0</v>
      </c>
      <c r="AE61">
        <f t="shared" si="26"/>
        <v>0</v>
      </c>
    </row>
    <row r="62" spans="1:31" x14ac:dyDescent="0.25">
      <c r="A62" s="347">
        <v>91.201000000000008</v>
      </c>
      <c r="B62" s="364">
        <f t="shared" si="22"/>
        <v>9.1201000000000004E-2</v>
      </c>
      <c r="C62" s="337">
        <f t="shared" si="0"/>
        <v>1.0007818166468476</v>
      </c>
      <c r="D62" s="338">
        <f t="shared" si="1"/>
        <v>3.9529928460549486E-2</v>
      </c>
      <c r="E62" s="338">
        <f t="shared" si="2"/>
        <v>1.000000027330606</v>
      </c>
      <c r="F62" s="339">
        <f t="shared" si="3"/>
        <v>2.337973710185999E-4</v>
      </c>
      <c r="G62" s="338">
        <f t="shared" si="4"/>
        <v>1</v>
      </c>
      <c r="H62" s="339">
        <f t="shared" si="5"/>
        <v>0</v>
      </c>
      <c r="I62" s="337">
        <f t="shared" si="6"/>
        <v>121.06269198284294</v>
      </c>
      <c r="J62" s="340">
        <f t="shared" si="7"/>
        <v>1.5625360497785747</v>
      </c>
      <c r="K62" s="348">
        <f t="shared" si="8"/>
        <v>1.0005791300394349</v>
      </c>
      <c r="L62" s="349">
        <f t="shared" si="9"/>
        <v>3.4025010932723566E-2</v>
      </c>
      <c r="M62" s="337">
        <f t="shared" si="10"/>
        <v>1.0000004153805886</v>
      </c>
      <c r="N62" s="340">
        <f t="shared" si="11"/>
        <v>9.1146085463476877E-4</v>
      </c>
      <c r="O62" s="341">
        <f t="shared" si="12"/>
        <v>1.0000001648837964</v>
      </c>
      <c r="P62" s="342">
        <f t="shared" si="13"/>
        <v>1.3055960990478674E-3</v>
      </c>
      <c r="Q62" s="343">
        <f t="shared" si="14"/>
        <v>52.179429035972845</v>
      </c>
      <c r="R62" s="344">
        <f t="shared" si="15"/>
        <v>-89.955762036822819</v>
      </c>
      <c r="S62" s="346">
        <f t="shared" si="16"/>
        <v>90.044237963177181</v>
      </c>
      <c r="U62" s="319">
        <f t="shared" si="23"/>
        <v>1000000000</v>
      </c>
      <c r="V62" s="319">
        <f t="shared" si="24"/>
        <v>8317.6224010000005</v>
      </c>
      <c r="X62" s="345">
        <f t="shared" si="17"/>
        <v>56.052043060789465</v>
      </c>
      <c r="Y62" s="346">
        <f t="shared" si="18"/>
        <v>-87.629454425317505</v>
      </c>
      <c r="AA62" s="345">
        <f t="shared" si="19"/>
        <v>59.736507264346002</v>
      </c>
      <c r="AB62" s="346">
        <f t="shared" si="20"/>
        <v>-2.3263076115053218</v>
      </c>
      <c r="AD62">
        <f t="shared" si="25"/>
        <v>0</v>
      </c>
      <c r="AE62">
        <f t="shared" si="26"/>
        <v>0</v>
      </c>
    </row>
    <row r="63" spans="1:31" x14ac:dyDescent="0.25">
      <c r="A63" s="347">
        <v>100</v>
      </c>
      <c r="B63" s="364">
        <f t="shared" si="22"/>
        <v>0.1</v>
      </c>
      <c r="C63" s="337">
        <f t="shared" si="0"/>
        <v>1.0009398778289631</v>
      </c>
      <c r="D63" s="338">
        <f t="shared" si="1"/>
        <v>4.3339180355498885E-2</v>
      </c>
      <c r="E63" s="338">
        <f t="shared" si="2"/>
        <v>1.000000032858676</v>
      </c>
      <c r="F63" s="339">
        <f t="shared" si="3"/>
        <v>2.5635395462436568E-4</v>
      </c>
      <c r="G63" s="338">
        <f t="shared" si="4"/>
        <v>1</v>
      </c>
      <c r="H63" s="339">
        <f t="shared" si="5"/>
        <v>0</v>
      </c>
      <c r="I63" s="337">
        <f t="shared" si="6"/>
        <v>132.74196241653053</v>
      </c>
      <c r="J63" s="340">
        <f t="shared" si="7"/>
        <v>1.5632628427273512</v>
      </c>
      <c r="K63" s="348">
        <f t="shared" si="8"/>
        <v>1.0006962279794012</v>
      </c>
      <c r="L63" s="349">
        <f t="shared" si="9"/>
        <v>3.7304805983834143E-2</v>
      </c>
      <c r="M63" s="337">
        <f t="shared" si="10"/>
        <v>1.0000004993982066</v>
      </c>
      <c r="N63" s="340">
        <f t="shared" si="11"/>
        <v>9.9939781754835363E-4</v>
      </c>
      <c r="O63" s="341">
        <f t="shared" si="12"/>
        <v>1.0000001982343434</v>
      </c>
      <c r="P63" s="342">
        <f t="shared" si="13"/>
        <v>1.4315590076089612E-3</v>
      </c>
      <c r="Q63" s="343">
        <f t="shared" si="14"/>
        <v>51.379114653885168</v>
      </c>
      <c r="R63" s="344">
        <f t="shared" si="15"/>
        <v>-90.03870301088169</v>
      </c>
      <c r="S63" s="346">
        <f t="shared" si="16"/>
        <v>89.96129698911831</v>
      </c>
      <c r="U63" s="319">
        <f t="shared" si="23"/>
        <v>1000000000</v>
      </c>
      <c r="V63" s="319">
        <f t="shared" si="24"/>
        <v>10000</v>
      </c>
      <c r="X63" s="345">
        <f t="shared" si="17"/>
        <v>55.253100641509121</v>
      </c>
      <c r="Y63" s="346">
        <f t="shared" si="18"/>
        <v>-87.488216596442498</v>
      </c>
      <c r="AA63" s="345">
        <f t="shared" si="19"/>
        <v>59.735135301538676</v>
      </c>
      <c r="AB63" s="346">
        <f t="shared" si="20"/>
        <v>-2.5504864144391939</v>
      </c>
      <c r="AD63">
        <f t="shared" si="25"/>
        <v>0</v>
      </c>
      <c r="AE63">
        <f t="shared" si="26"/>
        <v>0</v>
      </c>
    </row>
    <row r="64" spans="1:31" x14ac:dyDescent="0.25">
      <c r="A64" s="347">
        <v>109.65</v>
      </c>
      <c r="B64" s="364">
        <f t="shared" si="22"/>
        <v>0.10965000000000001</v>
      </c>
      <c r="C64" s="337">
        <f t="shared" si="0"/>
        <v>1.0011299193119265</v>
      </c>
      <c r="D64" s="338">
        <f t="shared" si="1"/>
        <v>4.7515395513089004E-2</v>
      </c>
      <c r="E64" s="338">
        <f t="shared" si="2"/>
        <v>1.0000000395063884</v>
      </c>
      <c r="F64" s="339">
        <f t="shared" si="3"/>
        <v>2.8109210999987063E-4</v>
      </c>
      <c r="G64" s="338">
        <f t="shared" si="4"/>
        <v>1</v>
      </c>
      <c r="H64" s="339">
        <f t="shared" si="5"/>
        <v>0</v>
      </c>
      <c r="I64" s="337">
        <f t="shared" si="6"/>
        <v>145.55086680325317</v>
      </c>
      <c r="J64" s="340">
        <f t="shared" si="7"/>
        <v>1.5639258224185804</v>
      </c>
      <c r="K64" s="348">
        <f t="shared" si="8"/>
        <v>1.000837024523852</v>
      </c>
      <c r="L64" s="349">
        <f t="shared" si="9"/>
        <v>4.0900882603007005E-2</v>
      </c>
      <c r="M64" s="337">
        <f t="shared" si="10"/>
        <v>1.0000006004325512</v>
      </c>
      <c r="N64" s="340">
        <f t="shared" si="11"/>
        <v>1.095839633130171E-3</v>
      </c>
      <c r="O64" s="341">
        <f t="shared" si="12"/>
        <v>1.0000002383396576</v>
      </c>
      <c r="P64" s="342">
        <f t="shared" si="13"/>
        <v>1.5697044973592262E-3</v>
      </c>
      <c r="Q64" s="343">
        <f t="shared" si="14"/>
        <v>50.578555272921164</v>
      </c>
      <c r="R64" s="344">
        <f t="shared" si="15"/>
        <v>-90.121951909598238</v>
      </c>
      <c r="S64" s="346">
        <f t="shared" si="16"/>
        <v>89.878048090401762</v>
      </c>
      <c r="U64" s="319">
        <f t="shared" si="23"/>
        <v>1000000000</v>
      </c>
      <c r="V64" s="319">
        <f t="shared" si="24"/>
        <v>12023.122500000001</v>
      </c>
      <c r="X64" s="345">
        <f t="shared" si="17"/>
        <v>54.454190523987087</v>
      </c>
      <c r="Y64" s="346">
        <f t="shared" si="18"/>
        <v>-87.32568823038423</v>
      </c>
      <c r="AA64" s="345">
        <f t="shared" si="19"/>
        <v>59.733486038096714</v>
      </c>
      <c r="AB64" s="346">
        <f t="shared" si="20"/>
        <v>-2.7962636792140136</v>
      </c>
      <c r="AD64">
        <f t="shared" si="25"/>
        <v>0</v>
      </c>
      <c r="AE64">
        <f t="shared" si="26"/>
        <v>0</v>
      </c>
    </row>
    <row r="65" spans="1:31" x14ac:dyDescent="0.25">
      <c r="A65" s="347">
        <v>120.23</v>
      </c>
      <c r="B65" s="364">
        <f t="shared" si="22"/>
        <v>0.12023</v>
      </c>
      <c r="C65" s="337">
        <f t="shared" si="0"/>
        <v>1.0013583331039446</v>
      </c>
      <c r="D65" s="338">
        <f t="shared" si="1"/>
        <v>5.2092174588667349E-2</v>
      </c>
      <c r="E65" s="338">
        <f t="shared" si="2"/>
        <v>1.0000000474980466</v>
      </c>
      <c r="F65" s="339">
        <f t="shared" si="3"/>
        <v>3.0821435663683206E-4</v>
      </c>
      <c r="G65" s="338">
        <f t="shared" si="4"/>
        <v>1</v>
      </c>
      <c r="H65" s="339">
        <f t="shared" si="5"/>
        <v>0</v>
      </c>
      <c r="I65" s="337">
        <f t="shared" si="6"/>
        <v>159.59426561342644</v>
      </c>
      <c r="J65" s="340">
        <f t="shared" si="7"/>
        <v>1.5645303965007638</v>
      </c>
      <c r="K65" s="348">
        <f t="shared" si="8"/>
        <v>1.0010062592202147</v>
      </c>
      <c r="L65" s="349">
        <f t="shared" si="9"/>
        <v>4.4842304715820937E-2</v>
      </c>
      <c r="M65" s="337">
        <f t="shared" si="10"/>
        <v>1.0000007218926572</v>
      </c>
      <c r="N65" s="340">
        <f t="shared" si="11"/>
        <v>1.2015758178091512E-3</v>
      </c>
      <c r="O65" s="341">
        <f t="shared" si="12"/>
        <v>1.000000286552964</v>
      </c>
      <c r="P65" s="342">
        <f t="shared" si="13"/>
        <v>1.7211635047534833E-3</v>
      </c>
      <c r="Q65" s="343">
        <f t="shared" si="14"/>
        <v>49.77799122725132</v>
      </c>
      <c r="R65" s="344">
        <f t="shared" si="15"/>
        <v>-90.206176934210887</v>
      </c>
      <c r="S65" s="346">
        <f t="shared" si="16"/>
        <v>89.793823065789113</v>
      </c>
      <c r="U65" s="319">
        <f t="shared" si="23"/>
        <v>1000000000</v>
      </c>
      <c r="V65" s="319">
        <f t="shared" si="24"/>
        <v>14455.252900000001</v>
      </c>
      <c r="X65" s="345">
        <f t="shared" si="17"/>
        <v>53.655608339425115</v>
      </c>
      <c r="Y65" s="346">
        <f t="shared" si="18"/>
        <v>-87.140559158264949</v>
      </c>
      <c r="AA65" s="345">
        <f t="shared" si="19"/>
        <v>59.731504176988828</v>
      </c>
      <c r="AB65" s="346">
        <f t="shared" si="20"/>
        <v>-3.0656177759459422</v>
      </c>
      <c r="AD65">
        <f t="shared" si="25"/>
        <v>0</v>
      </c>
      <c r="AE65">
        <f t="shared" si="26"/>
        <v>0</v>
      </c>
    </row>
    <row r="66" spans="1:31" x14ac:dyDescent="0.25">
      <c r="A66" s="347">
        <v>131.83000000000001</v>
      </c>
      <c r="B66" s="364">
        <f t="shared" si="22"/>
        <v>0.13183</v>
      </c>
      <c r="C66" s="337">
        <f t="shared" si="0"/>
        <v>1.0016328621655379</v>
      </c>
      <c r="D66" s="338">
        <f t="shared" si="1"/>
        <v>5.7107677090346101E-2</v>
      </c>
      <c r="E66" s="338">
        <f t="shared" si="2"/>
        <v>1.0000000571055814</v>
      </c>
      <c r="F66" s="339">
        <f t="shared" si="3"/>
        <v>3.3795141291845075E-4</v>
      </c>
      <c r="G66" s="338">
        <f t="shared" si="4"/>
        <v>1</v>
      </c>
      <c r="H66" s="339">
        <f t="shared" si="5"/>
        <v>0</v>
      </c>
      <c r="I66" s="337">
        <f t="shared" si="6"/>
        <v>174.99162063720092</v>
      </c>
      <c r="J66" s="340">
        <f t="shared" si="7"/>
        <v>1.5650817363525844</v>
      </c>
      <c r="K66" s="348">
        <f t="shared" si="8"/>
        <v>1.0012096745286996</v>
      </c>
      <c r="L66" s="349">
        <f t="shared" si="9"/>
        <v>4.9162106526902803E-2</v>
      </c>
      <c r="M66" s="337">
        <f t="shared" si="10"/>
        <v>1.0000008679114196</v>
      </c>
      <c r="N66" s="340">
        <f t="shared" si="11"/>
        <v>1.317505819195249E-3</v>
      </c>
      <c r="O66" s="341">
        <f t="shared" si="12"/>
        <v>1.0000003445148296</v>
      </c>
      <c r="P66" s="342">
        <f t="shared" si="13"/>
        <v>1.8872244393276702E-3</v>
      </c>
      <c r="Q66" s="343">
        <f t="shared" si="14"/>
        <v>48.977374045824448</v>
      </c>
      <c r="R66" s="344">
        <f t="shared" si="15"/>
        <v>-90.292080176942662</v>
      </c>
      <c r="S66" s="346">
        <f t="shared" si="16"/>
        <v>89.707919823057338</v>
      </c>
      <c r="U66" s="319">
        <f t="shared" si="23"/>
        <v>1000000000</v>
      </c>
      <c r="V66" s="319">
        <f t="shared" si="24"/>
        <v>17379.148900000004</v>
      </c>
      <c r="X66" s="345">
        <f t="shared" si="17"/>
        <v>52.857372546174474</v>
      </c>
      <c r="Y66" s="346">
        <f t="shared" si="18"/>
        <v>-86.931284492302908</v>
      </c>
      <c r="AA66" s="345">
        <f t="shared" si="19"/>
        <v>59.729122788812603</v>
      </c>
      <c r="AB66" s="346">
        <f t="shared" si="20"/>
        <v>-3.3607956846397498</v>
      </c>
      <c r="AD66">
        <f t="shared" si="25"/>
        <v>0</v>
      </c>
      <c r="AE66">
        <f t="shared" si="26"/>
        <v>0</v>
      </c>
    </row>
    <row r="67" spans="1:31" x14ac:dyDescent="0.25">
      <c r="A67" s="347">
        <v>144.54</v>
      </c>
      <c r="B67" s="364">
        <f t="shared" si="22"/>
        <v>0.14454</v>
      </c>
      <c r="C67" s="337">
        <f t="shared" si="0"/>
        <v>1.0019625719689338</v>
      </c>
      <c r="D67" s="338">
        <f t="shared" si="1"/>
        <v>6.2599801830317103E-2</v>
      </c>
      <c r="E67" s="338">
        <f t="shared" si="2"/>
        <v>1.0000000686477255</v>
      </c>
      <c r="F67" s="339">
        <f t="shared" si="3"/>
        <v>3.7053399717335196E-4</v>
      </c>
      <c r="G67" s="338">
        <f t="shared" si="4"/>
        <v>1</v>
      </c>
      <c r="H67" s="339">
        <f t="shared" si="5"/>
        <v>0</v>
      </c>
      <c r="I67" s="337">
        <f t="shared" si="6"/>
        <v>191.86239405427244</v>
      </c>
      <c r="J67" s="340">
        <f t="shared" si="7"/>
        <v>1.5655842343856738</v>
      </c>
      <c r="K67" s="348">
        <f t="shared" si="8"/>
        <v>1.0014539956738628</v>
      </c>
      <c r="L67" s="349">
        <f t="shared" si="9"/>
        <v>5.3893155486247138E-2</v>
      </c>
      <c r="M67" s="337">
        <f t="shared" si="10"/>
        <v>1.0000010433330411</v>
      </c>
      <c r="N67" s="340">
        <f t="shared" si="11"/>
        <v>1.4445290816648003E-3</v>
      </c>
      <c r="O67" s="341">
        <f t="shared" si="12"/>
        <v>1.0000004141481877</v>
      </c>
      <c r="P67" s="342">
        <f t="shared" si="13"/>
        <v>2.0691757126117248E-3</v>
      </c>
      <c r="Q67" s="343">
        <f t="shared" si="14"/>
        <v>48.177180537288464</v>
      </c>
      <c r="R67" s="344">
        <f t="shared" si="15"/>
        <v>-90.380313715984911</v>
      </c>
      <c r="S67" s="346">
        <f t="shared" si="16"/>
        <v>89.619686284015089</v>
      </c>
      <c r="U67" s="319">
        <f t="shared" si="23"/>
        <v>1000000000</v>
      </c>
      <c r="V67" s="319">
        <f t="shared" si="24"/>
        <v>20891.811599999997</v>
      </c>
      <c r="X67" s="345">
        <f t="shared" si="17"/>
        <v>52.060038226098072</v>
      </c>
      <c r="Y67" s="346">
        <f t="shared" si="18"/>
        <v>-86.696284267343316</v>
      </c>
      <c r="AA67" s="345">
        <f t="shared" si="19"/>
        <v>59.726263600353029</v>
      </c>
      <c r="AB67" s="346">
        <f t="shared" si="20"/>
        <v>-3.6840294486415943</v>
      </c>
      <c r="AD67">
        <f t="shared" si="25"/>
        <v>0</v>
      </c>
      <c r="AE67">
        <f t="shared" si="26"/>
        <v>0</v>
      </c>
    </row>
    <row r="68" spans="1:31" x14ac:dyDescent="0.25">
      <c r="A68" s="347">
        <v>158.49</v>
      </c>
      <c r="B68" s="364">
        <f t="shared" si="22"/>
        <v>0.15849000000000002</v>
      </c>
      <c r="C68" s="337">
        <f t="shared" si="0"/>
        <v>1.002359213176097</v>
      </c>
      <c r="D68" s="338">
        <f t="shared" si="1"/>
        <v>6.862338166589356E-2</v>
      </c>
      <c r="E68" s="338">
        <f t="shared" si="2"/>
        <v>1.0000000825379691</v>
      </c>
      <c r="F68" s="339">
        <f t="shared" si="3"/>
        <v>4.0629536922784631E-4</v>
      </c>
      <c r="G68" s="338">
        <f t="shared" si="4"/>
        <v>1</v>
      </c>
      <c r="H68" s="339">
        <f t="shared" si="5"/>
        <v>0</v>
      </c>
      <c r="I68" s="337">
        <f t="shared" si="6"/>
        <v>210.37914297115498</v>
      </c>
      <c r="J68" s="340">
        <f t="shared" si="7"/>
        <v>1.56604298598556</v>
      </c>
      <c r="K68" s="348">
        <f t="shared" si="8"/>
        <v>1.0017479417908461</v>
      </c>
      <c r="L68" s="349">
        <f t="shared" si="9"/>
        <v>5.9082983997135151E-2</v>
      </c>
      <c r="M68" s="337">
        <f t="shared" si="10"/>
        <v>1.0000012544418821</v>
      </c>
      <c r="N68" s="340">
        <f t="shared" si="11"/>
        <v>1.5839448037343602E-3</v>
      </c>
      <c r="O68" s="341">
        <f t="shared" si="12"/>
        <v>1.0000004979476571</v>
      </c>
      <c r="P68" s="342">
        <f t="shared" si="13"/>
        <v>2.2688783628137289E-3</v>
      </c>
      <c r="Q68" s="343">
        <f t="shared" si="14"/>
        <v>47.37603299986722</v>
      </c>
      <c r="R68" s="344">
        <f t="shared" si="15"/>
        <v>-90.471749754474033</v>
      </c>
      <c r="S68" s="346">
        <f t="shared" si="16"/>
        <v>89.528250245525967</v>
      </c>
      <c r="U68" s="319">
        <f t="shared" si="23"/>
        <v>1000000000</v>
      </c>
      <c r="V68" s="319">
        <f t="shared" si="24"/>
        <v>25119.080100000003</v>
      </c>
      <c r="X68" s="345">
        <f t="shared" si="17"/>
        <v>51.262329049081302</v>
      </c>
      <c r="Y68" s="346">
        <f t="shared" si="18"/>
        <v>-86.433201459962859</v>
      </c>
      <c r="AA68" s="345">
        <f t="shared" si="19"/>
        <v>59.722825239948548</v>
      </c>
      <c r="AB68" s="346">
        <f t="shared" si="20"/>
        <v>-4.0385482945111608</v>
      </c>
      <c r="AD68">
        <f t="shared" si="25"/>
        <v>0</v>
      </c>
      <c r="AE68">
        <f t="shared" si="26"/>
        <v>0</v>
      </c>
    </row>
    <row r="69" spans="1:31" x14ac:dyDescent="0.25">
      <c r="A69" s="347">
        <v>173.78</v>
      </c>
      <c r="B69" s="364">
        <f t="shared" si="22"/>
        <v>0.17377999999999999</v>
      </c>
      <c r="C69" s="337">
        <f t="shared" si="0"/>
        <v>1.0028356962393448</v>
      </c>
      <c r="D69" s="338">
        <f t="shared" si="1"/>
        <v>7.5219830321113429E-2</v>
      </c>
      <c r="E69" s="338">
        <f t="shared" si="2"/>
        <v>1.000000099231517</v>
      </c>
      <c r="F69" s="339">
        <f t="shared" si="3"/>
        <v>4.4549188263384861E-4</v>
      </c>
      <c r="G69" s="338">
        <f t="shared" si="4"/>
        <v>1</v>
      </c>
      <c r="H69" s="339">
        <f t="shared" si="5"/>
        <v>0</v>
      </c>
      <c r="I69" s="337">
        <f t="shared" si="6"/>
        <v>230.67460397783751</v>
      </c>
      <c r="J69" s="340">
        <f t="shared" si="7"/>
        <v>1.5664612022732549</v>
      </c>
      <c r="K69" s="348">
        <f t="shared" si="8"/>
        <v>1.0021010975084317</v>
      </c>
      <c r="L69" s="349">
        <f t="shared" si="9"/>
        <v>6.476766554442398E-2</v>
      </c>
      <c r="M69" s="337">
        <f t="shared" si="10"/>
        <v>1.0000015081562743</v>
      </c>
      <c r="N69" s="340">
        <f t="shared" si="11"/>
        <v>1.7367523593606932E-3</v>
      </c>
      <c r="O69" s="341">
        <f t="shared" si="12"/>
        <v>1.0000005986595384</v>
      </c>
      <c r="P69" s="342">
        <f t="shared" si="13"/>
        <v>2.4877639636549913E-3</v>
      </c>
      <c r="Q69" s="343">
        <f t="shared" si="14"/>
        <v>46.575021646513015</v>
      </c>
      <c r="R69" s="344">
        <f t="shared" si="15"/>
        <v>-90.567002844324406</v>
      </c>
      <c r="S69" s="346">
        <f t="shared" si="16"/>
        <v>89.432997155675594</v>
      </c>
      <c r="U69" s="319">
        <f t="shared" si="23"/>
        <v>1000000000</v>
      </c>
      <c r="V69" s="319">
        <f t="shared" si="24"/>
        <v>30199.488400000002</v>
      </c>
      <c r="X69" s="345">
        <f t="shared" si="17"/>
        <v>50.465446382698424</v>
      </c>
      <c r="Y69" s="346">
        <f t="shared" si="18"/>
        <v>-86.140210455316179</v>
      </c>
      <c r="AA69" s="345">
        <f t="shared" si="19"/>
        <v>59.718696552977228</v>
      </c>
      <c r="AB69" s="346">
        <f t="shared" si="20"/>
        <v>-4.4267923890082379</v>
      </c>
      <c r="AD69">
        <f t="shared" si="25"/>
        <v>0</v>
      </c>
      <c r="AE69">
        <f t="shared" si="26"/>
        <v>0</v>
      </c>
    </row>
    <row r="70" spans="1:31" x14ac:dyDescent="0.25">
      <c r="A70" s="347">
        <v>190.55</v>
      </c>
      <c r="B70" s="364">
        <f t="shared" si="22"/>
        <v>0.19055000000000002</v>
      </c>
      <c r="C70" s="337">
        <f t="shared" si="0"/>
        <v>1.0034084258850124</v>
      </c>
      <c r="D70" s="338">
        <f t="shared" si="1"/>
        <v>8.2447229430189048E-2</v>
      </c>
      <c r="E70" s="338">
        <f t="shared" si="2"/>
        <v>1.0000001193075552</v>
      </c>
      <c r="F70" s="339">
        <f t="shared" si="3"/>
        <v>4.8848243238422363E-4</v>
      </c>
      <c r="G70" s="338">
        <f t="shared" si="4"/>
        <v>1</v>
      </c>
      <c r="H70" s="339">
        <f t="shared" si="5"/>
        <v>0</v>
      </c>
      <c r="I70" s="337">
        <f t="shared" si="6"/>
        <v>252.93460862704777</v>
      </c>
      <c r="J70" s="340">
        <f t="shared" si="7"/>
        <v>1.5668427254645234</v>
      </c>
      <c r="K70" s="348">
        <f t="shared" si="8"/>
        <v>1.0025256458045209</v>
      </c>
      <c r="L70" s="349">
        <f t="shared" si="9"/>
        <v>7.0997767528579489E-2</v>
      </c>
      <c r="M70" s="337">
        <f t="shared" si="10"/>
        <v>1.0000018132788644</v>
      </c>
      <c r="N70" s="340">
        <f t="shared" si="11"/>
        <v>1.9043508732792202E-3</v>
      </c>
      <c r="O70" s="341">
        <f t="shared" si="12"/>
        <v>1.0000007197781482</v>
      </c>
      <c r="P70" s="342">
        <f t="shared" si="13"/>
        <v>2.7278367176078403E-3</v>
      </c>
      <c r="Q70" s="343">
        <f t="shared" si="14"/>
        <v>45.773568533030399</v>
      </c>
      <c r="R70" s="344">
        <f t="shared" si="15"/>
        <v>-90.666898095281198</v>
      </c>
      <c r="S70" s="346">
        <f t="shared" si="16"/>
        <v>89.333101904718802</v>
      </c>
      <c r="U70" s="319">
        <f t="shared" si="23"/>
        <v>1000000000</v>
      </c>
      <c r="V70" s="319">
        <f t="shared" si="24"/>
        <v>36309.302500000005</v>
      </c>
      <c r="X70" s="345">
        <f t="shared" si="17"/>
        <v>49.668953330615111</v>
      </c>
      <c r="Y70" s="346">
        <f t="shared" si="18"/>
        <v>-85.814714261462299</v>
      </c>
      <c r="AA70" s="345">
        <f t="shared" si="19"/>
        <v>59.713736491577919</v>
      </c>
      <c r="AB70" s="346">
        <f t="shared" si="20"/>
        <v>-4.8521838338189003</v>
      </c>
      <c r="AD70">
        <f t="shared" si="25"/>
        <v>0</v>
      </c>
      <c r="AE70">
        <f t="shared" si="26"/>
        <v>0</v>
      </c>
    </row>
    <row r="71" spans="1:31" x14ac:dyDescent="0.25">
      <c r="A71" s="347">
        <v>208.93</v>
      </c>
      <c r="B71" s="364">
        <f t="shared" si="22"/>
        <v>0.20893</v>
      </c>
      <c r="C71" s="337">
        <f t="shared" si="0"/>
        <v>1.0040962690454822</v>
      </c>
      <c r="D71" s="338">
        <f t="shared" si="1"/>
        <v>9.0358562389579219E-2</v>
      </c>
      <c r="E71" s="338">
        <f t="shared" si="2"/>
        <v>1.0000001434338459</v>
      </c>
      <c r="F71" s="339">
        <f t="shared" si="3"/>
        <v>5.3560027791396041E-4</v>
      </c>
      <c r="G71" s="338">
        <f t="shared" si="4"/>
        <v>1</v>
      </c>
      <c r="H71" s="339">
        <f t="shared" si="5"/>
        <v>0</v>
      </c>
      <c r="I71" s="337">
        <f t="shared" si="6"/>
        <v>277.33171508650133</v>
      </c>
      <c r="J71" s="340">
        <f t="shared" si="7"/>
        <v>1.5671905287106254</v>
      </c>
      <c r="K71" s="348">
        <f t="shared" si="8"/>
        <v>1.0030356071325097</v>
      </c>
      <c r="L71" s="349">
        <f t="shared" si="9"/>
        <v>7.7819636078159102E-2</v>
      </c>
      <c r="M71" s="337">
        <f t="shared" si="10"/>
        <v>1.0000021799584804</v>
      </c>
      <c r="N71" s="340">
        <f t="shared" si="11"/>
        <v>2.088039520820584E-3</v>
      </c>
      <c r="O71" s="341">
        <f t="shared" si="12"/>
        <v>1.0000008653322263</v>
      </c>
      <c r="P71" s="342">
        <f t="shared" si="13"/>
        <v>2.9909576771778128E-3</v>
      </c>
      <c r="Q71" s="343">
        <f t="shared" si="14"/>
        <v>44.972203678772431</v>
      </c>
      <c r="R71" s="344">
        <f t="shared" si="15"/>
        <v>-90.772148117160683</v>
      </c>
      <c r="S71" s="346">
        <f t="shared" si="16"/>
        <v>89.227851882839317</v>
      </c>
      <c r="U71" s="319">
        <f t="shared" si="23"/>
        <v>1000000000</v>
      </c>
      <c r="V71" s="319">
        <f t="shared" si="24"/>
        <v>43651.744900000005</v>
      </c>
      <c r="X71" s="345">
        <f t="shared" si="17"/>
        <v>48.873541726373482</v>
      </c>
      <c r="Y71" s="346">
        <f t="shared" si="18"/>
        <v>-85.454302227117694</v>
      </c>
      <c r="AA71" s="345">
        <f t="shared" si="19"/>
        <v>59.707783241561572</v>
      </c>
      <c r="AB71" s="346">
        <f t="shared" si="20"/>
        <v>-5.3178458900429852</v>
      </c>
      <c r="AD71">
        <f t="shared" si="25"/>
        <v>0</v>
      </c>
      <c r="AE71">
        <f t="shared" si="26"/>
        <v>0</v>
      </c>
    </row>
    <row r="72" spans="1:31" x14ac:dyDescent="0.25">
      <c r="A72" s="347">
        <v>229.09</v>
      </c>
      <c r="B72" s="364">
        <f t="shared" si="22"/>
        <v>0.22909000000000002</v>
      </c>
      <c r="C72" s="337">
        <f t="shared" si="0"/>
        <v>1.004922888905158</v>
      </c>
      <c r="D72" s="338">
        <f t="shared" si="1"/>
        <v>9.9023004262353595E-2</v>
      </c>
      <c r="E72" s="338">
        <f t="shared" si="2"/>
        <v>1.0000001724496406</v>
      </c>
      <c r="F72" s="339">
        <f t="shared" si="3"/>
        <v>5.8728121999619297E-4</v>
      </c>
      <c r="G72" s="338">
        <f t="shared" si="4"/>
        <v>1</v>
      </c>
      <c r="H72" s="339">
        <f t="shared" si="5"/>
        <v>0</v>
      </c>
      <c r="I72" s="337">
        <f t="shared" si="6"/>
        <v>304.0915766758705</v>
      </c>
      <c r="J72" s="340">
        <f t="shared" si="7"/>
        <v>1.5675078378032132</v>
      </c>
      <c r="K72" s="348">
        <f t="shared" si="8"/>
        <v>1.0036485755052864</v>
      </c>
      <c r="L72" s="349">
        <f t="shared" si="9"/>
        <v>8.5293804176004268E-2</v>
      </c>
      <c r="M72" s="337">
        <f t="shared" si="10"/>
        <v>1.0000026209502795</v>
      </c>
      <c r="N72" s="340">
        <f t="shared" si="11"/>
        <v>2.289517222002933E-3</v>
      </c>
      <c r="O72" s="341">
        <f t="shared" si="12"/>
        <v>1.0000010403851782</v>
      </c>
      <c r="P72" s="342">
        <f t="shared" si="13"/>
        <v>3.2795605273774936E-3</v>
      </c>
      <c r="Q72" s="343">
        <f t="shared" si="14"/>
        <v>44.170260266391026</v>
      </c>
      <c r="R72" s="344">
        <f t="shared" si="15"/>
        <v>-90.883644700216124</v>
      </c>
      <c r="S72" s="346">
        <f t="shared" si="16"/>
        <v>89.116355299783876</v>
      </c>
      <c r="U72" s="319">
        <f t="shared" si="23"/>
        <v>1000000000</v>
      </c>
      <c r="V72" s="319">
        <f t="shared" si="24"/>
        <v>52482.2281</v>
      </c>
      <c r="X72" s="345">
        <f t="shared" si="17"/>
        <v>48.078747278631838</v>
      </c>
      <c r="Y72" s="346">
        <f t="shared" si="18"/>
        <v>-85.055788233034647</v>
      </c>
      <c r="AA72" s="345">
        <f t="shared" si="19"/>
        <v>59.700634276921811</v>
      </c>
      <c r="AB72" s="346">
        <f t="shared" si="20"/>
        <v>-5.8278564671814719</v>
      </c>
      <c r="AD72">
        <f t="shared" si="25"/>
        <v>0</v>
      </c>
      <c r="AE72">
        <f t="shared" si="26"/>
        <v>0</v>
      </c>
    </row>
    <row r="73" spans="1:31" x14ac:dyDescent="0.25">
      <c r="A73" s="347">
        <v>251.19</v>
      </c>
      <c r="B73" s="364">
        <f t="shared" si="22"/>
        <v>0.25119000000000002</v>
      </c>
      <c r="C73" s="337">
        <f t="shared" si="0"/>
        <v>1.0059155820773913</v>
      </c>
      <c r="D73" s="338">
        <f t="shared" si="1"/>
        <v>0.10850407154873375</v>
      </c>
      <c r="E73" s="338">
        <f t="shared" si="2"/>
        <v>1.0000002073264509</v>
      </c>
      <c r="F73" s="339">
        <f t="shared" si="3"/>
        <v>6.4393542372362595E-4</v>
      </c>
      <c r="G73" s="338">
        <f t="shared" si="4"/>
        <v>1</v>
      </c>
      <c r="H73" s="339">
        <f t="shared" si="5"/>
        <v>0</v>
      </c>
      <c r="I73" s="337">
        <f t="shared" si="6"/>
        <v>333.42657325392946</v>
      </c>
      <c r="J73" s="340">
        <f t="shared" si="7"/>
        <v>1.5677971612232742</v>
      </c>
      <c r="K73" s="348">
        <f t="shared" si="8"/>
        <v>1.0043848647564231</v>
      </c>
      <c r="L73" s="349">
        <f t="shared" si="9"/>
        <v>9.3476221022744568E-2</v>
      </c>
      <c r="M73" s="337">
        <f t="shared" si="10"/>
        <v>1.0000031510195273</v>
      </c>
      <c r="N73" s="340">
        <f t="shared" si="11"/>
        <v>2.5103829401784423E-3</v>
      </c>
      <c r="O73" s="341">
        <f t="shared" si="12"/>
        <v>1.0000012507984437</v>
      </c>
      <c r="P73" s="342">
        <f t="shared" si="13"/>
        <v>3.5959358077301742E-3</v>
      </c>
      <c r="Q73" s="343">
        <f t="shared" si="14"/>
        <v>43.368131557219144</v>
      </c>
      <c r="R73" s="344">
        <f t="shared" si="15"/>
        <v>-91.002164495521299</v>
      </c>
      <c r="S73" s="346">
        <f t="shared" si="16"/>
        <v>88.997835504478701</v>
      </c>
      <c r="U73" s="319">
        <f t="shared" si="23"/>
        <v>1000000000</v>
      </c>
      <c r="V73" s="319">
        <f t="shared" si="24"/>
        <v>63096.416100000002</v>
      </c>
      <c r="X73" s="345">
        <f t="shared" si="17"/>
        <v>47.285196043100214</v>
      </c>
      <c r="Y73" s="346">
        <f t="shared" si="18"/>
        <v>-84.616201965371744</v>
      </c>
      <c r="AA73" s="345">
        <f t="shared" si="19"/>
        <v>59.692056803281559</v>
      </c>
      <c r="AB73" s="346">
        <f t="shared" si="20"/>
        <v>-6.3859625301495564</v>
      </c>
      <c r="AD73">
        <f t="shared" si="25"/>
        <v>0</v>
      </c>
      <c r="AE73">
        <f t="shared" si="26"/>
        <v>0</v>
      </c>
    </row>
    <row r="74" spans="1:31" x14ac:dyDescent="0.25">
      <c r="A74" s="347">
        <v>275.42</v>
      </c>
      <c r="B74" s="364">
        <f t="shared" si="22"/>
        <v>0.27542</v>
      </c>
      <c r="C74" s="337">
        <f t="shared" si="0"/>
        <v>1.0071076449850029</v>
      </c>
      <c r="D74" s="338">
        <f t="shared" si="1"/>
        <v>0.1188764056053281</v>
      </c>
      <c r="E74" s="338">
        <f t="shared" si="2"/>
        <v>1.0000002492533249</v>
      </c>
      <c r="F74" s="339">
        <f t="shared" si="3"/>
        <v>7.0604995996947581E-4</v>
      </c>
      <c r="G74" s="338">
        <f t="shared" si="4"/>
        <v>1</v>
      </c>
      <c r="H74" s="339">
        <f t="shared" si="5"/>
        <v>0</v>
      </c>
      <c r="I74" s="337">
        <f t="shared" si="6"/>
        <v>365.58890613657206</v>
      </c>
      <c r="J74" s="340">
        <f t="shared" si="7"/>
        <v>1.5680610106236232</v>
      </c>
      <c r="K74" s="348">
        <f t="shared" si="8"/>
        <v>1.0052692751130115</v>
      </c>
      <c r="L74" s="349">
        <f t="shared" si="9"/>
        <v>0.10243281660378878</v>
      </c>
      <c r="M74" s="337">
        <f t="shared" si="10"/>
        <v>1.0000037882376165</v>
      </c>
      <c r="N74" s="340">
        <f t="shared" si="11"/>
        <v>2.7525354339965388E-3</v>
      </c>
      <c r="O74" s="341">
        <f t="shared" si="12"/>
        <v>1.0000015037460099</v>
      </c>
      <c r="P74" s="342">
        <f t="shared" si="13"/>
        <v>3.9428035402903185E-3</v>
      </c>
      <c r="Q74" s="343">
        <f t="shared" si="14"/>
        <v>42.565626046262501</v>
      </c>
      <c r="R74" s="344">
        <f t="shared" si="15"/>
        <v>-91.128587264522153</v>
      </c>
      <c r="S74" s="346">
        <f t="shared" si="16"/>
        <v>88.871412735477847</v>
      </c>
      <c r="U74" s="319">
        <f t="shared" si="23"/>
        <v>1000000000</v>
      </c>
      <c r="V74" s="319">
        <f t="shared" si="24"/>
        <v>75856.176400000011</v>
      </c>
      <c r="X74" s="345">
        <f t="shared" si="17"/>
        <v>46.492979507216347</v>
      </c>
      <c r="Y74" s="346">
        <f t="shared" si="18"/>
        <v>-84.132018612180516</v>
      </c>
      <c r="AA74" s="345">
        <f t="shared" si="19"/>
        <v>59.681767828208791</v>
      </c>
      <c r="AB74" s="346">
        <f t="shared" si="20"/>
        <v>-6.99656865234161</v>
      </c>
      <c r="AD74">
        <f t="shared" si="25"/>
        <v>0</v>
      </c>
      <c r="AE74">
        <f t="shared" si="26"/>
        <v>0</v>
      </c>
    </row>
    <row r="75" spans="1:31" x14ac:dyDescent="0.25">
      <c r="A75" s="347">
        <v>302</v>
      </c>
      <c r="B75" s="364">
        <f t="shared" si="22"/>
        <v>0.30199999999999999</v>
      </c>
      <c r="C75" s="337">
        <f t="shared" si="0"/>
        <v>1.0085396274779386</v>
      </c>
      <c r="D75" s="338">
        <f t="shared" si="1"/>
        <v>0.13022515906544571</v>
      </c>
      <c r="E75" s="338">
        <f t="shared" si="2"/>
        <v>1.0000002996842279</v>
      </c>
      <c r="F75" s="339">
        <f t="shared" si="3"/>
        <v>7.7418880525001866E-4</v>
      </c>
      <c r="G75" s="338">
        <f t="shared" si="4"/>
        <v>1</v>
      </c>
      <c r="H75" s="339">
        <f t="shared" si="5"/>
        <v>0</v>
      </c>
      <c r="I75" s="337">
        <f t="shared" si="6"/>
        <v>400.87059817040944</v>
      </c>
      <c r="J75" s="340">
        <f t="shared" si="7"/>
        <v>1.5683017536291068</v>
      </c>
      <c r="K75" s="348">
        <f t="shared" si="8"/>
        <v>1.0063320407743943</v>
      </c>
      <c r="L75" s="349">
        <f t="shared" si="9"/>
        <v>0.11223910226925093</v>
      </c>
      <c r="M75" s="337">
        <f t="shared" si="10"/>
        <v>1.000004554702169</v>
      </c>
      <c r="N75" s="340">
        <f t="shared" si="11"/>
        <v>3.018173249260161E-3</v>
      </c>
      <c r="O75" s="341">
        <f t="shared" si="12"/>
        <v>1.0000018080003417</v>
      </c>
      <c r="P75" s="342">
        <f t="shared" si="13"/>
        <v>4.3233132346652062E-3</v>
      </c>
      <c r="Q75" s="343">
        <f t="shared" si="14"/>
        <v>41.762229612144452</v>
      </c>
      <c r="R75" s="344">
        <f t="shared" si="15"/>
        <v>-91.263875174496548</v>
      </c>
      <c r="S75" s="346">
        <f t="shared" si="16"/>
        <v>88.736124825503452</v>
      </c>
      <c r="U75" s="319">
        <f t="shared" si="23"/>
        <v>1000000000</v>
      </c>
      <c r="V75" s="319">
        <f t="shared" si="24"/>
        <v>91204</v>
      </c>
      <c r="X75" s="345">
        <f t="shared" si="17"/>
        <v>45.701926766448238</v>
      </c>
      <c r="Y75" s="346">
        <f t="shared" si="18"/>
        <v>-83.599173314096248</v>
      </c>
      <c r="AA75" s="345">
        <f t="shared" si="19"/>
        <v>59.669424134858843</v>
      </c>
      <c r="AB75" s="346">
        <f t="shared" si="20"/>
        <v>-7.6647018604003154</v>
      </c>
      <c r="AD75">
        <f t="shared" si="25"/>
        <v>0</v>
      </c>
      <c r="AE75">
        <f t="shared" si="26"/>
        <v>0</v>
      </c>
    </row>
    <row r="76" spans="1:31" x14ac:dyDescent="0.25">
      <c r="A76" s="347">
        <v>331.13</v>
      </c>
      <c r="B76" s="364">
        <f t="shared" si="22"/>
        <v>0.33112999999999998</v>
      </c>
      <c r="C76" s="337">
        <f t="shared" si="0"/>
        <v>1.0102577182161354</v>
      </c>
      <c r="D76" s="338">
        <f t="shared" si="1"/>
        <v>0.1426239458038541</v>
      </c>
      <c r="E76" s="338">
        <f t="shared" si="2"/>
        <v>1.0000003602857177</v>
      </c>
      <c r="F76" s="339">
        <f t="shared" si="3"/>
        <v>8.488646646535045E-4</v>
      </c>
      <c r="G76" s="338">
        <f t="shared" si="4"/>
        <v>1</v>
      </c>
      <c r="H76" s="339">
        <f t="shared" si="5"/>
        <v>0</v>
      </c>
      <c r="I76" s="337">
        <f t="shared" si="6"/>
        <v>439.53712483978063</v>
      </c>
      <c r="J76" s="340">
        <f t="shared" si="7"/>
        <v>1.5685212041575034</v>
      </c>
      <c r="K76" s="348">
        <f t="shared" si="8"/>
        <v>1.0076076555482787</v>
      </c>
      <c r="L76" s="349">
        <f t="shared" si="9"/>
        <v>0.12296126415317198</v>
      </c>
      <c r="M76" s="337">
        <f t="shared" si="10"/>
        <v>1.0000054757417327</v>
      </c>
      <c r="N76" s="340">
        <f t="shared" si="11"/>
        <v>3.3092950144611578E-3</v>
      </c>
      <c r="O76" s="341">
        <f t="shared" si="12"/>
        <v>1.0000021736167943</v>
      </c>
      <c r="P76" s="342">
        <f t="shared" si="13"/>
        <v>4.7403281119368324E-3</v>
      </c>
      <c r="Q76" s="343">
        <f t="shared" si="14"/>
        <v>40.958610747376795</v>
      </c>
      <c r="R76" s="344">
        <f t="shared" si="15"/>
        <v>-91.408806921096968</v>
      </c>
      <c r="S76" s="346">
        <f t="shared" si="16"/>
        <v>88.591193078903032</v>
      </c>
      <c r="U76" s="319">
        <f t="shared" si="23"/>
        <v>1000000000</v>
      </c>
      <c r="V76" s="319">
        <f t="shared" si="24"/>
        <v>109647.0769</v>
      </c>
      <c r="X76" s="345">
        <f t="shared" si="17"/>
        <v>44.913094749300619</v>
      </c>
      <c r="Y76" s="346">
        <f t="shared" si="18"/>
        <v>-83.014092327782421</v>
      </c>
      <c r="AA76" s="345">
        <f t="shared" si="19"/>
        <v>59.654637287238799</v>
      </c>
      <c r="AB76" s="346">
        <f t="shared" si="20"/>
        <v>-8.3947145933145517</v>
      </c>
      <c r="AD76">
        <f t="shared" si="25"/>
        <v>0</v>
      </c>
      <c r="AE76">
        <f t="shared" si="26"/>
        <v>0</v>
      </c>
    </row>
    <row r="77" spans="1:31" x14ac:dyDescent="0.25">
      <c r="A77" s="347">
        <v>363.08</v>
      </c>
      <c r="B77" s="364">
        <f t="shared" si="22"/>
        <v>0.36307999999999996</v>
      </c>
      <c r="C77" s="337">
        <f t="shared" ref="C77:C140" si="27">SQRT(1+(A77/pole1)^2)</f>
        <v>1.0123200661680867</v>
      </c>
      <c r="D77" s="338">
        <f t="shared" ref="D77:D140" si="28">ATAN(A77/pole1)</f>
        <v>0.15617230957008196</v>
      </c>
      <c r="E77" s="338">
        <f t="shared" ref="E77:E140" si="29">SQRT(1+(A77/Zero1)^2)</f>
        <v>1.0000004331662642</v>
      </c>
      <c r="F77" s="339">
        <f t="shared" ref="F77:F140" si="30">ATAN(A77/Zero1)</f>
        <v>9.3076969005404279E-4</v>
      </c>
      <c r="G77" s="338">
        <f t="shared" ref="G77:G140" si="31">IF(VIN_nom&gt;Vout, 1, SQRT(1+(A77/z_RHP)^2))</f>
        <v>1</v>
      </c>
      <c r="H77" s="339">
        <f t="shared" ref="H77:H140" si="32">IF(VIN_nom&gt;Vout, 0, -ATAN(A77/z_RHP))</f>
        <v>0</v>
      </c>
      <c r="I77" s="337">
        <f t="shared" ref="I77:I140" si="33">SQRT(1+(A77/Pole2)^2)</f>
        <v>481.94687825013557</v>
      </c>
      <c r="J77" s="340">
        <f t="shared" ref="J77:J140" si="34">ATAN(A77/Pole2)</f>
        <v>1.5687214078304264</v>
      </c>
      <c r="K77" s="348">
        <f t="shared" ref="K77:K140" si="35">SQRT(1+(A77/Zero2)^2)</f>
        <v>1.0091395995094514</v>
      </c>
      <c r="L77" s="349">
        <f t="shared" ref="L77:L140" si="36">ATAN(A77/Zero2)</f>
        <v>0.1346887366549781</v>
      </c>
      <c r="M77" s="337">
        <f t="shared" ref="M77:M140" si="37">SQRT(1+(A77/pole4)^2)</f>
        <v>1.0000065834010274</v>
      </c>
      <c r="N77" s="340">
        <f t="shared" ref="N77:N140" si="38">ATAN(A77/pole4)</f>
        <v>3.6285988783590628E-3</v>
      </c>
      <c r="O77" s="341">
        <f t="shared" ref="O77:O140" si="39">SQRT((1-(V77/pterm2))^2+(A77/pterm1)^2)</f>
        <v>1.0000026133172804</v>
      </c>
      <c r="P77" s="342">
        <f t="shared" ref="P77:P140" si="40">IF((ATAN((A77/pterm1)/(1-A77^2/pterm2))&gt;0),ATAN((A77/pterm1)/(1-A77^2/pterm2)),PI()+ATAN((A77/pterm1)/(1-A77^2/pterm2)))</f>
        <v>5.1977135203830497E-3</v>
      </c>
      <c r="Q77" s="343">
        <f t="shared" ref="Q77:Q140" si="41">20*LOG10(((E77*K77*G77)/(C77*I77*O77*M77))*Adc)</f>
        <v>40.154008202842434</v>
      </c>
      <c r="R77" s="344">
        <f t="shared" ref="R77:R140" si="42">((F77+L77+H77)-(D77+J77+P77+N77))*radconv</f>
        <v>-91.564415336201947</v>
      </c>
      <c r="S77" s="346">
        <f t="shared" ref="S77:S140" si="43">IF(R77&gt;0,R77,R77+180)</f>
        <v>88.435584663798053</v>
      </c>
      <c r="U77" s="319">
        <f t="shared" si="23"/>
        <v>1000000000</v>
      </c>
      <c r="V77" s="319">
        <f t="shared" si="24"/>
        <v>131827.0864</v>
      </c>
      <c r="X77" s="345">
        <f t="shared" ref="X77:X140" si="44">20*LOG10((K77/(I77*M77))*AEA)</f>
        <v>44.126208759520516</v>
      </c>
      <c r="Y77" s="346">
        <f t="shared" ref="Y77:Y140" si="45">(L77-(J77+N77))*radconv</f>
        <v>-82.371923237624486</v>
      </c>
      <c r="AA77" s="345">
        <f t="shared" ref="AA77:AA140" si="46">20*LOG10((E77*G77/(C77*O77))*Acs*Am)</f>
        <v>59.636920732484541</v>
      </c>
      <c r="AB77" s="346">
        <f t="shared" ref="AB77:AB140" si="47">(F77+H77-(D77+P77))*radconv</f>
        <v>-9.1924920985774445</v>
      </c>
      <c r="AD77">
        <f t="shared" si="25"/>
        <v>0</v>
      </c>
      <c r="AE77">
        <f t="shared" ref="AE77:AE89" si="48">IF(AD77&gt;0,S75,0)</f>
        <v>0</v>
      </c>
    </row>
    <row r="78" spans="1:31" x14ac:dyDescent="0.25">
      <c r="A78" s="347">
        <v>398.11</v>
      </c>
      <c r="B78" s="364">
        <f t="shared" ref="B78:B141" si="49">A78/1000</f>
        <v>0.39811000000000002</v>
      </c>
      <c r="C78" s="337">
        <f t="shared" si="27"/>
        <v>1.014793842913007</v>
      </c>
      <c r="D78" s="338">
        <f t="shared" si="28"/>
        <v>0.17096043140373315</v>
      </c>
      <c r="E78" s="338">
        <f t="shared" si="29"/>
        <v>1.0000005207821934</v>
      </c>
      <c r="F78" s="339">
        <f t="shared" si="30"/>
        <v>1.0205703967815435E-3</v>
      </c>
      <c r="G78" s="338">
        <f t="shared" si="31"/>
        <v>1</v>
      </c>
      <c r="H78" s="339">
        <f t="shared" si="32"/>
        <v>0</v>
      </c>
      <c r="I78" s="337">
        <f t="shared" si="33"/>
        <v>528.44497690196545</v>
      </c>
      <c r="J78" s="340">
        <f t="shared" si="34"/>
        <v>1.5689039810625338</v>
      </c>
      <c r="K78" s="348">
        <f t="shared" si="35"/>
        <v>1.0109782074876352</v>
      </c>
      <c r="L78" s="349">
        <f t="shared" si="36"/>
        <v>0.14750393389495492</v>
      </c>
      <c r="M78" s="337">
        <f t="shared" si="37"/>
        <v>1.000007915011341</v>
      </c>
      <c r="N78" s="340">
        <f t="shared" si="38"/>
        <v>3.9786829818712977E-3</v>
      </c>
      <c r="O78" s="341">
        <f t="shared" si="39"/>
        <v>1.0000031419230191</v>
      </c>
      <c r="P78" s="342">
        <f t="shared" si="40"/>
        <v>5.6991916943482561E-3</v>
      </c>
      <c r="Q78" s="343">
        <f t="shared" si="41"/>
        <v>39.348592103913248</v>
      </c>
      <c r="R78" s="344">
        <f t="shared" si="42"/>
        <v>-91.731561987559076</v>
      </c>
      <c r="S78" s="346">
        <f t="shared" si="43"/>
        <v>88.268438012440924</v>
      </c>
      <c r="U78" s="319">
        <f t="shared" ref="U78:U141" si="50">IF(Q78&lt;0,A78,1000000000)</f>
        <v>1000000000</v>
      </c>
      <c r="V78" s="319">
        <f t="shared" ref="V78:V141" si="51">A78^2</f>
        <v>158491.57210000002</v>
      </c>
      <c r="X78" s="345">
        <f t="shared" si="44"/>
        <v>43.341996051944854</v>
      </c>
      <c r="Y78" s="346">
        <f t="shared" si="45"/>
        <v>-81.668185538599673</v>
      </c>
      <c r="AA78" s="345">
        <f t="shared" si="46"/>
        <v>59.615717341131017</v>
      </c>
      <c r="AB78" s="346">
        <f t="shared" si="47"/>
        <v>-10.063376448959406</v>
      </c>
      <c r="AD78">
        <f t="shared" ref="AD78:AD141" si="52">SUM((Q79&lt;0)*(Q78&gt;0))*A78</f>
        <v>0</v>
      </c>
      <c r="AE78">
        <f t="shared" si="48"/>
        <v>0</v>
      </c>
    </row>
    <row r="79" spans="1:31" x14ac:dyDescent="0.25">
      <c r="A79" s="347">
        <v>436.52</v>
      </c>
      <c r="B79" s="364">
        <f t="shared" si="49"/>
        <v>0.43651999999999996</v>
      </c>
      <c r="C79" s="337">
        <f t="shared" si="27"/>
        <v>1.0177600513972738</v>
      </c>
      <c r="D79" s="338">
        <f t="shared" si="28"/>
        <v>0.18708888149115141</v>
      </c>
      <c r="E79" s="338">
        <f t="shared" si="29"/>
        <v>1.0000006261209324</v>
      </c>
      <c r="F79" s="339">
        <f t="shared" si="30"/>
        <v>1.1190358401384818E-3</v>
      </c>
      <c r="G79" s="338">
        <f t="shared" si="31"/>
        <v>1</v>
      </c>
      <c r="H79" s="339">
        <f t="shared" si="32"/>
        <v>0</v>
      </c>
      <c r="I79" s="337">
        <f t="shared" si="33"/>
        <v>579.42963459873977</v>
      </c>
      <c r="J79" s="340">
        <f t="shared" si="34"/>
        <v>1.5690704908405257</v>
      </c>
      <c r="K79" s="348">
        <f t="shared" si="35"/>
        <v>1.0131843092697115</v>
      </c>
      <c r="L79" s="349">
        <f t="shared" si="36"/>
        <v>0.16149963144736088</v>
      </c>
      <c r="M79" s="337">
        <f t="shared" si="37"/>
        <v>1.0000095159754652</v>
      </c>
      <c r="N79" s="340">
        <f t="shared" si="38"/>
        <v>4.362545129696087E-3</v>
      </c>
      <c r="O79" s="341">
        <f t="shared" si="39"/>
        <v>1.0000037774604009</v>
      </c>
      <c r="P79" s="342">
        <f t="shared" si="40"/>
        <v>6.2490575505717407E-3</v>
      </c>
      <c r="Q79" s="343">
        <f t="shared" si="41"/>
        <v>38.542136706119543</v>
      </c>
      <c r="R79" s="344">
        <f t="shared" si="42"/>
        <v>-91.911157033805821</v>
      </c>
      <c r="S79" s="346">
        <f t="shared" si="43"/>
        <v>88.088842966194179</v>
      </c>
      <c r="U79" s="319">
        <f t="shared" si="50"/>
        <v>1000000000</v>
      </c>
      <c r="V79" s="319">
        <f t="shared" si="51"/>
        <v>190549.71039999998</v>
      </c>
      <c r="X79" s="345">
        <f t="shared" si="44"/>
        <v>42.560896791656162</v>
      </c>
      <c r="Y79" s="346">
        <f t="shared" si="45"/>
        <v>-80.897825125136748</v>
      </c>
      <c r="AA79" s="345">
        <f t="shared" si="46"/>
        <v>59.590361203626003</v>
      </c>
      <c r="AB79" s="346">
        <f t="shared" si="47"/>
        <v>-11.013331908669075</v>
      </c>
      <c r="AD79">
        <f t="shared" si="52"/>
        <v>0</v>
      </c>
      <c r="AE79">
        <f t="shared" si="48"/>
        <v>0</v>
      </c>
    </row>
    <row r="80" spans="1:31" x14ac:dyDescent="0.25">
      <c r="A80" s="347">
        <v>478.63</v>
      </c>
      <c r="B80" s="364">
        <f t="shared" si="49"/>
        <v>0.47863</v>
      </c>
      <c r="C80" s="337">
        <f t="shared" si="27"/>
        <v>1.0213143172125048</v>
      </c>
      <c r="D80" s="338">
        <f t="shared" si="28"/>
        <v>0.20465822308999673</v>
      </c>
      <c r="E80" s="338">
        <f t="shared" si="29"/>
        <v>1.0000007527482166</v>
      </c>
      <c r="F80" s="339">
        <f t="shared" si="30"/>
        <v>1.2269863441555394E-3</v>
      </c>
      <c r="G80" s="338">
        <f t="shared" si="31"/>
        <v>1</v>
      </c>
      <c r="H80" s="339">
        <f t="shared" si="32"/>
        <v>0</v>
      </c>
      <c r="I80" s="337">
        <f t="shared" si="33"/>
        <v>635.32561287008559</v>
      </c>
      <c r="J80" s="340">
        <f t="shared" si="34"/>
        <v>1.5692223301030372</v>
      </c>
      <c r="K80" s="348">
        <f t="shared" si="35"/>
        <v>1.0158299146163834</v>
      </c>
      <c r="L80" s="349">
        <f t="shared" si="36"/>
        <v>0.17677033267155479</v>
      </c>
      <c r="M80" s="337">
        <f t="shared" si="37"/>
        <v>1.0000114404849765</v>
      </c>
      <c r="N80" s="340">
        <f t="shared" si="38"/>
        <v>4.7833828838857295E-3</v>
      </c>
      <c r="O80" s="341">
        <f t="shared" si="39"/>
        <v>1.0000045414462342</v>
      </c>
      <c r="P80" s="342">
        <f t="shared" si="40"/>
        <v>6.8518923929493545E-3</v>
      </c>
      <c r="Q80" s="343">
        <f t="shared" si="41"/>
        <v>37.734571688765634</v>
      </c>
      <c r="R80" s="344">
        <f t="shared" si="42"/>
        <v>-92.104026186128408</v>
      </c>
      <c r="S80" s="346">
        <f t="shared" si="43"/>
        <v>87.895973813871592</v>
      </c>
      <c r="U80" s="319">
        <f t="shared" si="50"/>
        <v>1000000000</v>
      </c>
      <c r="V80" s="319">
        <f t="shared" si="51"/>
        <v>229086.67689999999</v>
      </c>
      <c r="X80" s="345">
        <f t="shared" si="44"/>
        <v>41.783617708463524</v>
      </c>
      <c r="Y80" s="346">
        <f t="shared" si="45"/>
        <v>-80.055690369904013</v>
      </c>
      <c r="AA80" s="345">
        <f t="shared" si="46"/>
        <v>59.560075269464733</v>
      </c>
      <c r="AB80" s="346">
        <f t="shared" si="47"/>
        <v>-12.048335816224389</v>
      </c>
      <c r="AD80">
        <f t="shared" si="52"/>
        <v>0</v>
      </c>
      <c r="AE80">
        <f t="shared" si="48"/>
        <v>0</v>
      </c>
    </row>
    <row r="81" spans="1:31" x14ac:dyDescent="0.25">
      <c r="A81" s="347">
        <v>524.80999999999995</v>
      </c>
      <c r="B81" s="364">
        <f t="shared" si="49"/>
        <v>0.52481</v>
      </c>
      <c r="C81" s="337">
        <f t="shared" si="27"/>
        <v>1.0255718410998322</v>
      </c>
      <c r="D81" s="338">
        <f t="shared" si="28"/>
        <v>0.22377909123637957</v>
      </c>
      <c r="E81" s="338">
        <f t="shared" si="29"/>
        <v>1.0000009050114487</v>
      </c>
      <c r="F81" s="339">
        <f t="shared" si="30"/>
        <v>1.3453704070184877E-3</v>
      </c>
      <c r="G81" s="338">
        <f t="shared" si="31"/>
        <v>1</v>
      </c>
      <c r="H81" s="339">
        <f t="shared" si="32"/>
        <v>0</v>
      </c>
      <c r="I81" s="337">
        <f t="shared" si="33"/>
        <v>696.62404237346595</v>
      </c>
      <c r="J81" s="340">
        <f t="shared" si="34"/>
        <v>1.5693608317751813</v>
      </c>
      <c r="K81" s="348">
        <f t="shared" si="35"/>
        <v>1.019002033212161</v>
      </c>
      <c r="L81" s="349">
        <f t="shared" si="36"/>
        <v>0.19342148377430157</v>
      </c>
      <c r="M81" s="337">
        <f t="shared" si="37"/>
        <v>1.0000137546107204</v>
      </c>
      <c r="N81" s="340">
        <f t="shared" si="38"/>
        <v>5.2448933381957592E-3</v>
      </c>
      <c r="O81" s="341">
        <f t="shared" si="39"/>
        <v>1.0000054601153201</v>
      </c>
      <c r="P81" s="342">
        <f t="shared" si="40"/>
        <v>7.5129934079793369E-3</v>
      </c>
      <c r="Q81" s="343">
        <f t="shared" si="41"/>
        <v>36.925450725084808</v>
      </c>
      <c r="R81" s="344">
        <f t="shared" si="42"/>
        <v>-92.311004102888646</v>
      </c>
      <c r="S81" s="346">
        <f t="shared" si="43"/>
        <v>87.688995897111354</v>
      </c>
      <c r="U81" s="319">
        <f t="shared" si="50"/>
        <v>1000000000</v>
      </c>
      <c r="V81" s="319">
        <f t="shared" si="51"/>
        <v>275425.53609999997</v>
      </c>
      <c r="X81" s="345">
        <f t="shared" si="44"/>
        <v>41.010636760418571</v>
      </c>
      <c r="Y81" s="346">
        <f t="shared" si="45"/>
        <v>-79.13602784913364</v>
      </c>
      <c r="AA81" s="345">
        <f t="shared" si="46"/>
        <v>59.523935253828874</v>
      </c>
      <c r="AB81" s="346">
        <f t="shared" si="47"/>
        <v>-13.174976253755009</v>
      </c>
      <c r="AD81">
        <f t="shared" si="52"/>
        <v>0</v>
      </c>
      <c r="AE81">
        <f t="shared" si="48"/>
        <v>0</v>
      </c>
    </row>
    <row r="82" spans="1:31" x14ac:dyDescent="0.25">
      <c r="A82" s="347">
        <v>575.44000000000005</v>
      </c>
      <c r="B82" s="364">
        <f t="shared" si="49"/>
        <v>0.57544000000000006</v>
      </c>
      <c r="C82" s="337">
        <f t="shared" si="27"/>
        <v>1.030666689388881</v>
      </c>
      <c r="D82" s="338">
        <f t="shared" si="28"/>
        <v>0.24455248998414925</v>
      </c>
      <c r="E82" s="338">
        <f t="shared" si="29"/>
        <v>1.000001088052684</v>
      </c>
      <c r="F82" s="339">
        <f t="shared" si="30"/>
        <v>1.4751621587689976E-3</v>
      </c>
      <c r="G82" s="338">
        <f t="shared" si="31"/>
        <v>1</v>
      </c>
      <c r="H82" s="339">
        <f t="shared" si="32"/>
        <v>0</v>
      </c>
      <c r="I82" s="337">
        <f t="shared" si="33"/>
        <v>763.8293276835858</v>
      </c>
      <c r="J82" s="340">
        <f t="shared" si="34"/>
        <v>1.5694871334326868</v>
      </c>
      <c r="K82" s="348">
        <f t="shared" si="35"/>
        <v>1.0228023325170306</v>
      </c>
      <c r="L82" s="349">
        <f t="shared" si="36"/>
        <v>0.21155288112967263</v>
      </c>
      <c r="M82" s="337">
        <f t="shared" si="37"/>
        <v>1.0000165364998277</v>
      </c>
      <c r="N82" s="340">
        <f t="shared" si="38"/>
        <v>5.7508733164624406E-3</v>
      </c>
      <c r="O82" s="341">
        <f t="shared" si="39"/>
        <v>1.0000065644997209</v>
      </c>
      <c r="P82" s="342">
        <f t="shared" si="40"/>
        <v>8.2378010673590935E-3</v>
      </c>
      <c r="Q82" s="343">
        <f t="shared" si="41"/>
        <v>36.114751296175321</v>
      </c>
      <c r="R82" s="344">
        <f t="shared" si="42"/>
        <v>-92.53269860183778</v>
      </c>
      <c r="S82" s="346">
        <f t="shared" si="43"/>
        <v>87.46730139816222</v>
      </c>
      <c r="U82" s="319">
        <f t="shared" si="50"/>
        <v>1000000000</v>
      </c>
      <c r="V82" s="319">
        <f t="shared" si="51"/>
        <v>331131.19360000006</v>
      </c>
      <c r="X82" s="345">
        <f t="shared" si="44"/>
        <v>40.242988375950794</v>
      </c>
      <c r="Y82" s="346">
        <f t="shared" si="45"/>
        <v>-78.133402372043918</v>
      </c>
      <c r="AA82" s="345">
        <f t="shared" si="46"/>
        <v>59.480884209387156</v>
      </c>
      <c r="AB82" s="346">
        <f t="shared" si="47"/>
        <v>-14.399296229793855</v>
      </c>
      <c r="AD82">
        <f t="shared" si="52"/>
        <v>0</v>
      </c>
      <c r="AE82">
        <f t="shared" si="48"/>
        <v>0</v>
      </c>
    </row>
    <row r="83" spans="1:31" x14ac:dyDescent="0.25">
      <c r="A83" s="347">
        <v>630.96</v>
      </c>
      <c r="B83" s="364">
        <f t="shared" si="49"/>
        <v>0.63096000000000008</v>
      </c>
      <c r="C83" s="337">
        <f t="shared" si="27"/>
        <v>1.0367594795554929</v>
      </c>
      <c r="D83" s="338">
        <f t="shared" si="28"/>
        <v>0.26708671779112431</v>
      </c>
      <c r="E83" s="338">
        <f t="shared" si="29"/>
        <v>1.0000013081376271</v>
      </c>
      <c r="F83" s="339">
        <f t="shared" si="30"/>
        <v>1.6174895369310824E-3</v>
      </c>
      <c r="G83" s="338">
        <f t="shared" si="31"/>
        <v>1</v>
      </c>
      <c r="H83" s="339">
        <f t="shared" si="32"/>
        <v>0</v>
      </c>
      <c r="I83" s="337">
        <f t="shared" si="33"/>
        <v>837.52551631235031</v>
      </c>
      <c r="J83" s="340">
        <f t="shared" si="34"/>
        <v>1.5696023330381372</v>
      </c>
      <c r="K83" s="348">
        <f t="shared" si="35"/>
        <v>1.0273531206712867</v>
      </c>
      <c r="L83" s="349">
        <f t="shared" si="36"/>
        <v>0.23127404163338319</v>
      </c>
      <c r="M83" s="337">
        <f t="shared" si="37"/>
        <v>1.0000198813753851</v>
      </c>
      <c r="N83" s="340">
        <f t="shared" si="38"/>
        <v>6.3057189914845135E-3</v>
      </c>
      <c r="O83" s="341">
        <f t="shared" si="39"/>
        <v>1.0000078924150821</v>
      </c>
      <c r="P83" s="342">
        <f t="shared" si="40"/>
        <v>9.0326149568293029E-3</v>
      </c>
      <c r="Q83" s="343">
        <f t="shared" si="41"/>
        <v>35.302043458944496</v>
      </c>
      <c r="R83" s="344">
        <f t="shared" si="42"/>
        <v>-92.769650976012741</v>
      </c>
      <c r="S83" s="346">
        <f t="shared" si="43"/>
        <v>87.230349023987259</v>
      </c>
      <c r="U83" s="319">
        <f t="shared" si="50"/>
        <v>1000000000</v>
      </c>
      <c r="V83" s="319">
        <f t="shared" si="51"/>
        <v>398110.52160000004</v>
      </c>
      <c r="X83" s="345">
        <f t="shared" si="44"/>
        <v>39.481485659165784</v>
      </c>
      <c r="Y83" s="346">
        <f t="shared" si="45"/>
        <v>-77.041853873487682</v>
      </c>
      <c r="AA83" s="345">
        <f t="shared" si="46"/>
        <v>59.429679088941334</v>
      </c>
      <c r="AB83" s="346">
        <f t="shared" si="47"/>
        <v>-15.727797102525066</v>
      </c>
      <c r="AD83">
        <f t="shared" si="52"/>
        <v>0</v>
      </c>
      <c r="AE83">
        <f t="shared" si="48"/>
        <v>0</v>
      </c>
    </row>
    <row r="84" spans="1:31" x14ac:dyDescent="0.25">
      <c r="A84" s="347">
        <v>691.83</v>
      </c>
      <c r="B84" s="364">
        <f t="shared" si="49"/>
        <v>0.69183000000000006</v>
      </c>
      <c r="C84" s="337">
        <f t="shared" si="27"/>
        <v>1.0440367764225753</v>
      </c>
      <c r="D84" s="338">
        <f t="shared" si="28"/>
        <v>0.2914763510426937</v>
      </c>
      <c r="E84" s="338">
        <f t="shared" si="29"/>
        <v>1.000001572709484</v>
      </c>
      <c r="F84" s="339">
        <f t="shared" si="30"/>
        <v>1.7735317436283608E-3</v>
      </c>
      <c r="G84" s="338">
        <f t="shared" si="31"/>
        <v>1</v>
      </c>
      <c r="H84" s="339">
        <f t="shared" si="32"/>
        <v>0</v>
      </c>
      <c r="I84" s="337">
        <f t="shared" si="33"/>
        <v>918.32320348240046</v>
      </c>
      <c r="J84" s="340">
        <f t="shared" si="34"/>
        <v>1.5697073853483121</v>
      </c>
      <c r="K84" s="348">
        <f t="shared" si="35"/>
        <v>1.0327972434510286</v>
      </c>
      <c r="L84" s="349">
        <f t="shared" si="36"/>
        <v>0.252686571788451</v>
      </c>
      <c r="M84" s="337">
        <f t="shared" si="37"/>
        <v>1.0000239023541944</v>
      </c>
      <c r="N84" s="340">
        <f t="shared" si="38"/>
        <v>6.9140260488368844E-3</v>
      </c>
      <c r="O84" s="341">
        <f t="shared" si="39"/>
        <v>1.0000094887874897</v>
      </c>
      <c r="P84" s="342">
        <f t="shared" si="40"/>
        <v>9.9040212000767337E-3</v>
      </c>
      <c r="Q84" s="343">
        <f t="shared" si="41"/>
        <v>34.487197625890921</v>
      </c>
      <c r="R84" s="344">
        <f t="shared" si="42"/>
        <v>-93.022086240051266</v>
      </c>
      <c r="S84" s="346">
        <f t="shared" si="43"/>
        <v>86.977913759948734</v>
      </c>
      <c r="U84" s="319">
        <f t="shared" si="50"/>
        <v>1000000000</v>
      </c>
      <c r="V84" s="319">
        <f t="shared" si="51"/>
        <v>478628.74890000006</v>
      </c>
      <c r="X84" s="345">
        <f t="shared" si="44"/>
        <v>38.72740703487657</v>
      </c>
      <c r="Y84" s="346">
        <f t="shared" si="45"/>
        <v>-75.855878746585944</v>
      </c>
      <c r="AA84" s="345">
        <f t="shared" si="46"/>
        <v>59.368911880176974</v>
      </c>
      <c r="AB84" s="346">
        <f t="shared" si="47"/>
        <v>-17.166207493465318</v>
      </c>
      <c r="AD84">
        <f t="shared" si="52"/>
        <v>0</v>
      </c>
      <c r="AE84">
        <f t="shared" si="48"/>
        <v>0</v>
      </c>
    </row>
    <row r="85" spans="1:31" x14ac:dyDescent="0.25">
      <c r="A85" s="347">
        <v>758.58</v>
      </c>
      <c r="B85" s="364">
        <f t="shared" si="49"/>
        <v>0.75858000000000003</v>
      </c>
      <c r="C85" s="337">
        <f t="shared" si="27"/>
        <v>1.0527203675983812</v>
      </c>
      <c r="D85" s="338">
        <f t="shared" si="28"/>
        <v>0.31781693456935228</v>
      </c>
      <c r="E85" s="338">
        <f t="shared" si="29"/>
        <v>1.0000018908297739</v>
      </c>
      <c r="F85" s="339">
        <f t="shared" si="30"/>
        <v>1.944647420257252E-3</v>
      </c>
      <c r="G85" s="338">
        <f t="shared" si="31"/>
        <v>1</v>
      </c>
      <c r="H85" s="339">
        <f t="shared" si="32"/>
        <v>0</v>
      </c>
      <c r="I85" s="337">
        <f t="shared" si="33"/>
        <v>1006.9259011734496</v>
      </c>
      <c r="J85" s="340">
        <f t="shared" si="34"/>
        <v>1.5698032048946491</v>
      </c>
      <c r="K85" s="348">
        <f t="shared" si="35"/>
        <v>1.0393054810473823</v>
      </c>
      <c r="L85" s="349">
        <f t="shared" si="36"/>
        <v>0.27589780914473855</v>
      </c>
      <c r="M85" s="337">
        <f t="shared" si="37"/>
        <v>1.0000287371452723</v>
      </c>
      <c r="N85" s="340">
        <f t="shared" si="38"/>
        <v>7.5810892492910939E-3</v>
      </c>
      <c r="O85" s="341">
        <f t="shared" si="39"/>
        <v>1.0000114083159923</v>
      </c>
      <c r="P85" s="342">
        <f t="shared" si="40"/>
        <v>1.0859608322382515E-2</v>
      </c>
      <c r="Q85" s="343">
        <f t="shared" si="41"/>
        <v>33.669721013643546</v>
      </c>
      <c r="R85" s="344">
        <f t="shared" si="42"/>
        <v>-93.290041433195427</v>
      </c>
      <c r="S85" s="346">
        <f t="shared" si="43"/>
        <v>86.709958566804573</v>
      </c>
      <c r="U85" s="319">
        <f t="shared" si="50"/>
        <v>1000000000</v>
      </c>
      <c r="V85" s="319">
        <f t="shared" si="51"/>
        <v>575443.61640000006</v>
      </c>
      <c r="X85" s="345">
        <f t="shared" si="44"/>
        <v>37.981888902377165</v>
      </c>
      <c r="Y85" s="346">
        <f t="shared" si="45"/>
        <v>-74.569682768979064</v>
      </c>
      <c r="AA85" s="345">
        <f t="shared" si="46"/>
        <v>59.296953400429011</v>
      </c>
      <c r="AB85" s="346">
        <f t="shared" si="47"/>
        <v>-18.720358664216366</v>
      </c>
      <c r="AD85">
        <f t="shared" si="52"/>
        <v>0</v>
      </c>
      <c r="AE85">
        <f t="shared" si="48"/>
        <v>0</v>
      </c>
    </row>
    <row r="86" spans="1:31" x14ac:dyDescent="0.25">
      <c r="A86" s="347">
        <v>831.76</v>
      </c>
      <c r="B86" s="364">
        <f t="shared" si="49"/>
        <v>0.83175999999999994</v>
      </c>
      <c r="C86" s="337">
        <f t="shared" si="27"/>
        <v>1.063065027503985</v>
      </c>
      <c r="D86" s="338">
        <f t="shared" si="28"/>
        <v>0.34617851939977246</v>
      </c>
      <c r="E86" s="338">
        <f t="shared" si="29"/>
        <v>1.0000022732418072</v>
      </c>
      <c r="F86" s="339">
        <f t="shared" si="30"/>
        <v>2.1322464682845925E-3</v>
      </c>
      <c r="G86" s="338">
        <f t="shared" si="31"/>
        <v>1</v>
      </c>
      <c r="H86" s="339">
        <f t="shared" si="32"/>
        <v>0</v>
      </c>
      <c r="I86" s="337">
        <f t="shared" si="33"/>
        <v>1104.0636690665444</v>
      </c>
      <c r="J86" s="340">
        <f t="shared" si="34"/>
        <v>1.5698905818050497</v>
      </c>
      <c r="K86" s="348">
        <f t="shared" si="35"/>
        <v>1.0470754878783681</v>
      </c>
      <c r="L86" s="349">
        <f t="shared" si="36"/>
        <v>0.30099835187859181</v>
      </c>
      <c r="M86" s="337">
        <f t="shared" si="37"/>
        <v>1.0000345490131426</v>
      </c>
      <c r="N86" s="340">
        <f t="shared" si="38"/>
        <v>8.3124025981183361E-3</v>
      </c>
      <c r="O86" s="341">
        <f t="shared" si="39"/>
        <v>1.0000137158596538</v>
      </c>
      <c r="P86" s="342">
        <f t="shared" si="40"/>
        <v>1.1907251552353421E-2</v>
      </c>
      <c r="Q86" s="343">
        <f t="shared" si="41"/>
        <v>32.849481074417518</v>
      </c>
      <c r="R86" s="344">
        <f t="shared" si="42"/>
        <v>-93.573069780868991</v>
      </c>
      <c r="S86" s="346">
        <f t="shared" si="43"/>
        <v>86.426930219131009</v>
      </c>
      <c r="U86" s="319">
        <f t="shared" si="50"/>
        <v>1000000000</v>
      </c>
      <c r="V86" s="319">
        <f t="shared" si="51"/>
        <v>691824.69759999996</v>
      </c>
      <c r="X86" s="345">
        <f t="shared" si="44"/>
        <v>37.246601794143508</v>
      </c>
      <c r="Y86" s="346">
        <f t="shared" si="45"/>
        <v>-73.178435101833983</v>
      </c>
      <c r="AA86" s="345">
        <f t="shared" si="46"/>
        <v>59.21200056943664</v>
      </c>
      <c r="AB86" s="346">
        <f t="shared" si="47"/>
        <v>-20.39463467903499</v>
      </c>
      <c r="AD86">
        <f t="shared" si="52"/>
        <v>0</v>
      </c>
      <c r="AE86">
        <f t="shared" si="48"/>
        <v>0</v>
      </c>
    </row>
    <row r="87" spans="1:31" x14ac:dyDescent="0.25">
      <c r="A87" s="347">
        <v>912.01</v>
      </c>
      <c r="B87" s="364">
        <f t="shared" si="49"/>
        <v>0.91200999999999999</v>
      </c>
      <c r="C87" s="337">
        <f t="shared" si="27"/>
        <v>1.0753717743629281</v>
      </c>
      <c r="D87" s="338">
        <f t="shared" si="28"/>
        <v>0.37662565221606414</v>
      </c>
      <c r="E87" s="338">
        <f t="shared" si="29"/>
        <v>1.0000027330568995</v>
      </c>
      <c r="F87" s="339">
        <f t="shared" si="30"/>
        <v>2.3379694929161099E-3</v>
      </c>
      <c r="G87" s="338">
        <f t="shared" si="31"/>
        <v>1</v>
      </c>
      <c r="H87" s="339">
        <f t="shared" si="32"/>
        <v>0</v>
      </c>
      <c r="I87" s="337">
        <f t="shared" si="33"/>
        <v>1210.5860312316802</v>
      </c>
      <c r="J87" s="340">
        <f t="shared" si="34"/>
        <v>1.5699702804934139</v>
      </c>
      <c r="K87" s="348">
        <f t="shared" si="35"/>
        <v>1.0563425330105851</v>
      </c>
      <c r="L87" s="349">
        <f t="shared" si="36"/>
        <v>0.3280804111116698</v>
      </c>
      <c r="M87" s="337">
        <f t="shared" si="37"/>
        <v>1.0000415372048124</v>
      </c>
      <c r="N87" s="340">
        <f t="shared" si="38"/>
        <v>9.1143586807292329E-3</v>
      </c>
      <c r="O87" s="341">
        <f t="shared" si="39"/>
        <v>1.0000164905840425</v>
      </c>
      <c r="P87" s="342">
        <f t="shared" si="40"/>
        <v>1.3056115062916637E-2</v>
      </c>
      <c r="Q87" s="343">
        <f t="shared" si="41"/>
        <v>32.025928918929864</v>
      </c>
      <c r="R87" s="344">
        <f t="shared" si="42"/>
        <v>-93.870427361974123</v>
      </c>
      <c r="S87" s="346">
        <f t="shared" si="43"/>
        <v>86.129572638025877</v>
      </c>
      <c r="U87" s="319">
        <f t="shared" si="50"/>
        <v>1000000000</v>
      </c>
      <c r="V87" s="319">
        <f t="shared" si="51"/>
        <v>831762.24009999994</v>
      </c>
      <c r="X87" s="345">
        <f t="shared" si="44"/>
        <v>36.523045788672292</v>
      </c>
      <c r="Y87" s="346">
        <f t="shared" si="45"/>
        <v>-71.677262502904441</v>
      </c>
      <c r="AA87" s="345">
        <f t="shared" si="46"/>
        <v>59.112004419420209</v>
      </c>
      <c r="AB87" s="346">
        <f t="shared" si="47"/>
        <v>-22.193164859069693</v>
      </c>
      <c r="AD87">
        <f t="shared" si="52"/>
        <v>0</v>
      </c>
      <c r="AE87">
        <f t="shared" si="48"/>
        <v>0</v>
      </c>
    </row>
    <row r="88" spans="1:31" x14ac:dyDescent="0.25">
      <c r="A88" s="347">
        <v>1000</v>
      </c>
      <c r="B88" s="364">
        <f t="shared" si="49"/>
        <v>1</v>
      </c>
      <c r="C88" s="337">
        <f t="shared" si="27"/>
        <v>1.0899834415375143</v>
      </c>
      <c r="D88" s="338">
        <f t="shared" si="28"/>
        <v>0.40918564091767062</v>
      </c>
      <c r="E88" s="338">
        <f t="shared" si="29"/>
        <v>1.0000032858622481</v>
      </c>
      <c r="F88" s="339">
        <f t="shared" si="30"/>
        <v>2.5635339867875829E-3</v>
      </c>
      <c r="G88" s="338">
        <f t="shared" si="31"/>
        <v>1</v>
      </c>
      <c r="H88" s="339">
        <f t="shared" si="32"/>
        <v>0</v>
      </c>
      <c r="I88" s="337">
        <f t="shared" si="33"/>
        <v>1327.3823332480961</v>
      </c>
      <c r="J88" s="340">
        <f t="shared" si="34"/>
        <v>1.5700429642786535</v>
      </c>
      <c r="K88" s="348">
        <f t="shared" si="35"/>
        <v>1.0673771916338559</v>
      </c>
      <c r="L88" s="349">
        <f t="shared" si="36"/>
        <v>0.35721026908883596</v>
      </c>
      <c r="M88" s="337">
        <f t="shared" si="37"/>
        <v>1.0000499385862081</v>
      </c>
      <c r="N88" s="340">
        <f t="shared" si="38"/>
        <v>9.9936487908927011E-3</v>
      </c>
      <c r="O88" s="341">
        <f t="shared" si="39"/>
        <v>1.0000198266206615</v>
      </c>
      <c r="P88" s="342">
        <f t="shared" si="40"/>
        <v>1.4315793179569295E-2</v>
      </c>
      <c r="Q88" s="343">
        <f t="shared" si="41"/>
        <v>31.198861966088657</v>
      </c>
      <c r="R88" s="344">
        <f t="shared" si="42"/>
        <v>-94.180753808552865</v>
      </c>
      <c r="S88" s="346">
        <f t="shared" si="43"/>
        <v>85.819246191447135</v>
      </c>
      <c r="U88" s="319">
        <f t="shared" si="50"/>
        <v>1000000000</v>
      </c>
      <c r="V88" s="319">
        <f t="shared" si="51"/>
        <v>1000000</v>
      </c>
      <c r="X88" s="345">
        <f t="shared" si="44"/>
        <v>35.813228354040007</v>
      </c>
      <c r="Y88" s="346">
        <f t="shared" si="45"/>
        <v>-70.062788667565741</v>
      </c>
      <c r="AA88" s="345">
        <f t="shared" si="46"/>
        <v>58.99475490121128</v>
      </c>
      <c r="AB88" s="346">
        <f t="shared" si="47"/>
        <v>-24.117965140987138</v>
      </c>
      <c r="AD88">
        <f t="shared" si="52"/>
        <v>0</v>
      </c>
      <c r="AE88">
        <f t="shared" si="48"/>
        <v>0</v>
      </c>
    </row>
    <row r="89" spans="1:31" x14ac:dyDescent="0.25">
      <c r="A89" s="347">
        <v>1096.5</v>
      </c>
      <c r="B89" s="364">
        <f t="shared" si="49"/>
        <v>1.0965</v>
      </c>
      <c r="C89" s="337">
        <f t="shared" si="27"/>
        <v>1.1072992071479444</v>
      </c>
      <c r="D89" s="338">
        <f t="shared" si="28"/>
        <v>0.44386588980105518</v>
      </c>
      <c r="E89" s="338">
        <f t="shared" si="29"/>
        <v>1.0000039506311196</v>
      </c>
      <c r="F89" s="339">
        <f t="shared" si="30"/>
        <v>2.8109137707769635E-3</v>
      </c>
      <c r="G89" s="338">
        <f t="shared" si="31"/>
        <v>1</v>
      </c>
      <c r="H89" s="339">
        <f t="shared" si="32"/>
        <v>0</v>
      </c>
      <c r="I89" s="337">
        <f t="shared" si="33"/>
        <v>1455.4746589061021</v>
      </c>
      <c r="J89" s="340">
        <f t="shared" si="34"/>
        <v>1.5701092656546998</v>
      </c>
      <c r="K89" s="348">
        <f t="shared" si="35"/>
        <v>1.0804975547291937</v>
      </c>
      <c r="L89" s="349">
        <f t="shared" si="36"/>
        <v>0.3884439043030693</v>
      </c>
      <c r="M89" s="337">
        <f t="shared" si="37"/>
        <v>1.0000600414706571</v>
      </c>
      <c r="N89" s="340">
        <f t="shared" si="38"/>
        <v>1.0957962097258193E-2</v>
      </c>
      <c r="O89" s="341">
        <f t="shared" si="39"/>
        <v>1.0000238385717592</v>
      </c>
      <c r="P89" s="342">
        <f t="shared" si="40"/>
        <v>1.5697312725578928E-2</v>
      </c>
      <c r="Q89" s="343">
        <f t="shared" si="41"/>
        <v>30.367788471072572</v>
      </c>
      <c r="R89" s="344">
        <f t="shared" si="42"/>
        <v>-94.502261519122854</v>
      </c>
      <c r="S89" s="346">
        <f t="shared" si="43"/>
        <v>85.497738480877146</v>
      </c>
      <c r="U89" s="319">
        <f t="shared" si="50"/>
        <v>1000000000</v>
      </c>
      <c r="V89" s="319">
        <f t="shared" si="51"/>
        <v>1202312.25</v>
      </c>
      <c r="X89" s="345">
        <f t="shared" si="44"/>
        <v>35.119085702259135</v>
      </c>
      <c r="Y89" s="346">
        <f t="shared" si="45"/>
        <v>-68.332283060568002</v>
      </c>
      <c r="AA89" s="345">
        <f t="shared" si="46"/>
        <v>58.857824057976067</v>
      </c>
      <c r="AB89" s="346">
        <f t="shared" si="47"/>
        <v>-26.169978458554862</v>
      </c>
      <c r="AD89">
        <f t="shared" si="52"/>
        <v>0</v>
      </c>
      <c r="AE89">
        <f t="shared" si="48"/>
        <v>0</v>
      </c>
    </row>
    <row r="90" spans="1:31" x14ac:dyDescent="0.25">
      <c r="A90" s="347">
        <v>1202.3</v>
      </c>
      <c r="B90" s="364">
        <f t="shared" si="49"/>
        <v>1.2022999999999999</v>
      </c>
      <c r="C90" s="337">
        <f t="shared" si="27"/>
        <v>1.127763772991061</v>
      </c>
      <c r="D90" s="338">
        <f t="shared" si="28"/>
        <v>0.48061552402288565</v>
      </c>
      <c r="E90" s="338">
        <f t="shared" si="29"/>
        <v>1.0000047497935025</v>
      </c>
      <c r="F90" s="339">
        <f t="shared" si="30"/>
        <v>3.0821339043006703E-3</v>
      </c>
      <c r="G90" s="338">
        <f t="shared" si="31"/>
        <v>1</v>
      </c>
      <c r="H90" s="339">
        <f t="shared" si="32"/>
        <v>0</v>
      </c>
      <c r="I90" s="337">
        <f t="shared" si="33"/>
        <v>1595.9116396808722</v>
      </c>
      <c r="J90" s="340">
        <f t="shared" si="34"/>
        <v>1.5701697256469545</v>
      </c>
      <c r="K90" s="348">
        <f t="shared" si="35"/>
        <v>1.0960625437468323</v>
      </c>
      <c r="L90" s="349">
        <f t="shared" si="36"/>
        <v>0.42179217787100926</v>
      </c>
      <c r="M90" s="337">
        <f t="shared" si="37"/>
        <v>1.0000721866863223</v>
      </c>
      <c r="N90" s="340">
        <f t="shared" si="38"/>
        <v>1.2015185737911722E-2</v>
      </c>
      <c r="O90" s="341">
        <f t="shared" si="39"/>
        <v>1.0000286619543066</v>
      </c>
      <c r="P90" s="342">
        <f t="shared" si="40"/>
        <v>1.7211988013335237E-2</v>
      </c>
      <c r="Q90" s="343">
        <f t="shared" si="41"/>
        <v>29.532732107148579</v>
      </c>
      <c r="R90" s="344">
        <f t="shared" si="42"/>
        <v>-94.832428416917722</v>
      </c>
      <c r="S90" s="346">
        <f t="shared" si="43"/>
        <v>85.167571583082278</v>
      </c>
      <c r="U90" s="319">
        <f t="shared" si="50"/>
        <v>1000000000</v>
      </c>
      <c r="V90" s="319">
        <f t="shared" si="51"/>
        <v>1445525.2899999998</v>
      </c>
      <c r="X90" s="345">
        <f t="shared" si="44"/>
        <v>34.44312730601407</v>
      </c>
      <c r="Y90" s="346">
        <f t="shared" si="45"/>
        <v>-66.485606283963719</v>
      </c>
      <c r="AA90" s="345">
        <f t="shared" si="46"/>
        <v>58.698726090297136</v>
      </c>
      <c r="AB90" s="346">
        <f t="shared" si="47"/>
        <v>-28.346822132954006</v>
      </c>
      <c r="AD90">
        <f t="shared" si="52"/>
        <v>0</v>
      </c>
      <c r="AE90">
        <f t="shared" ref="AE90:AE153" si="53">IF(AD90&gt;0,S90,0)</f>
        <v>0</v>
      </c>
    </row>
    <row r="91" spans="1:31" x14ac:dyDescent="0.25">
      <c r="A91" s="347">
        <v>1318.3</v>
      </c>
      <c r="B91" s="364">
        <f t="shared" si="49"/>
        <v>1.3183</v>
      </c>
      <c r="C91" s="337">
        <f t="shared" si="27"/>
        <v>1.151885001635474</v>
      </c>
      <c r="D91" s="338">
        <f t="shared" si="28"/>
        <v>0.51934949748115911</v>
      </c>
      <c r="E91" s="338">
        <f t="shared" si="29"/>
        <v>1.0000057105420044</v>
      </c>
      <c r="F91" s="339">
        <f t="shared" si="30"/>
        <v>3.379501391989934E-3</v>
      </c>
      <c r="G91" s="338">
        <f t="shared" si="31"/>
        <v>1</v>
      </c>
      <c r="H91" s="339">
        <f t="shared" si="32"/>
        <v>0</v>
      </c>
      <c r="I91" s="337">
        <f t="shared" si="33"/>
        <v>1749.8879190746484</v>
      </c>
      <c r="J91" s="340">
        <f t="shared" si="34"/>
        <v>1.5702248615921666</v>
      </c>
      <c r="K91" s="348">
        <f t="shared" si="35"/>
        <v>1.1144869837671667</v>
      </c>
      <c r="L91" s="349">
        <f t="shared" si="36"/>
        <v>0.45724125447836544</v>
      </c>
      <c r="M91" s="337">
        <f t="shared" si="37"/>
        <v>1.000086787413589</v>
      </c>
      <c r="N91" s="340">
        <f t="shared" si="38"/>
        <v>1.3174303574857462E-2</v>
      </c>
      <c r="O91" s="341">
        <f t="shared" si="39"/>
        <v>1.0000344611066603</v>
      </c>
      <c r="P91" s="342">
        <f t="shared" si="40"/>
        <v>1.8872709680969546E-2</v>
      </c>
      <c r="Q91" s="343">
        <f t="shared" si="41"/>
        <v>28.693509064324097</v>
      </c>
      <c r="R91" s="344">
        <f t="shared" si="42"/>
        <v>-95.168325200462718</v>
      </c>
      <c r="S91" s="346">
        <f t="shared" si="43"/>
        <v>84.831674799537282</v>
      </c>
      <c r="U91" s="319">
        <f t="shared" si="50"/>
        <v>1000000000</v>
      </c>
      <c r="V91" s="319">
        <f t="shared" si="51"/>
        <v>1737914.89</v>
      </c>
      <c r="X91" s="345">
        <f t="shared" si="44"/>
        <v>33.787765963457858</v>
      </c>
      <c r="Y91" s="346">
        <f t="shared" si="45"/>
        <v>-64.524095421460359</v>
      </c>
      <c r="AA91" s="345">
        <f t="shared" si="46"/>
        <v>58.514864390028869</v>
      </c>
      <c r="AB91" s="346">
        <f t="shared" si="47"/>
        <v>-30.644229779002366</v>
      </c>
      <c r="AD91">
        <f t="shared" si="52"/>
        <v>0</v>
      </c>
      <c r="AE91">
        <f t="shared" si="53"/>
        <v>0</v>
      </c>
    </row>
    <row r="92" spans="1:31" x14ac:dyDescent="0.25">
      <c r="A92" s="347">
        <v>1445.4</v>
      </c>
      <c r="B92" s="364">
        <f t="shared" si="49"/>
        <v>1.4454</v>
      </c>
      <c r="C92" s="337">
        <f t="shared" si="27"/>
        <v>1.1802116601102002</v>
      </c>
      <c r="D92" s="338">
        <f t="shared" si="28"/>
        <v>0.55990486159821984</v>
      </c>
      <c r="E92" s="338">
        <f t="shared" si="29"/>
        <v>1.0000068647492191</v>
      </c>
      <c r="F92" s="339">
        <f t="shared" si="30"/>
        <v>3.7053231839032186E-3</v>
      </c>
      <c r="G92" s="338">
        <f t="shared" si="31"/>
        <v>1</v>
      </c>
      <c r="H92" s="339">
        <f t="shared" si="32"/>
        <v>0</v>
      </c>
      <c r="I92" s="337">
        <f t="shared" si="33"/>
        <v>1918.5981406286448</v>
      </c>
      <c r="J92" s="340">
        <f t="shared" si="34"/>
        <v>1.5702751128814141</v>
      </c>
      <c r="K92" s="348">
        <f t="shared" si="35"/>
        <v>1.1362264497513384</v>
      </c>
      <c r="L92" s="349">
        <f t="shared" si="36"/>
        <v>0.49471038306632148</v>
      </c>
      <c r="M92" s="337">
        <f t="shared" si="37"/>
        <v>1.0001043279163708</v>
      </c>
      <c r="N92" s="340">
        <f t="shared" si="38"/>
        <v>1.4444296238753849E-2</v>
      </c>
      <c r="O92" s="341">
        <f t="shared" si="39"/>
        <v>1.0000414287257802</v>
      </c>
      <c r="P92" s="342">
        <f t="shared" si="40"/>
        <v>2.0692370357830052E-2</v>
      </c>
      <c r="Q92" s="343">
        <f t="shared" si="41"/>
        <v>27.85061283663239</v>
      </c>
      <c r="R92" s="344">
        <f t="shared" si="42"/>
        <v>-95.506388541072866</v>
      </c>
      <c r="S92" s="346">
        <f t="shared" si="43"/>
        <v>84.493611458927134</v>
      </c>
      <c r="U92" s="319">
        <f t="shared" si="50"/>
        <v>1000000000</v>
      </c>
      <c r="V92" s="319">
        <f t="shared" si="51"/>
        <v>2089181.1600000001</v>
      </c>
      <c r="X92" s="345">
        <f t="shared" si="44"/>
        <v>33.15593577865841</v>
      </c>
      <c r="Y92" s="346">
        <f t="shared" si="45"/>
        <v>-62.452916895413644</v>
      </c>
      <c r="AA92" s="345">
        <f t="shared" si="46"/>
        <v>58.303798347136606</v>
      </c>
      <c r="AB92" s="346">
        <f t="shared" si="47"/>
        <v>-33.053471645659208</v>
      </c>
      <c r="AD92">
        <f t="shared" si="52"/>
        <v>0</v>
      </c>
      <c r="AE92">
        <f t="shared" si="53"/>
        <v>0</v>
      </c>
    </row>
    <row r="93" spans="1:31" x14ac:dyDescent="0.25">
      <c r="A93" s="347">
        <v>1584.9</v>
      </c>
      <c r="B93" s="364">
        <f t="shared" si="49"/>
        <v>1.5849000000000002</v>
      </c>
      <c r="C93" s="337">
        <f t="shared" si="27"/>
        <v>1.213424585172231</v>
      </c>
      <c r="D93" s="338">
        <f t="shared" si="28"/>
        <v>0.60216038520356019</v>
      </c>
      <c r="E93" s="338">
        <f t="shared" si="29"/>
        <v>1.0000082537631989</v>
      </c>
      <c r="F93" s="339">
        <f t="shared" si="30"/>
        <v>4.0629315595332545E-3</v>
      </c>
      <c r="G93" s="338">
        <f t="shared" si="31"/>
        <v>1</v>
      </c>
      <c r="H93" s="339">
        <f t="shared" si="32"/>
        <v>0</v>
      </c>
      <c r="I93" s="337">
        <f t="shared" si="33"/>
        <v>2103.7679006315707</v>
      </c>
      <c r="J93" s="340">
        <f t="shared" si="34"/>
        <v>1.570320989169792</v>
      </c>
      <c r="K93" s="348">
        <f t="shared" si="35"/>
        <v>1.1618493397251031</v>
      </c>
      <c r="L93" s="349">
        <f t="shared" si="36"/>
        <v>0.53415960668198847</v>
      </c>
      <c r="M93" s="337">
        <f t="shared" si="37"/>
        <v>1.0001254363997352</v>
      </c>
      <c r="N93" s="340">
        <f t="shared" si="38"/>
        <v>1.5838136836749468E-2</v>
      </c>
      <c r="O93" s="341">
        <f t="shared" si="39"/>
        <v>1.000049814869852</v>
      </c>
      <c r="P93" s="342">
        <f t="shared" si="40"/>
        <v>2.2689592061004918E-2</v>
      </c>
      <c r="Q93" s="343">
        <f t="shared" si="41"/>
        <v>27.002733272298379</v>
      </c>
      <c r="R93" s="344">
        <f t="shared" si="42"/>
        <v>-95.843610311898715</v>
      </c>
      <c r="S93" s="346">
        <f t="shared" si="43"/>
        <v>84.156389688101285</v>
      </c>
      <c r="U93" s="319">
        <f t="shared" si="50"/>
        <v>1000000000</v>
      </c>
      <c r="V93" s="319">
        <f t="shared" si="51"/>
        <v>2511908.0100000002</v>
      </c>
      <c r="X93" s="345">
        <f t="shared" si="44"/>
        <v>32.549174765709928</v>
      </c>
      <c r="Y93" s="346">
        <f t="shared" si="45"/>
        <v>-60.275132575962552</v>
      </c>
      <c r="AA93" s="345">
        <f t="shared" si="46"/>
        <v>58.06267979575108</v>
      </c>
      <c r="AB93" s="346">
        <f t="shared" si="47"/>
        <v>-35.56847773593617</v>
      </c>
      <c r="AD93">
        <f t="shared" si="52"/>
        <v>0</v>
      </c>
      <c r="AE93">
        <f t="shared" si="53"/>
        <v>0</v>
      </c>
    </row>
    <row r="94" spans="1:31" x14ac:dyDescent="0.25">
      <c r="A94" s="347">
        <v>1737.8</v>
      </c>
      <c r="B94" s="364">
        <f t="shared" si="49"/>
        <v>1.7378</v>
      </c>
      <c r="C94" s="337">
        <f t="shared" si="27"/>
        <v>1.2521754530356928</v>
      </c>
      <c r="D94" s="338">
        <f t="shared" si="28"/>
        <v>0.64581399633025349</v>
      </c>
      <c r="E94" s="338">
        <f t="shared" si="29"/>
        <v>1.0000099231029536</v>
      </c>
      <c r="F94" s="339">
        <f t="shared" si="30"/>
        <v>4.4548896501747041E-3</v>
      </c>
      <c r="G94" s="338">
        <f t="shared" si="31"/>
        <v>1</v>
      </c>
      <c r="H94" s="339">
        <f t="shared" si="32"/>
        <v>0</v>
      </c>
      <c r="I94" s="337">
        <f t="shared" si="33"/>
        <v>2306.7245808793937</v>
      </c>
      <c r="J94" s="340">
        <f t="shared" si="34"/>
        <v>1.570362811654159</v>
      </c>
      <c r="K94" s="348">
        <f t="shared" si="35"/>
        <v>1.1919148303298999</v>
      </c>
      <c r="L94" s="349">
        <f t="shared" si="36"/>
        <v>0.57537901437053429</v>
      </c>
      <c r="M94" s="337">
        <f t="shared" si="37"/>
        <v>1.0001508043701794</v>
      </c>
      <c r="N94" s="340">
        <f t="shared" si="38"/>
        <v>1.7365795172472002E-2</v>
      </c>
      <c r="O94" s="341">
        <f t="shared" si="39"/>
        <v>1.0000598950123203</v>
      </c>
      <c r="P94" s="342">
        <f t="shared" si="40"/>
        <v>2.487870527822306E-2</v>
      </c>
      <c r="Q94" s="343">
        <f t="shared" si="41"/>
        <v>26.151341765050063</v>
      </c>
      <c r="R94" s="344">
        <f t="shared" si="42"/>
        <v>-96.175973926661612</v>
      </c>
      <c r="S94" s="346">
        <f t="shared" si="43"/>
        <v>83.824026073338388</v>
      </c>
      <c r="U94" s="319">
        <f t="shared" si="50"/>
        <v>1000000000</v>
      </c>
      <c r="V94" s="319">
        <f t="shared" si="51"/>
        <v>3019948.84</v>
      </c>
      <c r="X94" s="345">
        <f t="shared" si="44"/>
        <v>31.970904227718361</v>
      </c>
      <c r="Y94" s="346">
        <f t="shared" si="45"/>
        <v>-58.003359105801756</v>
      </c>
      <c r="AA94" s="345">
        <f t="shared" si="46"/>
        <v>57.789558826494336</v>
      </c>
      <c r="AB94" s="346">
        <f t="shared" si="47"/>
        <v>-38.172614820859835</v>
      </c>
      <c r="AD94">
        <f t="shared" si="52"/>
        <v>0</v>
      </c>
      <c r="AE94">
        <f t="shared" si="53"/>
        <v>0</v>
      </c>
    </row>
    <row r="95" spans="1:31" x14ac:dyDescent="0.25">
      <c r="A95" s="347">
        <v>1905.5</v>
      </c>
      <c r="B95" s="364">
        <f t="shared" si="49"/>
        <v>1.9055</v>
      </c>
      <c r="C95" s="337">
        <f t="shared" si="27"/>
        <v>1.2972458956203534</v>
      </c>
      <c r="D95" s="338">
        <f t="shared" si="28"/>
        <v>0.69060012133039805</v>
      </c>
      <c r="E95" s="338">
        <f t="shared" si="29"/>
        <v>1.0000119306850648</v>
      </c>
      <c r="F95" s="339">
        <f t="shared" si="30"/>
        <v>4.8847858598275165E-3</v>
      </c>
      <c r="G95" s="338">
        <f t="shared" si="31"/>
        <v>1</v>
      </c>
      <c r="H95" s="339">
        <f t="shared" si="32"/>
        <v>0</v>
      </c>
      <c r="I95" s="337">
        <f t="shared" si="33"/>
        <v>2529.3265159191646</v>
      </c>
      <c r="J95" s="340">
        <f t="shared" si="34"/>
        <v>1.570400964622493</v>
      </c>
      <c r="K95" s="348">
        <f t="shared" si="35"/>
        <v>1.227097000883441</v>
      </c>
      <c r="L95" s="349">
        <f t="shared" si="36"/>
        <v>0.6181853347468147</v>
      </c>
      <c r="M95" s="337">
        <f t="shared" si="37"/>
        <v>1.0001813116138742</v>
      </c>
      <c r="N95" s="340">
        <f t="shared" si="38"/>
        <v>1.9041230170045501E-2</v>
      </c>
      <c r="O95" s="341">
        <f t="shared" si="39"/>
        <v>1.0000720198201332</v>
      </c>
      <c r="P95" s="342">
        <f t="shared" si="40"/>
        <v>2.7279771951003229E-2</v>
      </c>
      <c r="Q95" s="343">
        <f t="shared" si="41"/>
        <v>25.296336923711486</v>
      </c>
      <c r="R95" s="344">
        <f t="shared" si="42"/>
        <v>-96.5005294827493</v>
      </c>
      <c r="S95" s="346">
        <f t="shared" si="43"/>
        <v>83.4994705172507</v>
      </c>
      <c r="U95" s="319">
        <f t="shared" si="50"/>
        <v>1000000000</v>
      </c>
      <c r="V95" s="319">
        <f t="shared" si="51"/>
        <v>3630930.25</v>
      </c>
      <c r="X95" s="345">
        <f t="shared" si="44"/>
        <v>31.423129645460456</v>
      </c>
      <c r="Y95" s="346">
        <f t="shared" si="45"/>
        <v>-55.648918967336606</v>
      </c>
      <c r="AA95" s="345">
        <f t="shared" si="46"/>
        <v>57.482328567413646</v>
      </c>
      <c r="AB95" s="346">
        <f t="shared" si="47"/>
        <v>-40.851610515412702</v>
      </c>
      <c r="AD95">
        <f t="shared" si="52"/>
        <v>0</v>
      </c>
      <c r="AE95">
        <f t="shared" si="53"/>
        <v>0</v>
      </c>
    </row>
    <row r="96" spans="1:31" x14ac:dyDescent="0.25">
      <c r="A96" s="347">
        <v>2089.3000000000002</v>
      </c>
      <c r="B96" s="364">
        <f t="shared" si="49"/>
        <v>2.0893000000000002</v>
      </c>
      <c r="C96" s="337">
        <f t="shared" si="27"/>
        <v>1.349419042071712</v>
      </c>
      <c r="D96" s="338">
        <f t="shared" si="28"/>
        <v>0.73614916604033531</v>
      </c>
      <c r="E96" s="338">
        <f t="shared" si="29"/>
        <v>1.0000143432827633</v>
      </c>
      <c r="F96" s="339">
        <f t="shared" si="30"/>
        <v>5.355952076695405E-3</v>
      </c>
      <c r="G96" s="338">
        <f t="shared" si="31"/>
        <v>1</v>
      </c>
      <c r="H96" s="339">
        <f t="shared" si="32"/>
        <v>0</v>
      </c>
      <c r="I96" s="337">
        <f t="shared" si="33"/>
        <v>2773.2993021457373</v>
      </c>
      <c r="J96" s="340">
        <f t="shared" si="34"/>
        <v>1.5704357454393625</v>
      </c>
      <c r="K96" s="348">
        <f t="shared" si="35"/>
        <v>1.2680863210240114</v>
      </c>
      <c r="L96" s="349">
        <f t="shared" si="36"/>
        <v>0.66228394242258692</v>
      </c>
      <c r="M96" s="337">
        <f t="shared" si="37"/>
        <v>1.0002179723296856</v>
      </c>
      <c r="N96" s="340">
        <f t="shared" si="38"/>
        <v>2.0877391780023132E-2</v>
      </c>
      <c r="O96" s="341">
        <f t="shared" si="39"/>
        <v>1.0000865939333259</v>
      </c>
      <c r="P96" s="342">
        <f t="shared" si="40"/>
        <v>2.9911428357935987E-2</v>
      </c>
      <c r="Q96" s="343">
        <f t="shared" si="41"/>
        <v>24.438983905656578</v>
      </c>
      <c r="R96" s="344">
        <f t="shared" si="42"/>
        <v>-96.814617477955778</v>
      </c>
      <c r="S96" s="346">
        <f t="shared" si="43"/>
        <v>83.185382522044222</v>
      </c>
      <c r="U96" s="319">
        <f t="shared" si="50"/>
        <v>1000000000</v>
      </c>
      <c r="V96" s="319">
        <f t="shared" si="51"/>
        <v>4365174.4900000012</v>
      </c>
      <c r="X96" s="345">
        <f t="shared" si="44"/>
        <v>30.908372831823453</v>
      </c>
      <c r="Y96" s="346">
        <f t="shared" si="45"/>
        <v>-53.229451967117299</v>
      </c>
      <c r="AA96" s="345">
        <f t="shared" si="46"/>
        <v>57.139732362995744</v>
      </c>
      <c r="AB96" s="346">
        <f t="shared" si="47"/>
        <v>-43.585165510838479</v>
      </c>
      <c r="AD96">
        <f t="shared" si="52"/>
        <v>0</v>
      </c>
      <c r="AE96">
        <f t="shared" si="53"/>
        <v>0</v>
      </c>
    </row>
    <row r="97" spans="1:31" x14ac:dyDescent="0.25">
      <c r="A97" s="347">
        <v>2290.9</v>
      </c>
      <c r="B97" s="364">
        <f t="shared" si="49"/>
        <v>2.2909000000000002</v>
      </c>
      <c r="C97" s="337">
        <f t="shared" si="27"/>
        <v>1.4096103236529052</v>
      </c>
      <c r="D97" s="338">
        <f t="shared" si="28"/>
        <v>0.78212719714264767</v>
      </c>
      <c r="E97" s="338">
        <f t="shared" si="29"/>
        <v>1.0000172448168414</v>
      </c>
      <c r="F97" s="339">
        <f t="shared" si="30"/>
        <v>5.872745358898257E-3</v>
      </c>
      <c r="G97" s="338">
        <f t="shared" si="31"/>
        <v>1</v>
      </c>
      <c r="H97" s="339">
        <f t="shared" si="32"/>
        <v>0</v>
      </c>
      <c r="I97" s="337">
        <f t="shared" si="33"/>
        <v>3040.8994887239664</v>
      </c>
      <c r="J97" s="340">
        <f t="shared" si="34"/>
        <v>1.5704674767221691</v>
      </c>
      <c r="K97" s="348">
        <f t="shared" si="35"/>
        <v>1.315692331580242</v>
      </c>
      <c r="L97" s="349">
        <f t="shared" si="36"/>
        <v>0.70739686886063913</v>
      </c>
      <c r="M97" s="337">
        <f t="shared" si="37"/>
        <v>1.0002620610334159</v>
      </c>
      <c r="N97" s="340">
        <f t="shared" si="38"/>
        <v>2.2891212996403263E-2</v>
      </c>
      <c r="O97" s="341">
        <f t="shared" si="39"/>
        <v>1.0001041262742261</v>
      </c>
      <c r="P97" s="342">
        <f t="shared" si="40"/>
        <v>3.2798045970134915E-2</v>
      </c>
      <c r="Q97" s="343">
        <f t="shared" si="41"/>
        <v>23.579433280703391</v>
      </c>
      <c r="R97" s="344">
        <f t="shared" si="42"/>
        <v>-97.117166781672694</v>
      </c>
      <c r="S97" s="346">
        <f t="shared" si="43"/>
        <v>82.882833218327306</v>
      </c>
      <c r="U97" s="319">
        <f t="shared" si="50"/>
        <v>1000000000</v>
      </c>
      <c r="V97" s="319">
        <f t="shared" si="51"/>
        <v>5248222.8100000005</v>
      </c>
      <c r="X97" s="345">
        <f t="shared" si="44"/>
        <v>30.427994022776858</v>
      </c>
      <c r="Y97" s="346">
        <f t="shared" si="45"/>
        <v>-50.761873202888971</v>
      </c>
      <c r="AA97" s="345">
        <f t="shared" si="46"/>
        <v>56.760560547089163</v>
      </c>
      <c r="AB97" s="346">
        <f t="shared" si="47"/>
        <v>-46.35529357878373</v>
      </c>
      <c r="AD97">
        <f t="shared" si="52"/>
        <v>0</v>
      </c>
      <c r="AE97">
        <f t="shared" si="53"/>
        <v>0</v>
      </c>
    </row>
    <row r="98" spans="1:31" x14ac:dyDescent="0.25">
      <c r="A98" s="347">
        <v>2511.9</v>
      </c>
      <c r="B98" s="364">
        <f t="shared" si="49"/>
        <v>2.5119000000000002</v>
      </c>
      <c r="C98" s="337">
        <f t="shared" si="27"/>
        <v>1.4787210104038215</v>
      </c>
      <c r="D98" s="338">
        <f t="shared" si="28"/>
        <v>0.82812242989695062</v>
      </c>
      <c r="E98" s="338">
        <f t="shared" si="29"/>
        <v>1.0000207324323107</v>
      </c>
      <c r="F98" s="339">
        <f t="shared" si="30"/>
        <v>6.4392661262306708E-3</v>
      </c>
      <c r="G98" s="338">
        <f t="shared" si="31"/>
        <v>1</v>
      </c>
      <c r="H98" s="339">
        <f t="shared" si="32"/>
        <v>0</v>
      </c>
      <c r="I98" s="337">
        <f t="shared" si="33"/>
        <v>3334.250886658921</v>
      </c>
      <c r="J98" s="340">
        <f t="shared" si="34"/>
        <v>1.5704964093474745</v>
      </c>
      <c r="K98" s="348">
        <f t="shared" si="35"/>
        <v>1.3707281478024194</v>
      </c>
      <c r="L98" s="349">
        <f t="shared" si="36"/>
        <v>0.75314827357171221</v>
      </c>
      <c r="M98" s="337">
        <f t="shared" si="37"/>
        <v>1.0003150528200315</v>
      </c>
      <c r="N98" s="340">
        <f t="shared" si="38"/>
        <v>2.5098610600198721E-2</v>
      </c>
      <c r="O98" s="341">
        <f t="shared" si="39"/>
        <v>1.0001252066838617</v>
      </c>
      <c r="P98" s="342">
        <f t="shared" si="40"/>
        <v>3.5962575046549976E-2</v>
      </c>
      <c r="Q98" s="343">
        <f t="shared" si="41"/>
        <v>22.719092464828595</v>
      </c>
      <c r="R98" s="344">
        <f t="shared" si="42"/>
        <v>-97.408124294784514</v>
      </c>
      <c r="S98" s="346">
        <f t="shared" si="43"/>
        <v>82.591875705215486</v>
      </c>
      <c r="U98" s="319">
        <f t="shared" si="50"/>
        <v>1000000000</v>
      </c>
      <c r="V98" s="319">
        <f t="shared" si="51"/>
        <v>6309641.6100000003</v>
      </c>
      <c r="X98" s="345">
        <f t="shared" si="44"/>
        <v>29.983549432362977</v>
      </c>
      <c r="Y98" s="346">
        <f t="shared" si="45"/>
        <v>-48.268643087025609</v>
      </c>
      <c r="AA98" s="345">
        <f t="shared" si="46"/>
        <v>56.344664321628244</v>
      </c>
      <c r="AB98" s="346">
        <f t="shared" si="47"/>
        <v>-49.139481207758926</v>
      </c>
      <c r="AD98">
        <f t="shared" si="52"/>
        <v>0</v>
      </c>
      <c r="AE98">
        <f t="shared" si="53"/>
        <v>0</v>
      </c>
    </row>
    <row r="99" spans="1:31" x14ac:dyDescent="0.25">
      <c r="A99" s="347">
        <v>2754.2</v>
      </c>
      <c r="B99" s="364">
        <f t="shared" si="49"/>
        <v>2.7542</v>
      </c>
      <c r="C99" s="337">
        <f t="shared" si="27"/>
        <v>1.5577486506891534</v>
      </c>
      <c r="D99" s="338">
        <f t="shared" si="28"/>
        <v>0.87375482273512362</v>
      </c>
      <c r="E99" s="338">
        <f t="shared" si="29"/>
        <v>1.0000249250249538</v>
      </c>
      <c r="F99" s="339">
        <f t="shared" si="30"/>
        <v>7.060383452871721E-3</v>
      </c>
      <c r="G99" s="338">
        <f t="shared" si="31"/>
        <v>1</v>
      </c>
      <c r="H99" s="339">
        <f t="shared" si="32"/>
        <v>0</v>
      </c>
      <c r="I99" s="337">
        <f t="shared" si="33"/>
        <v>3655.8755215424835</v>
      </c>
      <c r="J99" s="340">
        <f t="shared" si="34"/>
        <v>1.5705227945024054</v>
      </c>
      <c r="K99" s="348">
        <f t="shared" si="35"/>
        <v>1.4340960737077406</v>
      </c>
      <c r="L99" s="349">
        <f t="shared" si="36"/>
        <v>0.79916793848823631</v>
      </c>
      <c r="M99" s="337">
        <f t="shared" si="37"/>
        <v>1.0003787527523753</v>
      </c>
      <c r="N99" s="340">
        <f t="shared" si="38"/>
        <v>2.7518475477159365E-2</v>
      </c>
      <c r="O99" s="341">
        <f t="shared" si="39"/>
        <v>1.0001505579235432</v>
      </c>
      <c r="P99" s="342">
        <f t="shared" si="40"/>
        <v>3.9432275341661285E-2</v>
      </c>
      <c r="Q99" s="343">
        <f t="shared" si="41"/>
        <v>21.858808630389049</v>
      </c>
      <c r="R99" s="344">
        <f t="shared" si="42"/>
        <v>-97.689306823640393</v>
      </c>
      <c r="S99" s="346">
        <f t="shared" si="43"/>
        <v>82.310693176359607</v>
      </c>
      <c r="U99" s="319">
        <f t="shared" si="50"/>
        <v>1000000000</v>
      </c>
      <c r="V99" s="319">
        <f t="shared" si="51"/>
        <v>7585617.6399999987</v>
      </c>
      <c r="X99" s="345">
        <f t="shared" si="44"/>
        <v>29.575672153147814</v>
      </c>
      <c r="Y99" s="346">
        <f t="shared" si="45"/>
        <v>-45.772070312310895</v>
      </c>
      <c r="AA99" s="345">
        <f t="shared" si="46"/>
        <v>55.892257766403866</v>
      </c>
      <c r="AB99" s="346">
        <f t="shared" si="47"/>
        <v>-51.917236511329484</v>
      </c>
      <c r="AD99">
        <f t="shared" si="52"/>
        <v>0</v>
      </c>
      <c r="AE99">
        <f t="shared" si="53"/>
        <v>0</v>
      </c>
    </row>
    <row r="100" spans="1:31" x14ac:dyDescent="0.25">
      <c r="A100" s="347">
        <v>3020</v>
      </c>
      <c r="B100" s="364">
        <f t="shared" si="49"/>
        <v>3.02</v>
      </c>
      <c r="C100" s="337">
        <f t="shared" si="27"/>
        <v>1.6477918616542326</v>
      </c>
      <c r="D100" s="338">
        <f t="shared" si="28"/>
        <v>0.91867630050966098</v>
      </c>
      <c r="E100" s="338">
        <f t="shared" si="29"/>
        <v>1.0000299679782436</v>
      </c>
      <c r="F100" s="339">
        <f t="shared" si="30"/>
        <v>7.7417349299732019E-3</v>
      </c>
      <c r="G100" s="338">
        <f t="shared" si="31"/>
        <v>1</v>
      </c>
      <c r="H100" s="339">
        <f t="shared" si="32"/>
        <v>0</v>
      </c>
      <c r="I100" s="337">
        <f t="shared" si="33"/>
        <v>4008.6936335607124</v>
      </c>
      <c r="J100" s="340">
        <f t="shared" si="34"/>
        <v>1.570546868966042</v>
      </c>
      <c r="K100" s="348">
        <f t="shared" si="35"/>
        <v>1.5067905059814071</v>
      </c>
      <c r="L100" s="349">
        <f t="shared" si="36"/>
        <v>0.8450922692249232</v>
      </c>
      <c r="M100" s="337">
        <f t="shared" si="37"/>
        <v>1.0004553675743484</v>
      </c>
      <c r="N100" s="340">
        <f t="shared" si="38"/>
        <v>3.0172664508743851E-2</v>
      </c>
      <c r="O100" s="341">
        <f t="shared" si="39"/>
        <v>1.0001810650357064</v>
      </c>
      <c r="P100" s="342">
        <f t="shared" si="40"/>
        <v>4.3238721084485107E-2</v>
      </c>
      <c r="Q100" s="343">
        <f t="shared" si="41"/>
        <v>20.999086148631065</v>
      </c>
      <c r="R100" s="344">
        <f t="shared" si="42"/>
        <v>-97.964355488457841</v>
      </c>
      <c r="S100" s="346">
        <f t="shared" si="43"/>
        <v>82.035644511542159</v>
      </c>
      <c r="U100" s="319">
        <f t="shared" si="50"/>
        <v>1000000000</v>
      </c>
      <c r="V100" s="319">
        <f t="shared" si="51"/>
        <v>9120400</v>
      </c>
      <c r="X100" s="345">
        <f t="shared" si="44"/>
        <v>29.204270204101199</v>
      </c>
      <c r="Y100" s="346">
        <f t="shared" si="45"/>
        <v>-43.294253176004617</v>
      </c>
      <c r="AA100" s="345">
        <f t="shared" si="46"/>
        <v>55.403937233692488</v>
      </c>
      <c r="AB100" s="346">
        <f t="shared" si="47"/>
        <v>-54.670102312453238</v>
      </c>
      <c r="AD100">
        <f t="shared" si="52"/>
        <v>0</v>
      </c>
      <c r="AE100">
        <f t="shared" si="53"/>
        <v>0</v>
      </c>
    </row>
    <row r="101" spans="1:31" x14ac:dyDescent="0.25">
      <c r="A101" s="347">
        <v>3311.3</v>
      </c>
      <c r="B101" s="364">
        <f t="shared" si="49"/>
        <v>3.3113000000000001</v>
      </c>
      <c r="C101" s="337">
        <f t="shared" si="27"/>
        <v>1.7498759160372659</v>
      </c>
      <c r="D101" s="338">
        <f t="shared" si="28"/>
        <v>0.96250137154545379</v>
      </c>
      <c r="E101" s="338">
        <f t="shared" si="29"/>
        <v>1.0000360279292466</v>
      </c>
      <c r="F101" s="339">
        <f t="shared" si="30"/>
        <v>8.4884448049460642E-3</v>
      </c>
      <c r="G101" s="338">
        <f t="shared" si="31"/>
        <v>1</v>
      </c>
      <c r="H101" s="339">
        <f t="shared" si="32"/>
        <v>0</v>
      </c>
      <c r="I101" s="337">
        <f t="shared" si="33"/>
        <v>4395.3599865360393</v>
      </c>
      <c r="J101" s="340">
        <f t="shared" si="34"/>
        <v>1.5705688141425336</v>
      </c>
      <c r="K101" s="348">
        <f t="shared" si="35"/>
        <v>1.5897543055295904</v>
      </c>
      <c r="L101" s="349">
        <f t="shared" si="36"/>
        <v>0.89049407498559108</v>
      </c>
      <c r="M101" s="337">
        <f t="shared" si="37"/>
        <v>1.0005474258349358</v>
      </c>
      <c r="N101" s="340">
        <f t="shared" si="38"/>
        <v>3.308099824170891E-2</v>
      </c>
      <c r="O101" s="341">
        <f t="shared" si="39"/>
        <v>1.0002177446793608</v>
      </c>
      <c r="P101" s="342">
        <f t="shared" si="40"/>
        <v>4.7410646446473123E-2</v>
      </c>
      <c r="Q101" s="343">
        <f t="shared" si="41"/>
        <v>20.141634054385751</v>
      </c>
      <c r="R101" s="344">
        <f t="shared" si="42"/>
        <v>-98.238158249260522</v>
      </c>
      <c r="S101" s="346">
        <f t="shared" si="43"/>
        <v>81.761841750739478</v>
      </c>
      <c r="U101" s="319">
        <f t="shared" si="50"/>
        <v>1000000000</v>
      </c>
      <c r="V101" s="319">
        <f t="shared" si="51"/>
        <v>10964707.690000001</v>
      </c>
      <c r="X101" s="345">
        <f t="shared" si="44"/>
        <v>28.869182013728654</v>
      </c>
      <c r="Y101" s="346">
        <f t="shared" si="45"/>
        <v>-40.860813935173049</v>
      </c>
      <c r="AA101" s="345">
        <f t="shared" si="46"/>
        <v>54.88157332981973</v>
      </c>
      <c r="AB101" s="346">
        <f t="shared" si="47"/>
        <v>-57.377344314087487</v>
      </c>
      <c r="AD101">
        <f t="shared" si="52"/>
        <v>0</v>
      </c>
      <c r="AE101">
        <f t="shared" si="53"/>
        <v>0</v>
      </c>
    </row>
    <row r="102" spans="1:31" x14ac:dyDescent="0.25">
      <c r="A102" s="347">
        <v>3630.8</v>
      </c>
      <c r="B102" s="364">
        <f t="shared" si="49"/>
        <v>3.6308000000000002</v>
      </c>
      <c r="C102" s="337">
        <f t="shared" si="27"/>
        <v>1.8652591339157023</v>
      </c>
      <c r="D102" s="338">
        <f t="shared" si="28"/>
        <v>1.0049640783298361</v>
      </c>
      <c r="E102" s="338">
        <f t="shared" si="29"/>
        <v>1.0000433156976891</v>
      </c>
      <c r="F102" s="339">
        <f t="shared" si="30"/>
        <v>9.3074308168756264E-3</v>
      </c>
      <c r="G102" s="338">
        <f t="shared" si="31"/>
        <v>1</v>
      </c>
      <c r="H102" s="339">
        <f t="shared" si="32"/>
        <v>0</v>
      </c>
      <c r="I102" s="337">
        <f t="shared" si="33"/>
        <v>4819.4585116489079</v>
      </c>
      <c r="J102" s="340">
        <f t="shared" si="34"/>
        <v>1.5705888346036561</v>
      </c>
      <c r="K102" s="348">
        <f t="shared" si="35"/>
        <v>1.6841238463395707</v>
      </c>
      <c r="L102" s="349">
        <f t="shared" si="36"/>
        <v>0.93504706203022014</v>
      </c>
      <c r="M102" s="337">
        <f t="shared" si="37"/>
        <v>1.0006581257050817</v>
      </c>
      <c r="N102" s="340">
        <f t="shared" si="38"/>
        <v>3.6270234806725435E-2</v>
      </c>
      <c r="O102" s="341">
        <f t="shared" si="39"/>
        <v>1.0002618853261158</v>
      </c>
      <c r="P102" s="342">
        <f t="shared" si="40"/>
        <v>5.1986842256923127E-2</v>
      </c>
      <c r="Q102" s="343">
        <f t="shared" si="41"/>
        <v>19.286519060434124</v>
      </c>
      <c r="R102" s="344">
        <f t="shared" si="42"/>
        <v>-98.51754315983905</v>
      </c>
      <c r="S102" s="346">
        <f t="shared" si="43"/>
        <v>81.48245684016095</v>
      </c>
      <c r="U102" s="319">
        <f t="shared" si="50"/>
        <v>1000000000</v>
      </c>
      <c r="V102" s="319">
        <f t="shared" si="51"/>
        <v>13182708.640000001</v>
      </c>
      <c r="X102" s="345">
        <f t="shared" si="44"/>
        <v>28.569025459504729</v>
      </c>
      <c r="Y102" s="346">
        <f t="shared" si="45"/>
        <v>-38.491992693078473</v>
      </c>
      <c r="AA102" s="345">
        <f t="shared" si="46"/>
        <v>54.326614890092024</v>
      </c>
      <c r="AB102" s="346">
        <f t="shared" si="47"/>
        <v>-60.025550466760556</v>
      </c>
      <c r="AD102">
        <f t="shared" si="52"/>
        <v>0</v>
      </c>
      <c r="AE102">
        <f t="shared" si="53"/>
        <v>0</v>
      </c>
    </row>
    <row r="103" spans="1:31" x14ac:dyDescent="0.25">
      <c r="A103" s="347">
        <v>3981.1</v>
      </c>
      <c r="B103" s="364">
        <f t="shared" si="49"/>
        <v>3.9811000000000001</v>
      </c>
      <c r="C103" s="337">
        <f t="shared" si="27"/>
        <v>1.9951577284552884</v>
      </c>
      <c r="D103" s="338">
        <f t="shared" si="28"/>
        <v>1.0457957475030237</v>
      </c>
      <c r="E103" s="338">
        <f t="shared" si="29"/>
        <v>1.0000520768769006</v>
      </c>
      <c r="F103" s="339">
        <f t="shared" si="30"/>
        <v>1.0205353203114668E-2</v>
      </c>
      <c r="G103" s="338">
        <f t="shared" si="31"/>
        <v>1</v>
      </c>
      <c r="H103" s="339">
        <f t="shared" si="32"/>
        <v>0</v>
      </c>
      <c r="I103" s="337">
        <f t="shared" si="33"/>
        <v>5284.4404019055673</v>
      </c>
      <c r="J103" s="340">
        <f t="shared" si="34"/>
        <v>1.5706070919980375</v>
      </c>
      <c r="K103" s="348">
        <f t="shared" si="35"/>
        <v>1.7910035180007915</v>
      </c>
      <c r="L103" s="349">
        <f t="shared" si="36"/>
        <v>0.97840534437463689</v>
      </c>
      <c r="M103" s="337">
        <f t="shared" si="37"/>
        <v>1.000791191274647</v>
      </c>
      <c r="N103" s="340">
        <f t="shared" si="38"/>
        <v>3.9766065271059838E-2</v>
      </c>
      <c r="O103" s="341">
        <f t="shared" si="39"/>
        <v>1.0003149924573564</v>
      </c>
      <c r="P103" s="342">
        <f t="shared" si="40"/>
        <v>5.7004709288377725E-2</v>
      </c>
      <c r="Q103" s="343">
        <f t="shared" si="41"/>
        <v>18.434650967649013</v>
      </c>
      <c r="R103" s="344">
        <f t="shared" si="42"/>
        <v>-98.810176732140789</v>
      </c>
      <c r="S103" s="346">
        <f t="shared" si="43"/>
        <v>81.189823267859211</v>
      </c>
      <c r="U103" s="319">
        <f t="shared" si="50"/>
        <v>1000000000</v>
      </c>
      <c r="V103" s="319">
        <f t="shared" si="51"/>
        <v>15849157.209999999</v>
      </c>
      <c r="X103" s="345">
        <f t="shared" si="44"/>
        <v>28.302303610539823</v>
      </c>
      <c r="Y103" s="346">
        <f t="shared" si="45"/>
        <v>-36.209088508340784</v>
      </c>
      <c r="AA103" s="345">
        <f t="shared" si="46"/>
        <v>53.741468646271812</v>
      </c>
      <c r="AB103" s="346">
        <f t="shared" si="47"/>
        <v>-62.601088223799977</v>
      </c>
      <c r="AD103">
        <f t="shared" si="52"/>
        <v>0</v>
      </c>
      <c r="AE103">
        <f t="shared" si="53"/>
        <v>0</v>
      </c>
    </row>
    <row r="104" spans="1:31" x14ac:dyDescent="0.25">
      <c r="A104" s="347">
        <v>4365.2</v>
      </c>
      <c r="B104" s="364">
        <f t="shared" si="49"/>
        <v>4.3651999999999997</v>
      </c>
      <c r="C104" s="337">
        <f t="shared" si="27"/>
        <v>2.1409232172168426</v>
      </c>
      <c r="D104" s="338">
        <f t="shared" si="28"/>
        <v>1.0848015156172373</v>
      </c>
      <c r="E104" s="338">
        <f t="shared" si="29"/>
        <v>1.0000626101528303</v>
      </c>
      <c r="F104" s="339">
        <f t="shared" si="30"/>
        <v>1.1189896005971811E-2</v>
      </c>
      <c r="G104" s="338">
        <f t="shared" si="31"/>
        <v>1</v>
      </c>
      <c r="H104" s="339">
        <f t="shared" si="32"/>
        <v>0</v>
      </c>
      <c r="I104" s="337">
        <f t="shared" si="33"/>
        <v>5794.287803097367</v>
      </c>
      <c r="J104" s="340">
        <f t="shared" si="34"/>
        <v>1.5706237430298255</v>
      </c>
      <c r="K104" s="348">
        <f t="shared" si="35"/>
        <v>1.9116078193589379</v>
      </c>
      <c r="L104" s="349">
        <f t="shared" si="36"/>
        <v>1.0202887863827514</v>
      </c>
      <c r="M104" s="337">
        <f t="shared" si="37"/>
        <v>1.0009511497313033</v>
      </c>
      <c r="N104" s="340">
        <f t="shared" si="38"/>
        <v>4.3598083395018333E-2</v>
      </c>
      <c r="O104" s="341">
        <f t="shared" si="39"/>
        <v>1.000378902553487</v>
      </c>
      <c r="P104" s="342">
        <f t="shared" si="40"/>
        <v>6.2507432709490482E-2</v>
      </c>
      <c r="Q104" s="343">
        <f t="shared" si="41"/>
        <v>17.58634823193443</v>
      </c>
      <c r="R104" s="344">
        <f t="shared" si="42"/>
        <v>-99.124683343434967</v>
      </c>
      <c r="S104" s="346">
        <f t="shared" si="43"/>
        <v>80.875316656565033</v>
      </c>
      <c r="U104" s="319">
        <f t="shared" si="50"/>
        <v>1000000000</v>
      </c>
      <c r="V104" s="319">
        <f t="shared" si="51"/>
        <v>19054971.039999999</v>
      </c>
      <c r="X104" s="345">
        <f t="shared" si="44"/>
        <v>28.066941454453563</v>
      </c>
      <c r="Y104" s="346">
        <f t="shared" si="45"/>
        <v>-34.029856546671198</v>
      </c>
      <c r="AA104" s="345">
        <f t="shared" si="46"/>
        <v>53.128528066643497</v>
      </c>
      <c r="AB104" s="346">
        <f t="shared" si="47"/>
        <v>-65.094826796763755</v>
      </c>
      <c r="AD104">
        <f t="shared" si="52"/>
        <v>0</v>
      </c>
      <c r="AE104">
        <f t="shared" si="53"/>
        <v>0</v>
      </c>
    </row>
    <row r="105" spans="1:31" x14ac:dyDescent="0.25">
      <c r="A105" s="347">
        <v>4786.3</v>
      </c>
      <c r="B105" s="364">
        <f t="shared" si="49"/>
        <v>4.7862999999999998</v>
      </c>
      <c r="C105" s="337">
        <f t="shared" si="27"/>
        <v>2.3039734057329007</v>
      </c>
      <c r="D105" s="338">
        <f t="shared" si="28"/>
        <v>1.1218319382822783</v>
      </c>
      <c r="E105" s="338">
        <f t="shared" si="29"/>
        <v>1.0000752720170496</v>
      </c>
      <c r="F105" s="339">
        <f t="shared" si="30"/>
        <v>1.2269253912852026E-2</v>
      </c>
      <c r="G105" s="338">
        <f t="shared" si="31"/>
        <v>1</v>
      </c>
      <c r="H105" s="339">
        <f t="shared" si="32"/>
        <v>0</v>
      </c>
      <c r="I105" s="337">
        <f t="shared" si="33"/>
        <v>6353.2483374156709</v>
      </c>
      <c r="J105" s="340">
        <f t="shared" si="34"/>
        <v>1.5706389269970262</v>
      </c>
      <c r="K105" s="348">
        <f t="shared" si="35"/>
        <v>2.0472033467520756</v>
      </c>
      <c r="L105" s="349">
        <f t="shared" si="36"/>
        <v>1.0604594106928003</v>
      </c>
      <c r="M105" s="337">
        <f t="shared" si="37"/>
        <v>1.0011434013585456</v>
      </c>
      <c r="N105" s="340">
        <f t="shared" si="38"/>
        <v>4.7797760371529018E-2</v>
      </c>
      <c r="O105" s="341">
        <f t="shared" si="39"/>
        <v>1.0004558160993879</v>
      </c>
      <c r="P105" s="342">
        <f t="shared" si="40"/>
        <v>6.8541135079758259E-2</v>
      </c>
      <c r="Q105" s="343">
        <f t="shared" si="41"/>
        <v>16.741923210860058</v>
      </c>
      <c r="R105" s="344">
        <f t="shared" si="42"/>
        <v>-99.470119814065981</v>
      </c>
      <c r="S105" s="346">
        <f t="shared" si="43"/>
        <v>80.529880185934019</v>
      </c>
      <c r="U105" s="319">
        <f t="shared" si="50"/>
        <v>1000000000</v>
      </c>
      <c r="V105" s="319">
        <f t="shared" si="51"/>
        <v>22908667.690000001</v>
      </c>
      <c r="X105" s="345">
        <f t="shared" si="44"/>
        <v>27.860601643690114</v>
      </c>
      <c r="Y105" s="346">
        <f t="shared" si="45"/>
        <v>-31.969743054254941</v>
      </c>
      <c r="AA105" s="345">
        <f t="shared" si="46"/>
        <v>52.490442856332578</v>
      </c>
      <c r="AB105" s="346">
        <f t="shared" si="47"/>
        <v>-67.500376759811047</v>
      </c>
      <c r="AD105">
        <f t="shared" si="52"/>
        <v>0</v>
      </c>
      <c r="AE105">
        <f t="shared" si="53"/>
        <v>0</v>
      </c>
    </row>
    <row r="106" spans="1:31" x14ac:dyDescent="0.25">
      <c r="A106" s="347">
        <v>5248.1</v>
      </c>
      <c r="B106" s="364">
        <f t="shared" si="49"/>
        <v>5.2481</v>
      </c>
      <c r="C106" s="337">
        <f t="shared" si="27"/>
        <v>2.4859123326637942</v>
      </c>
      <c r="D106" s="338">
        <f t="shared" si="28"/>
        <v>1.1568048599461911</v>
      </c>
      <c r="E106" s="338">
        <f t="shared" si="29"/>
        <v>1.0000904970909483</v>
      </c>
      <c r="F106" s="339">
        <f t="shared" si="30"/>
        <v>1.3452900557560101E-2</v>
      </c>
      <c r="G106" s="338">
        <f t="shared" si="31"/>
        <v>1</v>
      </c>
      <c r="H106" s="339">
        <f t="shared" si="32"/>
        <v>0</v>
      </c>
      <c r="I106" s="337">
        <f t="shared" si="33"/>
        <v>6966.2333180331298</v>
      </c>
      <c r="J106" s="340">
        <f t="shared" si="34"/>
        <v>1.5706527771953094</v>
      </c>
      <c r="K106" s="348">
        <f t="shared" si="35"/>
        <v>2.1992076684687567</v>
      </c>
      <c r="L106" s="349">
        <f t="shared" si="36"/>
        <v>1.0987506260405988</v>
      </c>
      <c r="M106" s="337">
        <f t="shared" si="37"/>
        <v>1.0013745258708249</v>
      </c>
      <c r="N106" s="340">
        <f t="shared" si="38"/>
        <v>5.2401398470701355E-2</v>
      </c>
      <c r="O106" s="341">
        <f t="shared" si="39"/>
        <v>1.0005484273735241</v>
      </c>
      <c r="P106" s="342">
        <f t="shared" si="40"/>
        <v>7.5159198157494375E-2</v>
      </c>
      <c r="Q106" s="343">
        <f t="shared" si="41"/>
        <v>15.901140971098638</v>
      </c>
      <c r="R106" s="344">
        <f t="shared" si="42"/>
        <v>-99.855927308359568</v>
      </c>
      <c r="S106" s="346">
        <f t="shared" si="43"/>
        <v>80.144072691640432</v>
      </c>
      <c r="U106" s="319">
        <f t="shared" si="50"/>
        <v>1000000000</v>
      </c>
      <c r="V106" s="319">
        <f t="shared" si="51"/>
        <v>27542553.610000003</v>
      </c>
      <c r="X106" s="345">
        <f t="shared" si="44"/>
        <v>27.68065812081214</v>
      </c>
      <c r="Y106" s="346">
        <f t="shared" si="45"/>
        <v>-30.040380611590162</v>
      </c>
      <c r="AA106" s="345">
        <f t="shared" si="46"/>
        <v>51.829604139449124</v>
      </c>
      <c r="AB106" s="346">
        <f t="shared" si="47"/>
        <v>-69.815546696769403</v>
      </c>
      <c r="AD106">
        <f t="shared" si="52"/>
        <v>0</v>
      </c>
      <c r="AE106">
        <f t="shared" si="53"/>
        <v>0</v>
      </c>
    </row>
    <row r="107" spans="1:31" x14ac:dyDescent="0.25">
      <c r="A107" s="347">
        <v>5370.3</v>
      </c>
      <c r="B107" s="364">
        <f t="shared" si="49"/>
        <v>5.3703000000000003</v>
      </c>
      <c r="C107" s="337">
        <f t="shared" si="27"/>
        <v>2.5345188731241866</v>
      </c>
      <c r="D107" s="338">
        <f t="shared" si="28"/>
        <v>1.1652158614478705</v>
      </c>
      <c r="E107" s="338">
        <f t="shared" si="29"/>
        <v>1.0000947603343371</v>
      </c>
      <c r="F107" s="339">
        <f t="shared" si="30"/>
        <v>1.3766107075576144E-2</v>
      </c>
      <c r="G107" s="338">
        <f t="shared" si="31"/>
        <v>1</v>
      </c>
      <c r="H107" s="339">
        <f t="shared" si="32"/>
        <v>0</v>
      </c>
      <c r="I107" s="337">
        <f t="shared" si="33"/>
        <v>7128.4393914923758</v>
      </c>
      <c r="J107" s="340">
        <f t="shared" si="34"/>
        <v>1.5706560436349566</v>
      </c>
      <c r="K107" s="348">
        <f t="shared" si="35"/>
        <v>2.239923651092337</v>
      </c>
      <c r="L107" s="349">
        <f t="shared" si="36"/>
        <v>1.1080092035536528</v>
      </c>
      <c r="M107" s="337">
        <f t="shared" si="37"/>
        <v>1.0014392351859271</v>
      </c>
      <c r="N107" s="340">
        <f t="shared" si="38"/>
        <v>5.3619234204261026E-2</v>
      </c>
      <c r="O107" s="341">
        <f t="shared" si="39"/>
        <v>1.0005743848702409</v>
      </c>
      <c r="P107" s="342">
        <f t="shared" si="40"/>
        <v>7.6910671483479326E-2</v>
      </c>
      <c r="Q107" s="343">
        <f t="shared" si="41"/>
        <v>15.691607557307499</v>
      </c>
      <c r="R107" s="344">
        <f t="shared" si="42"/>
        <v>-99.959735398999257</v>
      </c>
      <c r="S107" s="346">
        <f t="shared" si="43"/>
        <v>80.040264601000743</v>
      </c>
      <c r="U107" s="319">
        <f t="shared" si="50"/>
        <v>1000000000</v>
      </c>
      <c r="V107" s="319">
        <f t="shared" si="51"/>
        <v>28840122.090000004</v>
      </c>
      <c r="X107" s="345">
        <f t="shared" si="44"/>
        <v>27.639507430263905</v>
      </c>
      <c r="Y107" s="346">
        <f t="shared" si="45"/>
        <v>-29.579867196150218</v>
      </c>
      <c r="AA107" s="345">
        <f t="shared" si="46"/>
        <v>51.661221416206224</v>
      </c>
      <c r="AB107" s="346">
        <f t="shared" si="47"/>
        <v>-70.379868202849039</v>
      </c>
      <c r="AD107">
        <f t="shared" si="52"/>
        <v>0</v>
      </c>
      <c r="AE107">
        <f t="shared" si="53"/>
        <v>0</v>
      </c>
    </row>
    <row r="108" spans="1:31" x14ac:dyDescent="0.25">
      <c r="A108" s="347">
        <v>5432.85</v>
      </c>
      <c r="B108" s="364">
        <f t="shared" si="49"/>
        <v>5.4328500000000002</v>
      </c>
      <c r="C108" s="337">
        <f t="shared" si="27"/>
        <v>2.5594662845676797</v>
      </c>
      <c r="D108" s="338">
        <f t="shared" si="28"/>
        <v>1.1693974024481131</v>
      </c>
      <c r="E108" s="338">
        <f t="shared" si="29"/>
        <v>1.0000969805039412</v>
      </c>
      <c r="F108" s="339">
        <f t="shared" si="30"/>
        <v>1.3926425737285248E-2</v>
      </c>
      <c r="G108" s="338">
        <f t="shared" si="31"/>
        <v>1</v>
      </c>
      <c r="H108" s="339">
        <f t="shared" si="32"/>
        <v>0</v>
      </c>
      <c r="I108" s="337">
        <f t="shared" si="33"/>
        <v>7211.4671320680691</v>
      </c>
      <c r="J108" s="340">
        <f t="shared" si="34"/>
        <v>1.5706576587562173</v>
      </c>
      <c r="K108" s="348">
        <f t="shared" si="35"/>
        <v>2.2608370405012645</v>
      </c>
      <c r="L108" s="349">
        <f t="shared" si="36"/>
        <v>1.1126191161344681</v>
      </c>
      <c r="M108" s="337">
        <f t="shared" si="37"/>
        <v>1.0014729323147344</v>
      </c>
      <c r="N108" s="340">
        <f t="shared" si="38"/>
        <v>5.4242541291749817E-2</v>
      </c>
      <c r="O108" s="341">
        <f t="shared" si="39"/>
        <v>1.000587907086161</v>
      </c>
      <c r="P108" s="342">
        <f t="shared" si="40"/>
        <v>7.7807228394076597E-2</v>
      </c>
      <c r="Q108" s="343">
        <f t="shared" si="41"/>
        <v>15.586277068442895</v>
      </c>
      <c r="R108" s="344">
        <f t="shared" si="42"/>
        <v>-100.0131802648929</v>
      </c>
      <c r="S108" s="346">
        <f t="shared" si="43"/>
        <v>79.986819735107105</v>
      </c>
      <c r="U108" s="319">
        <f t="shared" si="50"/>
        <v>1000000000</v>
      </c>
      <c r="V108" s="319">
        <f t="shared" si="51"/>
        <v>29515859.122500002</v>
      </c>
      <c r="X108" s="345">
        <f t="shared" si="44"/>
        <v>27.61935271370573</v>
      </c>
      <c r="Y108" s="346">
        <f t="shared" si="45"/>
        <v>-29.351544066169691</v>
      </c>
      <c r="AA108" s="345">
        <f t="shared" si="46"/>
        <v>51.576045643899789</v>
      </c>
      <c r="AB108" s="346">
        <f t="shared" si="47"/>
        <v>-70.661636198723201</v>
      </c>
      <c r="AD108">
        <f t="shared" si="52"/>
        <v>0</v>
      </c>
      <c r="AE108">
        <f t="shared" si="53"/>
        <v>0</v>
      </c>
    </row>
    <row r="109" spans="1:31" x14ac:dyDescent="0.25">
      <c r="A109" s="347">
        <v>5495.4</v>
      </c>
      <c r="B109" s="364">
        <f t="shared" si="49"/>
        <v>5.4954000000000001</v>
      </c>
      <c r="C109" s="337">
        <f t="shared" si="27"/>
        <v>2.5844575845686846</v>
      </c>
      <c r="D109" s="338">
        <f t="shared" si="28"/>
        <v>1.173498144307868</v>
      </c>
      <c r="E109" s="338">
        <f t="shared" si="29"/>
        <v>1.0000992263779969</v>
      </c>
      <c r="F109" s="339">
        <f t="shared" si="30"/>
        <v>1.4086743683075239E-2</v>
      </c>
      <c r="G109" s="338">
        <f t="shared" si="31"/>
        <v>1</v>
      </c>
      <c r="H109" s="339">
        <f t="shared" si="32"/>
        <v>0</v>
      </c>
      <c r="I109" s="337">
        <f t="shared" si="33"/>
        <v>7294.494872662146</v>
      </c>
      <c r="J109" s="340">
        <f t="shared" si="34"/>
        <v>1.5706592371100605</v>
      </c>
      <c r="K109" s="348">
        <f t="shared" si="35"/>
        <v>2.2817975943256505</v>
      </c>
      <c r="L109" s="349">
        <f t="shared" si="36"/>
        <v>1.1171444302617586</v>
      </c>
      <c r="M109" s="337">
        <f t="shared" si="37"/>
        <v>1.001507018501248</v>
      </c>
      <c r="N109" s="340">
        <f t="shared" si="38"/>
        <v>5.4865806192987733E-2</v>
      </c>
      <c r="O109" s="341">
        <f t="shared" si="39"/>
        <v>1.0006015888740714</v>
      </c>
      <c r="P109" s="342">
        <f t="shared" si="40"/>
        <v>7.8703811165953971E-2</v>
      </c>
      <c r="Q109" s="343">
        <f t="shared" si="41"/>
        <v>15.482207521292139</v>
      </c>
      <c r="R109" s="344">
        <f t="shared" si="42"/>
        <v>-100.06683981443825</v>
      </c>
      <c r="S109" s="346">
        <f t="shared" si="43"/>
        <v>79.933160185561746</v>
      </c>
      <c r="U109" s="319">
        <f t="shared" si="50"/>
        <v>1000000000</v>
      </c>
      <c r="V109" s="319">
        <f t="shared" si="51"/>
        <v>30199421.159999996</v>
      </c>
      <c r="X109" s="345">
        <f t="shared" si="44"/>
        <v>27.599782348977861</v>
      </c>
      <c r="Y109" s="346">
        <f t="shared" si="45"/>
        <v>-29.128063546823014</v>
      </c>
      <c r="AA109" s="345">
        <f t="shared" si="46"/>
        <v>51.491546461476901</v>
      </c>
      <c r="AB109" s="346">
        <f t="shared" si="47"/>
        <v>-70.938776267615211</v>
      </c>
      <c r="AD109">
        <f t="shared" si="52"/>
        <v>0</v>
      </c>
      <c r="AE109">
        <f t="shared" si="53"/>
        <v>0</v>
      </c>
    </row>
    <row r="110" spans="1:31" x14ac:dyDescent="0.25">
      <c r="A110" s="347">
        <v>5559.4</v>
      </c>
      <c r="B110" s="364">
        <f t="shared" si="49"/>
        <v>5.5593999999999992</v>
      </c>
      <c r="C110" s="337">
        <f t="shared" si="27"/>
        <v>2.6100723307494889</v>
      </c>
      <c r="D110" s="338">
        <f t="shared" si="28"/>
        <v>1.1776125960211381</v>
      </c>
      <c r="E110" s="338">
        <f t="shared" si="29"/>
        <v>1.0001015509196574</v>
      </c>
      <c r="F110" s="339">
        <f t="shared" si="30"/>
        <v>1.4250777282488893E-2</v>
      </c>
      <c r="G110" s="338">
        <f t="shared" si="31"/>
        <v>1</v>
      </c>
      <c r="H110" s="339">
        <f t="shared" si="32"/>
        <v>0</v>
      </c>
      <c r="I110" s="337">
        <f t="shared" si="33"/>
        <v>7379.4473170933325</v>
      </c>
      <c r="J110" s="340">
        <f t="shared" si="34"/>
        <v>1.570660815291109</v>
      </c>
      <c r="K110" s="348">
        <f t="shared" si="35"/>
        <v>2.3032915183191425</v>
      </c>
      <c r="L110" s="349">
        <f t="shared" si="36"/>
        <v>1.121689303300426</v>
      </c>
      <c r="M110" s="337">
        <f t="shared" si="37"/>
        <v>1.0015422975043462</v>
      </c>
      <c r="N110" s="340">
        <f t="shared" si="38"/>
        <v>5.5503475116344243E-2</v>
      </c>
      <c r="O110" s="341">
        <f t="shared" si="39"/>
        <v>1.0006157530966895</v>
      </c>
      <c r="P110" s="342">
        <f t="shared" si="40"/>
        <v>7.9621205101419942E-2</v>
      </c>
      <c r="Q110" s="343">
        <f t="shared" si="41"/>
        <v>15.376999662224044</v>
      </c>
      <c r="R110" s="344">
        <f t="shared" si="42"/>
        <v>-100.12196901800024</v>
      </c>
      <c r="S110" s="346">
        <f t="shared" si="43"/>
        <v>79.878030981999757</v>
      </c>
      <c r="U110" s="319">
        <f t="shared" si="50"/>
        <v>1000000000</v>
      </c>
      <c r="V110" s="319">
        <f t="shared" si="51"/>
        <v>30906928.359999996</v>
      </c>
      <c r="X110" s="345">
        <f t="shared" si="44"/>
        <v>27.580339929418557</v>
      </c>
      <c r="Y110" s="346">
        <f t="shared" si="45"/>
        <v>-28.904287664177247</v>
      </c>
      <c r="AA110" s="345">
        <f t="shared" si="46"/>
        <v>51.405781021968117</v>
      </c>
      <c r="AB110" s="346">
        <f t="shared" si="47"/>
        <v>-71.217681353823011</v>
      </c>
      <c r="AD110">
        <f t="shared" si="52"/>
        <v>0</v>
      </c>
      <c r="AE110">
        <f t="shared" si="53"/>
        <v>0</v>
      </c>
    </row>
    <row r="111" spans="1:31" x14ac:dyDescent="0.25">
      <c r="A111" s="347">
        <v>5623.4</v>
      </c>
      <c r="B111" s="364">
        <f t="shared" si="49"/>
        <v>5.6233999999999993</v>
      </c>
      <c r="C111" s="337">
        <f t="shared" si="27"/>
        <v>2.6357304028571455</v>
      </c>
      <c r="D111" s="338">
        <f t="shared" si="28"/>
        <v>1.1816470089372901</v>
      </c>
      <c r="E111" s="338">
        <f t="shared" si="29"/>
        <v>1.0001039023709466</v>
      </c>
      <c r="F111" s="339">
        <f t="shared" si="30"/>
        <v>1.4414810114962272E-2</v>
      </c>
      <c r="G111" s="338">
        <f t="shared" si="31"/>
        <v>1</v>
      </c>
      <c r="H111" s="339">
        <f t="shared" si="32"/>
        <v>0</v>
      </c>
      <c r="I111" s="337">
        <f t="shared" si="33"/>
        <v>7464.3997615424805</v>
      </c>
      <c r="J111" s="340">
        <f t="shared" si="34"/>
        <v>1.5706623575495537</v>
      </c>
      <c r="K111" s="348">
        <f t="shared" si="35"/>
        <v>2.3248321385137736</v>
      </c>
      <c r="L111" s="349">
        <f t="shared" si="36"/>
        <v>1.1261500464589655</v>
      </c>
      <c r="M111" s="337">
        <f t="shared" si="37"/>
        <v>1.0015779837274459</v>
      </c>
      <c r="N111" s="340">
        <f t="shared" si="38"/>
        <v>5.6141098858670163E-2</v>
      </c>
      <c r="O111" s="341">
        <f t="shared" si="39"/>
        <v>1.0006300845946801</v>
      </c>
      <c r="P111" s="342">
        <f t="shared" si="40"/>
        <v>8.0538626726245288E-2</v>
      </c>
      <c r="Q111" s="343">
        <f t="shared" si="41"/>
        <v>15.273050100914256</v>
      </c>
      <c r="R111" s="344">
        <f t="shared" si="42"/>
        <v>-100.17732960688257</v>
      </c>
      <c r="S111" s="346">
        <f t="shared" si="43"/>
        <v>79.822670393117434</v>
      </c>
      <c r="U111" s="319">
        <f t="shared" si="50"/>
        <v>1000000000</v>
      </c>
      <c r="V111" s="319">
        <f t="shared" si="51"/>
        <v>31622627.559999995</v>
      </c>
      <c r="X111" s="345">
        <f t="shared" si="44"/>
        <v>27.561463218032657</v>
      </c>
      <c r="Y111" s="346">
        <f t="shared" si="45"/>
        <v>-28.685327421703285</v>
      </c>
      <c r="AA111" s="345">
        <f t="shared" si="46"/>
        <v>51.320708172044228</v>
      </c>
      <c r="AB111" s="346">
        <f t="shared" si="47"/>
        <v>-71.492002185179274</v>
      </c>
      <c r="AD111">
        <f t="shared" si="52"/>
        <v>0</v>
      </c>
      <c r="AE111">
        <f t="shared" si="53"/>
        <v>0</v>
      </c>
    </row>
    <row r="112" spans="1:31" x14ac:dyDescent="0.25">
      <c r="A112" s="347">
        <v>5688.9</v>
      </c>
      <c r="B112" s="364">
        <f t="shared" si="49"/>
        <v>5.6888999999999994</v>
      </c>
      <c r="C112" s="337">
        <f t="shared" si="27"/>
        <v>2.6620333897052153</v>
      </c>
      <c r="D112" s="338">
        <f t="shared" si="28"/>
        <v>1.185695383841074</v>
      </c>
      <c r="E112" s="338">
        <f t="shared" si="29"/>
        <v>1.0001063367972385</v>
      </c>
      <c r="F112" s="339">
        <f t="shared" si="30"/>
        <v>1.4582686663627409E-2</v>
      </c>
      <c r="G112" s="338">
        <f t="shared" si="31"/>
        <v>1</v>
      </c>
      <c r="H112" s="339">
        <f t="shared" si="32"/>
        <v>0</v>
      </c>
      <c r="I112" s="337">
        <f t="shared" si="33"/>
        <v>7551.3432789263688</v>
      </c>
      <c r="J112" s="340">
        <f t="shared" si="34"/>
        <v>1.5706639000244551</v>
      </c>
      <c r="K112" s="348">
        <f t="shared" si="35"/>
        <v>2.3469246259449208</v>
      </c>
      <c r="L112" s="349">
        <f t="shared" si="36"/>
        <v>1.1306304622909142</v>
      </c>
      <c r="M112" s="337">
        <f t="shared" si="37"/>
        <v>1.0016149279491522</v>
      </c>
      <c r="N112" s="340">
        <f t="shared" si="38"/>
        <v>5.6793619589657569E-2</v>
      </c>
      <c r="O112" s="341">
        <f t="shared" si="39"/>
        <v>1.0006449253070362</v>
      </c>
      <c r="P112" s="342">
        <f t="shared" si="40"/>
        <v>8.1477579415049892E-2</v>
      </c>
      <c r="Q112" s="343">
        <f t="shared" si="41"/>
        <v>15.16793615551537</v>
      </c>
      <c r="R112" s="344">
        <f t="shared" si="42"/>
        <v>-100.23422995493226</v>
      </c>
      <c r="S112" s="346">
        <f t="shared" si="43"/>
        <v>79.76577004506774</v>
      </c>
      <c r="U112" s="319">
        <f t="shared" si="50"/>
        <v>1000000000</v>
      </c>
      <c r="V112" s="319">
        <f t="shared" si="51"/>
        <v>32363583.209999997</v>
      </c>
      <c r="X112" s="345">
        <f t="shared" si="44"/>
        <v>27.542707199501585</v>
      </c>
      <c r="Y112" s="346">
        <f t="shared" si="45"/>
        <v>-28.466093565050748</v>
      </c>
      <c r="AA112" s="345">
        <f t="shared" si="46"/>
        <v>51.234350245176408</v>
      </c>
      <c r="AB112" s="346">
        <f t="shared" si="47"/>
        <v>-71.768136389881533</v>
      </c>
      <c r="AD112">
        <f t="shared" si="52"/>
        <v>0</v>
      </c>
      <c r="AE112">
        <f t="shared" si="53"/>
        <v>0</v>
      </c>
    </row>
    <row r="113" spans="1:31" x14ac:dyDescent="0.25">
      <c r="A113" s="347">
        <v>5754.4</v>
      </c>
      <c r="B113" s="364">
        <f t="shared" si="49"/>
        <v>5.7543999999999995</v>
      </c>
      <c r="C113" s="337">
        <f t="shared" si="27"/>
        <v>2.6883791513816622</v>
      </c>
      <c r="D113" s="338">
        <f t="shared" si="28"/>
        <v>1.1896644756561701</v>
      </c>
      <c r="E113" s="338">
        <f t="shared" si="29"/>
        <v>1.0001087994089253</v>
      </c>
      <c r="F113" s="339">
        <f t="shared" si="30"/>
        <v>1.4750562390284142E-2</v>
      </c>
      <c r="G113" s="338">
        <f t="shared" si="31"/>
        <v>1</v>
      </c>
      <c r="H113" s="339">
        <f t="shared" si="32"/>
        <v>0</v>
      </c>
      <c r="I113" s="337">
        <f t="shared" si="33"/>
        <v>7638.2867963278159</v>
      </c>
      <c r="J113" s="340">
        <f t="shared" si="34"/>
        <v>1.5706654073846256</v>
      </c>
      <c r="K113" s="348">
        <f t="shared" si="35"/>
        <v>2.3690633466051163</v>
      </c>
      <c r="L113" s="349">
        <f t="shared" si="36"/>
        <v>1.1350272267108208</v>
      </c>
      <c r="M113" s="337">
        <f t="shared" si="37"/>
        <v>1.0016522986102065</v>
      </c>
      <c r="N113" s="340">
        <f t="shared" si="38"/>
        <v>5.7446091908627581E-2</v>
      </c>
      <c r="O113" s="341">
        <f t="shared" si="39"/>
        <v>1.0006599414683002</v>
      </c>
      <c r="P113" s="342">
        <f t="shared" si="40"/>
        <v>8.2416561764576624E-2</v>
      </c>
      <c r="Q113" s="343">
        <f t="shared" si="41"/>
        <v>15.064078408455465</v>
      </c>
      <c r="R113" s="344">
        <f t="shared" si="42"/>
        <v>-100.29137755027566</v>
      </c>
      <c r="S113" s="346">
        <f t="shared" si="43"/>
        <v>79.708622449724345</v>
      </c>
      <c r="U113" s="319">
        <f t="shared" si="50"/>
        <v>1000000000</v>
      </c>
      <c r="V113" s="319">
        <f t="shared" si="51"/>
        <v>33113119.359999996</v>
      </c>
      <c r="X113" s="345">
        <f t="shared" si="44"/>
        <v>27.524498813456674</v>
      </c>
      <c r="Y113" s="346">
        <f t="shared" si="45"/>
        <v>-28.251647795533835</v>
      </c>
      <c r="AA113" s="345">
        <f t="shared" si="46"/>
        <v>51.148700884161414</v>
      </c>
      <c r="AB113" s="346">
        <f t="shared" si="47"/>
        <v>-72.039729754741828</v>
      </c>
      <c r="AD113">
        <f t="shared" si="52"/>
        <v>0</v>
      </c>
      <c r="AE113">
        <f t="shared" si="53"/>
        <v>0</v>
      </c>
    </row>
    <row r="114" spans="1:31" x14ac:dyDescent="0.25">
      <c r="A114" s="347">
        <v>5821.4</v>
      </c>
      <c r="B114" s="364">
        <f t="shared" si="49"/>
        <v>5.8213999999999997</v>
      </c>
      <c r="C114" s="337">
        <f t="shared" si="27"/>
        <v>2.7153712085178858</v>
      </c>
      <c r="D114" s="338">
        <f t="shared" si="28"/>
        <v>1.1936447127625782</v>
      </c>
      <c r="E114" s="338">
        <f t="shared" si="29"/>
        <v>1.0001113475770684</v>
      </c>
      <c r="F114" s="339">
        <f t="shared" si="30"/>
        <v>1.4922281738911717E-2</v>
      </c>
      <c r="G114" s="338">
        <f t="shared" si="31"/>
        <v>1</v>
      </c>
      <c r="H114" s="339">
        <f t="shared" si="32"/>
        <v>0</v>
      </c>
      <c r="I114" s="337">
        <f t="shared" si="33"/>
        <v>7727.2213866643997</v>
      </c>
      <c r="J114" s="340">
        <f t="shared" si="34"/>
        <v>1.5706669141700018</v>
      </c>
      <c r="K114" s="348">
        <f t="shared" si="35"/>
        <v>2.3917555559508838</v>
      </c>
      <c r="L114" s="349">
        <f t="shared" si="36"/>
        <v>1.1394403804826367</v>
      </c>
      <c r="M114" s="337">
        <f t="shared" si="37"/>
        <v>1.0016909662380165</v>
      </c>
      <c r="N114" s="340">
        <f t="shared" si="38"/>
        <v>5.8113455680577186E-2</v>
      </c>
      <c r="O114" s="341">
        <f t="shared" si="39"/>
        <v>1.0006754831619711</v>
      </c>
      <c r="P114" s="342">
        <f t="shared" si="40"/>
        <v>8.3377078560663745E-2</v>
      </c>
      <c r="Q114" s="343">
        <f t="shared" si="41"/>
        <v>14.959111008352872</v>
      </c>
      <c r="R114" s="344">
        <f t="shared" si="42"/>
        <v>-100.35009147713947</v>
      </c>
      <c r="S114" s="346">
        <f t="shared" si="43"/>
        <v>79.649908522860528</v>
      </c>
      <c r="U114" s="319">
        <f t="shared" si="50"/>
        <v>1000000000</v>
      </c>
      <c r="V114" s="319">
        <f t="shared" si="51"/>
        <v>33888697.959999993</v>
      </c>
      <c r="X114" s="345">
        <f t="shared" si="44"/>
        <v>27.506417987086053</v>
      </c>
      <c r="Y114" s="346">
        <f t="shared" si="45"/>
        <v>-28.037116169796739</v>
      </c>
      <c r="AA114" s="345">
        <f t="shared" si="46"/>
        <v>51.061814310429448</v>
      </c>
      <c r="AB114" s="346">
        <f t="shared" si="47"/>
        <v>-72.312975307342739</v>
      </c>
      <c r="AD114">
        <f t="shared" si="52"/>
        <v>0</v>
      </c>
      <c r="AE114">
        <f t="shared" si="53"/>
        <v>0</v>
      </c>
    </row>
    <row r="115" spans="1:31" x14ac:dyDescent="0.25">
      <c r="A115" s="347">
        <v>5888.4</v>
      </c>
      <c r="B115" s="364">
        <f t="shared" si="49"/>
        <v>5.8883999999999999</v>
      </c>
      <c r="C115" s="337">
        <f t="shared" si="27"/>
        <v>2.742405436151218</v>
      </c>
      <c r="D115" s="338">
        <f t="shared" si="28"/>
        <v>1.1975465374932088</v>
      </c>
      <c r="E115" s="338">
        <f t="shared" si="29"/>
        <v>1.0001139252358791</v>
      </c>
      <c r="F115" s="339">
        <f t="shared" si="30"/>
        <v>1.5094000207435884E-2</v>
      </c>
      <c r="G115" s="338">
        <f t="shared" si="31"/>
        <v>1</v>
      </c>
      <c r="H115" s="339">
        <f t="shared" si="32"/>
        <v>0</v>
      </c>
      <c r="I115" s="337">
        <f t="shared" si="33"/>
        <v>7816.1559770181293</v>
      </c>
      <c r="J115" s="340">
        <f t="shared" si="34"/>
        <v>1.5706683866660573</v>
      </c>
      <c r="K115" s="348">
        <f t="shared" si="35"/>
        <v>2.4144934708483823</v>
      </c>
      <c r="L115" s="349">
        <f t="shared" si="36"/>
        <v>1.1437704976293135</v>
      </c>
      <c r="M115" s="337">
        <f t="shared" si="37"/>
        <v>1.001730079958786</v>
      </c>
      <c r="N115" s="340">
        <f t="shared" si="38"/>
        <v>5.8780767633715592E-2</v>
      </c>
      <c r="O115" s="341">
        <f t="shared" si="39"/>
        <v>1.0006912086959459</v>
      </c>
      <c r="P115" s="342">
        <f t="shared" si="40"/>
        <v>8.4337627094896686E-2</v>
      </c>
      <c r="Q115" s="343">
        <f t="shared" si="41"/>
        <v>14.855396323484229</v>
      </c>
      <c r="R115" s="344">
        <f t="shared" si="42"/>
        <v>-100.40906728923089</v>
      </c>
      <c r="S115" s="346">
        <f t="shared" si="43"/>
        <v>79.59093271076911</v>
      </c>
      <c r="U115" s="319">
        <f t="shared" si="50"/>
        <v>1000000000</v>
      </c>
      <c r="V115" s="319">
        <f t="shared" si="51"/>
        <v>34673254.559999995</v>
      </c>
      <c r="X115" s="345">
        <f t="shared" si="44"/>
        <v>27.488866458961276</v>
      </c>
      <c r="Y115" s="346">
        <f t="shared" si="45"/>
        <v>-27.827337258598018</v>
      </c>
      <c r="AA115" s="345">
        <f t="shared" si="46"/>
        <v>50.97565115368559</v>
      </c>
      <c r="AB115" s="346">
        <f t="shared" si="47"/>
        <v>-72.581730030632883</v>
      </c>
      <c r="AD115">
        <f t="shared" si="52"/>
        <v>0</v>
      </c>
      <c r="AE115">
        <f t="shared" si="53"/>
        <v>0</v>
      </c>
    </row>
    <row r="116" spans="1:31" x14ac:dyDescent="0.25">
      <c r="A116" s="347">
        <v>5957</v>
      </c>
      <c r="B116" s="364">
        <f t="shared" si="49"/>
        <v>5.9569999999999999</v>
      </c>
      <c r="C116" s="337">
        <f t="shared" si="27"/>
        <v>2.7701276609630883</v>
      </c>
      <c r="D116" s="338">
        <f t="shared" si="28"/>
        <v>1.2014625719365988</v>
      </c>
      <c r="E116" s="338">
        <f t="shared" si="29"/>
        <v>1.0001165950059412</v>
      </c>
      <c r="F116" s="339">
        <f t="shared" si="30"/>
        <v>1.5269818493057421E-2</v>
      </c>
      <c r="G116" s="338">
        <f t="shared" si="31"/>
        <v>1</v>
      </c>
      <c r="H116" s="339">
        <f t="shared" si="32"/>
        <v>0</v>
      </c>
      <c r="I116" s="337">
        <f t="shared" si="33"/>
        <v>7907.2143785019425</v>
      </c>
      <c r="J116" s="340">
        <f t="shared" si="34"/>
        <v>1.5706698600071256</v>
      </c>
      <c r="K116" s="348">
        <f t="shared" si="35"/>
        <v>2.4378204008791871</v>
      </c>
      <c r="L116" s="349">
        <f t="shared" si="36"/>
        <v>1.1481202452136141</v>
      </c>
      <c r="M116" s="337">
        <f t="shared" si="37"/>
        <v>1.0017705898835931</v>
      </c>
      <c r="N116" s="340">
        <f t="shared" si="38"/>
        <v>5.9463961090609356E-2</v>
      </c>
      <c r="O116" s="341">
        <f t="shared" si="39"/>
        <v>1.0007075003846919</v>
      </c>
      <c r="P116" s="342">
        <f t="shared" si="40"/>
        <v>8.532114735657674E-2</v>
      </c>
      <c r="Q116" s="343">
        <f t="shared" si="41"/>
        <v>14.750471910964444</v>
      </c>
      <c r="R116" s="344">
        <f t="shared" si="42"/>
        <v>-100.46972378903514</v>
      </c>
      <c r="S116" s="346">
        <f t="shared" si="43"/>
        <v>79.530276210964857</v>
      </c>
      <c r="U116" s="319">
        <f t="shared" si="50"/>
        <v>1000000000</v>
      </c>
      <c r="V116" s="319">
        <f t="shared" si="51"/>
        <v>35485849</v>
      </c>
      <c r="X116" s="345">
        <f t="shared" si="44"/>
        <v>27.471422724736499</v>
      </c>
      <c r="Y116" s="346">
        <f t="shared" si="45"/>
        <v>-27.617343597726379</v>
      </c>
      <c r="AA116" s="345">
        <f t="shared" si="46"/>
        <v>50.888170475390581</v>
      </c>
      <c r="AB116" s="346">
        <f t="shared" si="47"/>
        <v>-72.852380191308768</v>
      </c>
      <c r="AD116">
        <f t="shared" si="52"/>
        <v>0</v>
      </c>
      <c r="AE116">
        <f t="shared" si="53"/>
        <v>0</v>
      </c>
    </row>
    <row r="117" spans="1:31" x14ac:dyDescent="0.25">
      <c r="A117" s="347">
        <v>6025.6</v>
      </c>
      <c r="B117" s="364">
        <f t="shared" si="49"/>
        <v>6.0256000000000007</v>
      </c>
      <c r="C117" s="337">
        <f t="shared" si="27"/>
        <v>2.7978915243879983</v>
      </c>
      <c r="D117" s="338">
        <f t="shared" si="28"/>
        <v>1.2053009455741037</v>
      </c>
      <c r="E117" s="338">
        <f t="shared" si="29"/>
        <v>1.0001192956915115</v>
      </c>
      <c r="F117" s="339">
        <f t="shared" si="30"/>
        <v>1.5445635834567272E-2</v>
      </c>
      <c r="G117" s="338">
        <f t="shared" si="31"/>
        <v>1</v>
      </c>
      <c r="H117" s="339">
        <f t="shared" si="32"/>
        <v>0</v>
      </c>
      <c r="I117" s="337">
        <f t="shared" si="33"/>
        <v>7998.2727800025305</v>
      </c>
      <c r="J117" s="340">
        <f t="shared" si="34"/>
        <v>1.5706712998009305</v>
      </c>
      <c r="K117" s="348">
        <f t="shared" si="35"/>
        <v>2.4611925803870012</v>
      </c>
      <c r="L117" s="349">
        <f t="shared" si="36"/>
        <v>1.1523874594011414</v>
      </c>
      <c r="M117" s="337">
        <f t="shared" si="37"/>
        <v>1.0018115673501868</v>
      </c>
      <c r="N117" s="340">
        <f t="shared" si="38"/>
        <v>6.0147098976512429E-2</v>
      </c>
      <c r="O117" s="341">
        <f t="shared" si="39"/>
        <v>1.000723985088313</v>
      </c>
      <c r="P117" s="342">
        <f t="shared" si="40"/>
        <v>8.6304701643502665E-2</v>
      </c>
      <c r="Q117" s="343">
        <f t="shared" si="41"/>
        <v>14.646799057871501</v>
      </c>
      <c r="R117" s="344">
        <f t="shared" si="42"/>
        <v>-100.53065636522969</v>
      </c>
      <c r="S117" s="346">
        <f t="shared" si="43"/>
        <v>79.469343634770311</v>
      </c>
      <c r="U117" s="319">
        <f t="shared" si="50"/>
        <v>1000000000</v>
      </c>
      <c r="V117" s="319">
        <f t="shared" si="51"/>
        <v>36307855.360000007</v>
      </c>
      <c r="X117" s="345">
        <f t="shared" si="44"/>
        <v>27.454491273371787</v>
      </c>
      <c r="Y117" s="346">
        <f t="shared" si="45"/>
        <v>-27.412073646064286</v>
      </c>
      <c r="AA117" s="345">
        <f t="shared" si="46"/>
        <v>50.801429073662341</v>
      </c>
      <c r="AB117" s="346">
        <f t="shared" si="47"/>
        <v>-73.118582719165389</v>
      </c>
      <c r="AD117">
        <f t="shared" si="52"/>
        <v>0</v>
      </c>
      <c r="AE117">
        <f t="shared" si="53"/>
        <v>0</v>
      </c>
    </row>
    <row r="118" spans="1:31" x14ac:dyDescent="0.25">
      <c r="A118" s="347">
        <v>6095.8</v>
      </c>
      <c r="B118" s="364">
        <f t="shared" si="49"/>
        <v>6.0958000000000006</v>
      </c>
      <c r="C118" s="337">
        <f t="shared" si="27"/>
        <v>2.826344767932703</v>
      </c>
      <c r="D118" s="338">
        <f t="shared" si="28"/>
        <v>1.2091507165765039</v>
      </c>
      <c r="E118" s="338">
        <f t="shared" si="29"/>
        <v>1.0001220913720805</v>
      </c>
      <c r="F118" s="339">
        <f t="shared" si="30"/>
        <v>1.5625552883358058E-2</v>
      </c>
      <c r="G118" s="338">
        <f t="shared" si="31"/>
        <v>1</v>
      </c>
      <c r="H118" s="339">
        <f t="shared" si="32"/>
        <v>0</v>
      </c>
      <c r="I118" s="337">
        <f t="shared" si="33"/>
        <v>8091.4549926336076</v>
      </c>
      <c r="J118" s="340">
        <f t="shared" si="34"/>
        <v>1.5706727396275137</v>
      </c>
      <c r="K118" s="348">
        <f t="shared" si="35"/>
        <v>2.4851553964940174</v>
      </c>
      <c r="L118" s="349">
        <f t="shared" si="36"/>
        <v>1.156671026810177</v>
      </c>
      <c r="M118" s="337">
        <f t="shared" si="37"/>
        <v>1.0018539845256857</v>
      </c>
      <c r="N118" s="340">
        <f t="shared" si="38"/>
        <v>6.0846111919222276E-2</v>
      </c>
      <c r="O118" s="341">
        <f t="shared" si="39"/>
        <v>1.000741054250228</v>
      </c>
      <c r="P118" s="342">
        <f t="shared" si="40"/>
        <v>8.731123159391295E-2</v>
      </c>
      <c r="Q118" s="343">
        <f t="shared" si="41"/>
        <v>14.541972969568139</v>
      </c>
      <c r="R118" s="344">
        <f t="shared" si="42"/>
        <v>-100.5932960800157</v>
      </c>
      <c r="S118" s="346">
        <f t="shared" si="43"/>
        <v>79.406703919984295</v>
      </c>
      <c r="U118" s="319">
        <f t="shared" si="50"/>
        <v>1000000000</v>
      </c>
      <c r="V118" s="319">
        <f t="shared" si="51"/>
        <v>37158777.640000001</v>
      </c>
      <c r="X118" s="345">
        <f t="shared" si="44"/>
        <v>27.437674355521793</v>
      </c>
      <c r="Y118" s="346">
        <f t="shared" si="45"/>
        <v>-27.20677629946092</v>
      </c>
      <c r="AA118" s="345">
        <f t="shared" si="46"/>
        <v>50.713419903208973</v>
      </c>
      <c r="AB118" s="346">
        <f t="shared" si="47"/>
        <v>-73.386519780554792</v>
      </c>
      <c r="AD118">
        <f t="shared" si="52"/>
        <v>0</v>
      </c>
      <c r="AE118">
        <f t="shared" si="53"/>
        <v>0</v>
      </c>
    </row>
    <row r="119" spans="1:31" x14ac:dyDescent="0.25">
      <c r="A119" s="347">
        <v>6166</v>
      </c>
      <c r="B119" s="364">
        <f t="shared" si="49"/>
        <v>6.1660000000000004</v>
      </c>
      <c r="C119" s="337">
        <f t="shared" si="27"/>
        <v>2.8548390646532589</v>
      </c>
      <c r="D119" s="338">
        <f t="shared" si="28"/>
        <v>1.2129236930433469</v>
      </c>
      <c r="E119" s="338">
        <f t="shared" si="29"/>
        <v>1.0001249194265645</v>
      </c>
      <c r="F119" s="339">
        <f t="shared" si="30"/>
        <v>1.5805468920469398E-2</v>
      </c>
      <c r="G119" s="338">
        <f t="shared" si="31"/>
        <v>1</v>
      </c>
      <c r="H119" s="339">
        <f t="shared" si="32"/>
        <v>0</v>
      </c>
      <c r="I119" s="337">
        <f t="shared" si="33"/>
        <v>8184.6372052810766</v>
      </c>
      <c r="J119" s="340">
        <f t="shared" si="34"/>
        <v>1.5706741466692042</v>
      </c>
      <c r="K119" s="348">
        <f t="shared" si="35"/>
        <v>2.5091629411388188</v>
      </c>
      <c r="L119" s="349">
        <f t="shared" si="36"/>
        <v>1.1608727001773589</v>
      </c>
      <c r="M119" s="337">
        <f t="shared" si="37"/>
        <v>1.0018968911845816</v>
      </c>
      <c r="N119" s="340">
        <f t="shared" si="38"/>
        <v>6.1545065332378926E-2</v>
      </c>
      <c r="O119" s="341">
        <f t="shared" si="39"/>
        <v>1.0007583258528976</v>
      </c>
      <c r="P119" s="342">
        <f t="shared" si="40"/>
        <v>8.8317797980926829E-2</v>
      </c>
      <c r="Q119" s="343">
        <f t="shared" si="41"/>
        <v>14.438395845537757</v>
      </c>
      <c r="R119" s="344">
        <f t="shared" si="42"/>
        <v>-100.65622483139089</v>
      </c>
      <c r="S119" s="346">
        <f t="shared" si="43"/>
        <v>79.343775168609113</v>
      </c>
      <c r="U119" s="319">
        <f t="shared" si="50"/>
        <v>1000000000</v>
      </c>
      <c r="V119" s="319">
        <f t="shared" si="51"/>
        <v>38019556</v>
      </c>
      <c r="X119" s="345">
        <f t="shared" si="44"/>
        <v>27.42135244284507</v>
      </c>
      <c r="Y119" s="346">
        <f t="shared" si="45"/>
        <v>-27.006165846600251</v>
      </c>
      <c r="AA119" s="345">
        <f t="shared" si="46"/>
        <v>50.626164691855315</v>
      </c>
      <c r="AB119" s="346">
        <f t="shared" si="47"/>
        <v>-73.650058984790647</v>
      </c>
      <c r="AD119">
        <f t="shared" si="52"/>
        <v>0</v>
      </c>
      <c r="AE119">
        <f t="shared" si="53"/>
        <v>0</v>
      </c>
    </row>
    <row r="120" spans="1:31" x14ac:dyDescent="0.25">
      <c r="A120" s="347">
        <v>6237.8</v>
      </c>
      <c r="B120" s="364">
        <f t="shared" si="49"/>
        <v>6.2378</v>
      </c>
      <c r="C120" s="337">
        <f t="shared" si="27"/>
        <v>2.884024003088316</v>
      </c>
      <c r="D120" s="338">
        <f t="shared" si="28"/>
        <v>1.2167054855788944</v>
      </c>
      <c r="E120" s="338">
        <f t="shared" si="29"/>
        <v>1.0001278454269686</v>
      </c>
      <c r="F120" s="339">
        <f t="shared" si="30"/>
        <v>1.5989484549338216E-2</v>
      </c>
      <c r="G120" s="338">
        <f t="shared" si="31"/>
        <v>1</v>
      </c>
      <c r="H120" s="339">
        <f t="shared" si="32"/>
        <v>0</v>
      </c>
      <c r="I120" s="337">
        <f t="shared" si="33"/>
        <v>8279.9432290594013</v>
      </c>
      <c r="J120" s="340">
        <f t="shared" si="34"/>
        <v>1.5706755530196705</v>
      </c>
      <c r="K120" s="348">
        <f t="shared" si="35"/>
        <v>2.5337626104050002</v>
      </c>
      <c r="L120" s="349">
        <f t="shared" si="36"/>
        <v>1.1650876970355253</v>
      </c>
      <c r="M120" s="337">
        <f t="shared" si="37"/>
        <v>1.0019412820524856</v>
      </c>
      <c r="N120" s="340">
        <f t="shared" si="38"/>
        <v>6.2259887023644579E-2</v>
      </c>
      <c r="O120" s="341">
        <f t="shared" si="39"/>
        <v>1.0007762006948551</v>
      </c>
      <c r="P120" s="342">
        <f t="shared" si="40"/>
        <v>8.9347344167781576E-2</v>
      </c>
      <c r="Q120" s="343">
        <f t="shared" si="41"/>
        <v>14.333719146116341</v>
      </c>
      <c r="R120" s="344">
        <f t="shared" si="42"/>
        <v>-100.72088622849398</v>
      </c>
      <c r="S120" s="346">
        <f t="shared" si="43"/>
        <v>79.279113771506019</v>
      </c>
      <c r="U120" s="319">
        <f t="shared" si="50"/>
        <v>1000000000</v>
      </c>
      <c r="V120" s="319">
        <f t="shared" si="51"/>
        <v>38910148.840000004</v>
      </c>
      <c r="X120" s="345">
        <f t="shared" si="44"/>
        <v>27.405150266269949</v>
      </c>
      <c r="Y120" s="346">
        <f t="shared" si="45"/>
        <v>-26.805701159697506</v>
      </c>
      <c r="AA120" s="345">
        <f t="shared" si="46"/>
        <v>50.537690169009018</v>
      </c>
      <c r="AB120" s="346">
        <f t="shared" si="47"/>
        <v>-73.915185068796475</v>
      </c>
      <c r="AD120">
        <f t="shared" si="52"/>
        <v>0</v>
      </c>
      <c r="AE120">
        <f t="shared" si="53"/>
        <v>0</v>
      </c>
    </row>
    <row r="121" spans="1:31" x14ac:dyDescent="0.25">
      <c r="A121" s="347">
        <v>6309.6</v>
      </c>
      <c r="B121" s="364">
        <f t="shared" si="49"/>
        <v>6.3096000000000005</v>
      </c>
      <c r="C121" s="337">
        <f t="shared" si="27"/>
        <v>2.9132493619355042</v>
      </c>
      <c r="D121" s="338">
        <f t="shared" si="28"/>
        <v>1.2204114532809163</v>
      </c>
      <c r="E121" s="338">
        <f t="shared" si="29"/>
        <v>1.0001308052932547</v>
      </c>
      <c r="F121" s="339">
        <f t="shared" si="30"/>
        <v>1.617349909525722E-2</v>
      </c>
      <c r="G121" s="338">
        <f t="shared" si="31"/>
        <v>1</v>
      </c>
      <c r="H121" s="339">
        <f t="shared" si="32"/>
        <v>0</v>
      </c>
      <c r="I121" s="337">
        <f t="shared" si="33"/>
        <v>8375.2492528537259</v>
      </c>
      <c r="J121" s="340">
        <f t="shared" si="34"/>
        <v>1.5706769273630485</v>
      </c>
      <c r="K121" s="348">
        <f t="shared" si="35"/>
        <v>2.5584064288738664</v>
      </c>
      <c r="L121" s="349">
        <f t="shared" si="36"/>
        <v>1.1692215643523947</v>
      </c>
      <c r="M121" s="337">
        <f t="shared" si="37"/>
        <v>1.0019861848368614</v>
      </c>
      <c r="N121" s="340">
        <f t="shared" si="38"/>
        <v>6.2974645012384825E-2</v>
      </c>
      <c r="O121" s="341">
        <f t="shared" si="39"/>
        <v>1.0007942876582001</v>
      </c>
      <c r="P121" s="342">
        <f t="shared" si="40"/>
        <v>9.0376929331499642E-2</v>
      </c>
      <c r="Q121" s="343">
        <f t="shared" si="41"/>
        <v>14.230287486248667</v>
      </c>
      <c r="R121" s="344">
        <f t="shared" si="42"/>
        <v>-100.78584837446557</v>
      </c>
      <c r="S121" s="346">
        <f t="shared" si="43"/>
        <v>79.214151625534427</v>
      </c>
      <c r="U121" s="319">
        <f t="shared" si="50"/>
        <v>1000000000</v>
      </c>
      <c r="V121" s="319">
        <f t="shared" si="51"/>
        <v>39811052.160000004</v>
      </c>
      <c r="X121" s="345">
        <f t="shared" si="44"/>
        <v>27.389425666909439</v>
      </c>
      <c r="Y121" s="346">
        <f t="shared" si="45"/>
        <v>-26.609879369353305</v>
      </c>
      <c r="AA121" s="345">
        <f t="shared" si="46"/>
        <v>50.449983108501861</v>
      </c>
      <c r="AB121" s="346">
        <f t="shared" si="47"/>
        <v>-74.175969005112279</v>
      </c>
      <c r="AD121">
        <f t="shared" si="52"/>
        <v>0</v>
      </c>
      <c r="AE121">
        <f t="shared" si="53"/>
        <v>0</v>
      </c>
    </row>
    <row r="122" spans="1:31" x14ac:dyDescent="0.25">
      <c r="A122" s="347">
        <v>6383.05</v>
      </c>
      <c r="B122" s="364">
        <f t="shared" si="49"/>
        <v>6.3830499999999999</v>
      </c>
      <c r="C122" s="337">
        <f t="shared" si="27"/>
        <v>2.9431869031075495</v>
      </c>
      <c r="D122" s="338">
        <f t="shared" si="28"/>
        <v>1.2241263780141673</v>
      </c>
      <c r="E122" s="338">
        <f t="shared" si="29"/>
        <v>1.0001338682206453</v>
      </c>
      <c r="F122" s="339">
        <f t="shared" si="30"/>
        <v>1.6361741254155619E-2</v>
      </c>
      <c r="G122" s="338">
        <f t="shared" si="31"/>
        <v>1</v>
      </c>
      <c r="H122" s="339">
        <f t="shared" si="32"/>
        <v>0</v>
      </c>
      <c r="I122" s="337">
        <f t="shared" si="33"/>
        <v>8472.7454568765916</v>
      </c>
      <c r="J122" s="340">
        <f t="shared" si="34"/>
        <v>1.5706783012968557</v>
      </c>
      <c r="K122" s="348">
        <f t="shared" si="35"/>
        <v>2.5836609401263888</v>
      </c>
      <c r="L122" s="349">
        <f t="shared" si="36"/>
        <v>1.1733687578659353</v>
      </c>
      <c r="M122" s="337">
        <f t="shared" si="37"/>
        <v>1.0020326491357663</v>
      </c>
      <c r="N122" s="340">
        <f t="shared" si="38"/>
        <v>6.3705761830378418E-2</v>
      </c>
      <c r="O122" s="341">
        <f t="shared" si="39"/>
        <v>1.0008130099447234</v>
      </c>
      <c r="P122" s="342">
        <f t="shared" si="40"/>
        <v>9.1430215662079539E-2</v>
      </c>
      <c r="Q122" s="343">
        <f t="shared" si="41"/>
        <v>14.12573644582128</v>
      </c>
      <c r="R122" s="344">
        <f t="shared" si="42"/>
        <v>-100.8526132065563</v>
      </c>
      <c r="S122" s="346">
        <f t="shared" si="43"/>
        <v>79.147386793443701</v>
      </c>
      <c r="U122" s="319">
        <f t="shared" si="50"/>
        <v>1000000000</v>
      </c>
      <c r="V122" s="319">
        <f t="shared" si="51"/>
        <v>40743327.302500002</v>
      </c>
      <c r="X122" s="345">
        <f t="shared" si="44"/>
        <v>27.373814159952069</v>
      </c>
      <c r="Y122" s="346">
        <f t="shared" si="45"/>
        <v>-26.414231312590378</v>
      </c>
      <c r="AA122" s="345">
        <f t="shared" si="46"/>
        <v>50.361043575031843</v>
      </c>
      <c r="AB122" s="346">
        <f t="shared" si="47"/>
        <v>-74.438381893965911</v>
      </c>
      <c r="AD122">
        <f t="shared" si="52"/>
        <v>0</v>
      </c>
      <c r="AE122">
        <f t="shared" si="53"/>
        <v>0</v>
      </c>
    </row>
    <row r="123" spans="1:31" x14ac:dyDescent="0.25">
      <c r="A123" s="347">
        <v>6456.5</v>
      </c>
      <c r="B123" s="364">
        <f t="shared" si="49"/>
        <v>6.4565000000000001</v>
      </c>
      <c r="C123" s="337">
        <f t="shared" si="27"/>
        <v>2.9731642439106891</v>
      </c>
      <c r="D123" s="338">
        <f t="shared" si="28"/>
        <v>1.2277664396548154</v>
      </c>
      <c r="E123" s="338">
        <f t="shared" si="29"/>
        <v>1.000136966587672</v>
      </c>
      <c r="F123" s="339">
        <f t="shared" si="30"/>
        <v>1.6549982253397471E-2</v>
      </c>
      <c r="G123" s="338">
        <f t="shared" si="31"/>
        <v>1</v>
      </c>
      <c r="H123" s="339">
        <f t="shared" si="32"/>
        <v>0</v>
      </c>
      <c r="I123" s="337">
        <f t="shared" si="33"/>
        <v>8570.2416609150878</v>
      </c>
      <c r="J123" s="340">
        <f t="shared" si="34"/>
        <v>1.570679643970557</v>
      </c>
      <c r="K123" s="348">
        <f t="shared" si="35"/>
        <v>2.6089590275837913</v>
      </c>
      <c r="L123" s="349">
        <f t="shared" si="36"/>
        <v>1.1774355926714659</v>
      </c>
      <c r="M123" s="337">
        <f t="shared" si="37"/>
        <v>1.0020796490031503</v>
      </c>
      <c r="N123" s="340">
        <f t="shared" si="38"/>
        <v>6.4436810456950225E-2</v>
      </c>
      <c r="O123" s="341">
        <f t="shared" si="39"/>
        <v>1.0008319545944324</v>
      </c>
      <c r="P123" s="342">
        <f t="shared" si="40"/>
        <v>9.2483543700476747E-2</v>
      </c>
      <c r="Q123" s="343">
        <f t="shared" si="41"/>
        <v>14.022426966729903</v>
      </c>
      <c r="R123" s="344">
        <f t="shared" si="42"/>
        <v>-100.91968967218855</v>
      </c>
      <c r="S123" s="346">
        <f t="shared" si="43"/>
        <v>79.080310327811446</v>
      </c>
      <c r="U123" s="319">
        <f t="shared" si="50"/>
        <v>1000000000</v>
      </c>
      <c r="V123" s="319">
        <f t="shared" si="51"/>
        <v>41686392.25</v>
      </c>
      <c r="X123" s="345">
        <f t="shared" si="44"/>
        <v>27.358663367499091</v>
      </c>
      <c r="Y123" s="346">
        <f t="shared" si="45"/>
        <v>-26.223181772496005</v>
      </c>
      <c r="AA123" s="345">
        <f t="shared" si="46"/>
        <v>50.272884888393435</v>
      </c>
      <c r="AB123" s="346">
        <f t="shared" si="47"/>
        <v>-74.696507899692534</v>
      </c>
      <c r="AD123">
        <f t="shared" si="52"/>
        <v>0</v>
      </c>
      <c r="AE123">
        <f t="shared" si="53"/>
        <v>0</v>
      </c>
    </row>
    <row r="124" spans="1:31" x14ac:dyDescent="0.25">
      <c r="A124" s="347">
        <v>6531.7</v>
      </c>
      <c r="B124" s="364">
        <f t="shared" si="49"/>
        <v>6.5316999999999998</v>
      </c>
      <c r="C124" s="337">
        <f t="shared" si="27"/>
        <v>3.0038958058306333</v>
      </c>
      <c r="D124" s="338">
        <f t="shared" si="28"/>
        <v>1.2314179098683027</v>
      </c>
      <c r="E124" s="338">
        <f t="shared" si="29"/>
        <v>1.0001401754914747</v>
      </c>
      <c r="F124" s="339">
        <f t="shared" si="30"/>
        <v>1.6742707016849503E-2</v>
      </c>
      <c r="G124" s="338">
        <f t="shared" si="31"/>
        <v>1</v>
      </c>
      <c r="H124" s="339">
        <f t="shared" si="32"/>
        <v>0</v>
      </c>
      <c r="I124" s="337">
        <f t="shared" si="33"/>
        <v>8670.0607833772247</v>
      </c>
      <c r="J124" s="340">
        <f t="shared" si="34"/>
        <v>1.5706809873495107</v>
      </c>
      <c r="K124" s="348">
        <f t="shared" si="35"/>
        <v>2.6349036957155274</v>
      </c>
      <c r="L124" s="349">
        <f t="shared" si="36"/>
        <v>1.18151834800274</v>
      </c>
      <c r="M124" s="337">
        <f t="shared" si="37"/>
        <v>1.0021283234590317</v>
      </c>
      <c r="N124" s="340">
        <f t="shared" si="38"/>
        <v>6.5185205398293034E-2</v>
      </c>
      <c r="O124" s="341">
        <f t="shared" si="39"/>
        <v>1.0008515811919012</v>
      </c>
      <c r="P124" s="342">
        <f t="shared" si="40"/>
        <v>9.3562011744853013E-2</v>
      </c>
      <c r="Q124" s="343">
        <f t="shared" si="41"/>
        <v>13.917911621501029</v>
      </c>
      <c r="R124" s="344">
        <f t="shared" si="42"/>
        <v>-100.98868504847265</v>
      </c>
      <c r="S124" s="346">
        <f t="shared" si="43"/>
        <v>79.011314951527353</v>
      </c>
      <c r="U124" s="319">
        <f t="shared" si="50"/>
        <v>1000000000</v>
      </c>
      <c r="V124" s="319">
        <f t="shared" si="51"/>
        <v>42663104.890000001</v>
      </c>
      <c r="X124" s="345">
        <f t="shared" si="44"/>
        <v>27.343609750768767</v>
      </c>
      <c r="Y124" s="346">
        <f t="shared" si="45"/>
        <v>-26.03221396450347</v>
      </c>
      <c r="AA124" s="345">
        <f t="shared" si="46"/>
        <v>50.183423159894886</v>
      </c>
      <c r="AB124" s="346">
        <f t="shared" si="47"/>
        <v>-74.956471083969177</v>
      </c>
      <c r="AD124">
        <f t="shared" si="52"/>
        <v>0</v>
      </c>
      <c r="AE124">
        <f t="shared" si="53"/>
        <v>0</v>
      </c>
    </row>
    <row r="125" spans="1:31" x14ac:dyDescent="0.25">
      <c r="A125" s="347">
        <v>6606.9</v>
      </c>
      <c r="B125" s="364">
        <f t="shared" si="49"/>
        <v>6.6068999999999996</v>
      </c>
      <c r="C125" s="337">
        <f t="shared" si="27"/>
        <v>3.0346666078979405</v>
      </c>
      <c r="D125" s="338">
        <f t="shared" si="28"/>
        <v>1.234995376888971</v>
      </c>
      <c r="E125" s="338">
        <f t="shared" si="29"/>
        <v>1.0001434215430791</v>
      </c>
      <c r="F125" s="339">
        <f t="shared" si="30"/>
        <v>1.6935430536450156E-2</v>
      </c>
      <c r="G125" s="338">
        <f t="shared" si="31"/>
        <v>1</v>
      </c>
      <c r="H125" s="339">
        <f t="shared" si="32"/>
        <v>0</v>
      </c>
      <c r="I125" s="337">
        <f t="shared" si="33"/>
        <v>8769.8799058546483</v>
      </c>
      <c r="J125" s="340">
        <f t="shared" si="34"/>
        <v>1.5706823001476788</v>
      </c>
      <c r="K125" s="348">
        <f t="shared" si="35"/>
        <v>2.6608914278576141</v>
      </c>
      <c r="L125" s="349">
        <f t="shared" si="36"/>
        <v>1.1855214201024125</v>
      </c>
      <c r="M125" s="337">
        <f t="shared" si="37"/>
        <v>1.0021775591472595</v>
      </c>
      <c r="N125" s="340">
        <f t="shared" si="38"/>
        <v>6.5933527223380584E-2</v>
      </c>
      <c r="O125" s="341">
        <f t="shared" si="39"/>
        <v>1.0008714412922861</v>
      </c>
      <c r="P125" s="342">
        <f t="shared" si="40"/>
        <v>9.4640524491664962E-2</v>
      </c>
      <c r="Q125" s="343">
        <f t="shared" si="41"/>
        <v>13.814636369114712</v>
      </c>
      <c r="R125" s="344">
        <f t="shared" si="42"/>
        <v>-101.05800255813239</v>
      </c>
      <c r="S125" s="346">
        <f t="shared" si="43"/>
        <v>78.941997441867613</v>
      </c>
      <c r="U125" s="319">
        <f t="shared" si="50"/>
        <v>1000000000</v>
      </c>
      <c r="V125" s="319">
        <f t="shared" si="51"/>
        <v>43651127.609999992</v>
      </c>
      <c r="X125" s="345">
        <f t="shared" si="44"/>
        <v>27.329001090012422</v>
      </c>
      <c r="Y125" s="346">
        <f t="shared" si="45"/>
        <v>-25.845805727982089</v>
      </c>
      <c r="AA125" s="345">
        <f t="shared" si="46"/>
        <v>50.09475656826492</v>
      </c>
      <c r="AB125" s="346">
        <f t="shared" si="47"/>
        <v>-75.212196830150276</v>
      </c>
      <c r="AD125">
        <f t="shared" si="52"/>
        <v>0</v>
      </c>
      <c r="AE125">
        <f t="shared" si="53"/>
        <v>0</v>
      </c>
    </row>
    <row r="126" spans="1:31" x14ac:dyDescent="0.25">
      <c r="A126" s="347">
        <v>6683.85</v>
      </c>
      <c r="B126" s="364">
        <f t="shared" si="49"/>
        <v>6.6838500000000005</v>
      </c>
      <c r="C126" s="337">
        <f t="shared" si="27"/>
        <v>3.0661928738982245</v>
      </c>
      <c r="D126" s="338">
        <f t="shared" si="28"/>
        <v>1.2385817198738436</v>
      </c>
      <c r="E126" s="338">
        <f t="shared" si="29"/>
        <v>1.0001467815886464</v>
      </c>
      <c r="F126" s="339">
        <f t="shared" si="30"/>
        <v>1.7132637675852477E-2</v>
      </c>
      <c r="G126" s="338">
        <f t="shared" si="31"/>
        <v>1</v>
      </c>
      <c r="H126" s="339">
        <f t="shared" si="32"/>
        <v>0</v>
      </c>
      <c r="I126" s="337">
        <f t="shared" si="33"/>
        <v>8872.0219467560819</v>
      </c>
      <c r="J126" s="340">
        <f t="shared" si="34"/>
        <v>1.5706836129165813</v>
      </c>
      <c r="K126" s="348">
        <f t="shared" si="35"/>
        <v>2.6875272033602169</v>
      </c>
      <c r="L126" s="349">
        <f t="shared" si="36"/>
        <v>1.1895374420825704</v>
      </c>
      <c r="M126" s="337">
        <f t="shared" si="37"/>
        <v>1.0022285215017173</v>
      </c>
      <c r="N126" s="340">
        <f t="shared" si="38"/>
        <v>6.6699186901324384E-2</v>
      </c>
      <c r="O126" s="341">
        <f t="shared" si="39"/>
        <v>1.0008920055037371</v>
      </c>
      <c r="P126" s="342">
        <f t="shared" si="40"/>
        <v>9.5744182399974037E-2</v>
      </c>
      <c r="Q126" s="343">
        <f t="shared" si="41"/>
        <v>13.710210792001194</v>
      </c>
      <c r="R126" s="344">
        <f t="shared" si="42"/>
        <v>-101.1292638528404</v>
      </c>
      <c r="S126" s="346">
        <f t="shared" si="43"/>
        <v>78.870736147159604</v>
      </c>
      <c r="U126" s="319">
        <f t="shared" si="50"/>
        <v>1000000000</v>
      </c>
      <c r="V126" s="319">
        <f t="shared" si="51"/>
        <v>44673850.822500005</v>
      </c>
      <c r="X126" s="345">
        <f t="shared" si="44"/>
        <v>27.314494474224812</v>
      </c>
      <c r="Y126" s="346">
        <f t="shared" si="45"/>
        <v>-25.659648902081678</v>
      </c>
      <c r="AA126" s="345">
        <f t="shared" si="46"/>
        <v>50.004837606939006</v>
      </c>
      <c r="AB126" s="346">
        <f t="shared" si="47"/>
        <v>-75.469614950758711</v>
      </c>
      <c r="AD126">
        <f t="shared" si="52"/>
        <v>0</v>
      </c>
      <c r="AE126">
        <f t="shared" si="53"/>
        <v>0</v>
      </c>
    </row>
    <row r="127" spans="1:31" x14ac:dyDescent="0.25">
      <c r="A127" s="347">
        <v>6760.8</v>
      </c>
      <c r="B127" s="364">
        <f t="shared" si="49"/>
        <v>6.7608000000000006</v>
      </c>
      <c r="C127" s="337">
        <f t="shared" si="27"/>
        <v>3.0977577738282953</v>
      </c>
      <c r="D127" s="338">
        <f t="shared" si="28"/>
        <v>1.2420950205108305</v>
      </c>
      <c r="E127" s="338">
        <f t="shared" si="29"/>
        <v>1.0001501805303159</v>
      </c>
      <c r="F127" s="339">
        <f t="shared" si="30"/>
        <v>1.7329843482534385E-2</v>
      </c>
      <c r="G127" s="338">
        <f t="shared" si="31"/>
        <v>1</v>
      </c>
      <c r="H127" s="339">
        <f t="shared" si="32"/>
        <v>0</v>
      </c>
      <c r="I127" s="337">
        <f t="shared" si="33"/>
        <v>8974.1639876724548</v>
      </c>
      <c r="J127" s="340">
        <f t="shared" si="34"/>
        <v>1.5706848958021664</v>
      </c>
      <c r="K127" s="348">
        <f t="shared" si="35"/>
        <v>2.7142054733193772</v>
      </c>
      <c r="L127" s="349">
        <f t="shared" si="36"/>
        <v>1.1934745785480052</v>
      </c>
      <c r="M127" s="337">
        <f t="shared" si="37"/>
        <v>1.0022800713374047</v>
      </c>
      <c r="N127" s="340">
        <f t="shared" si="38"/>
        <v>6.7464768268356817E-2</v>
      </c>
      <c r="O127" s="341">
        <f t="shared" si="39"/>
        <v>1.0009128146702395</v>
      </c>
      <c r="P127" s="342">
        <f t="shared" si="40"/>
        <v>9.6847888166958732E-2</v>
      </c>
      <c r="Q127" s="343">
        <f t="shared" si="41"/>
        <v>13.607022451663058</v>
      </c>
      <c r="R127" s="344">
        <f t="shared" si="42"/>
        <v>-101.20085655573425</v>
      </c>
      <c r="S127" s="346">
        <f t="shared" si="43"/>
        <v>78.799143444265752</v>
      </c>
      <c r="U127" s="319">
        <f t="shared" si="50"/>
        <v>1000000000</v>
      </c>
      <c r="V127" s="319">
        <f t="shared" si="51"/>
        <v>45708416.640000001</v>
      </c>
      <c r="X127" s="345">
        <f t="shared" si="44"/>
        <v>27.300416909505355</v>
      </c>
      <c r="Y127" s="346">
        <f t="shared" si="45"/>
        <v>-25.478005684172086</v>
      </c>
      <c r="AA127" s="345">
        <f t="shared" si="46"/>
        <v>49.915726831320335</v>
      </c>
      <c r="AB127" s="346">
        <f t="shared" si="47"/>
        <v>-75.722850871562187</v>
      </c>
      <c r="AD127">
        <f t="shared" si="52"/>
        <v>0</v>
      </c>
      <c r="AE127">
        <f t="shared" si="53"/>
        <v>0</v>
      </c>
    </row>
    <row r="128" spans="1:31" x14ac:dyDescent="0.25">
      <c r="A128" s="347">
        <v>6839.55</v>
      </c>
      <c r="B128" s="364">
        <f t="shared" si="49"/>
        <v>6.83955</v>
      </c>
      <c r="C128" s="337">
        <f t="shared" si="27"/>
        <v>3.1300998145029761</v>
      </c>
      <c r="D128" s="338">
        <f t="shared" si="28"/>
        <v>1.2456170950294749</v>
      </c>
      <c r="E128" s="338">
        <f t="shared" si="29"/>
        <v>1.0001536992504982</v>
      </c>
      <c r="F128" s="339">
        <f t="shared" si="30"/>
        <v>1.7531660894704364E-2</v>
      </c>
      <c r="G128" s="338">
        <f t="shared" si="31"/>
        <v>1</v>
      </c>
      <c r="H128" s="339">
        <f t="shared" si="32"/>
        <v>0</v>
      </c>
      <c r="I128" s="337">
        <f t="shared" si="33"/>
        <v>9078.6953161105903</v>
      </c>
      <c r="J128" s="340">
        <f t="shared" si="34"/>
        <v>1.5706861788091782</v>
      </c>
      <c r="K128" s="348">
        <f t="shared" si="35"/>
        <v>2.7415504990469275</v>
      </c>
      <c r="L128" s="349">
        <f t="shared" si="36"/>
        <v>1.1974244142650652</v>
      </c>
      <c r="M128" s="337">
        <f t="shared" si="37"/>
        <v>1.0023334351779505</v>
      </c>
      <c r="N128" s="340">
        <f t="shared" si="38"/>
        <v>6.8248175967639477E-2</v>
      </c>
      <c r="O128" s="341">
        <f t="shared" si="39"/>
        <v>1.000934364463635</v>
      </c>
      <c r="P128" s="342">
        <f t="shared" si="40"/>
        <v>9.7977461717536699E-2</v>
      </c>
      <c r="Q128" s="343">
        <f t="shared" si="41"/>
        <v>13.502670692157244</v>
      </c>
      <c r="R128" s="344">
        <f t="shared" si="42"/>
        <v>-101.27446362135167</v>
      </c>
      <c r="S128" s="346">
        <f t="shared" si="43"/>
        <v>78.725536378648329</v>
      </c>
      <c r="U128" s="319">
        <f t="shared" si="50"/>
        <v>1000000000</v>
      </c>
      <c r="V128" s="319">
        <f t="shared" si="51"/>
        <v>46779444.202500001</v>
      </c>
      <c r="X128" s="345">
        <f t="shared" si="44"/>
        <v>27.286436223767954</v>
      </c>
      <c r="Y128" s="346">
        <f t="shared" si="45"/>
        <v>-25.2966562333011</v>
      </c>
      <c r="AA128" s="345">
        <f t="shared" si="46"/>
        <v>49.825355757551925</v>
      </c>
      <c r="AB128" s="346">
        <f t="shared" si="47"/>
        <v>-75.97780738805055</v>
      </c>
      <c r="AD128">
        <f t="shared" si="52"/>
        <v>0</v>
      </c>
      <c r="AE128">
        <f t="shared" si="53"/>
        <v>0</v>
      </c>
    </row>
    <row r="129" spans="1:31" x14ac:dyDescent="0.25">
      <c r="A129" s="347">
        <v>6918.3</v>
      </c>
      <c r="B129" s="364">
        <f t="shared" si="49"/>
        <v>6.9183000000000003</v>
      </c>
      <c r="C129" s="337">
        <f t="shared" si="27"/>
        <v>3.1624798896252657</v>
      </c>
      <c r="D129" s="338">
        <f t="shared" si="28"/>
        <v>1.2490670878158516</v>
      </c>
      <c r="E129" s="338">
        <f t="shared" si="29"/>
        <v>1.000157258706921</v>
      </c>
      <c r="F129" s="339">
        <f t="shared" si="30"/>
        <v>1.7733476878599642E-2</v>
      </c>
      <c r="G129" s="338">
        <f t="shared" si="31"/>
        <v>1</v>
      </c>
      <c r="H129" s="339">
        <f t="shared" si="32"/>
        <v>0</v>
      </c>
      <c r="I129" s="337">
        <f t="shared" si="33"/>
        <v>9183.2266445633268</v>
      </c>
      <c r="J129" s="340">
        <f t="shared" si="34"/>
        <v>1.5706874326076266</v>
      </c>
      <c r="K129" s="348">
        <f t="shared" si="35"/>
        <v>2.7689374510819755</v>
      </c>
      <c r="L129" s="349">
        <f t="shared" si="36"/>
        <v>1.201296175480415</v>
      </c>
      <c r="M129" s="337">
        <f t="shared" si="37"/>
        <v>1.0023874141124947</v>
      </c>
      <c r="N129" s="340">
        <f t="shared" si="38"/>
        <v>6.9031499774035554E-2</v>
      </c>
      <c r="O129" s="341">
        <f t="shared" si="39"/>
        <v>1.0009561713080459</v>
      </c>
      <c r="P129" s="342">
        <f t="shared" si="40"/>
        <v>9.9107086515996798E-2</v>
      </c>
      <c r="Q129" s="343">
        <f t="shared" si="41"/>
        <v>13.399553581600625</v>
      </c>
      <c r="R129" s="344">
        <f t="shared" si="42"/>
        <v>-101.34841058525178</v>
      </c>
      <c r="S129" s="346">
        <f t="shared" si="43"/>
        <v>78.651589414748216</v>
      </c>
      <c r="U129" s="319">
        <f t="shared" si="50"/>
        <v>1000000000</v>
      </c>
      <c r="V129" s="319">
        <f t="shared" si="51"/>
        <v>47862874.890000001</v>
      </c>
      <c r="X129" s="345">
        <f t="shared" si="44"/>
        <v>27.272869147556062</v>
      </c>
      <c r="Y129" s="346">
        <f t="shared" si="45"/>
        <v>-25.119773641635071</v>
      </c>
      <c r="AA129" s="345">
        <f t="shared" si="46"/>
        <v>49.735805723207193</v>
      </c>
      <c r="AB129" s="346">
        <f t="shared" si="47"/>
        <v>-76.228636943616721</v>
      </c>
      <c r="AD129">
        <f t="shared" si="52"/>
        <v>0</v>
      </c>
      <c r="AE129">
        <f t="shared" si="53"/>
        <v>0</v>
      </c>
    </row>
    <row r="130" spans="1:31" x14ac:dyDescent="0.25">
      <c r="A130" s="347">
        <v>6998.9</v>
      </c>
      <c r="B130" s="364">
        <f t="shared" si="49"/>
        <v>6.9988999999999999</v>
      </c>
      <c r="C130" s="337">
        <f t="shared" si="27"/>
        <v>3.1956588181353207</v>
      </c>
      <c r="D130" s="338">
        <f t="shared" si="28"/>
        <v>1.252525688726065</v>
      </c>
      <c r="E130" s="338">
        <f t="shared" si="29"/>
        <v>1.0001609439648145</v>
      </c>
      <c r="F130" s="339">
        <f t="shared" si="30"/>
        <v>1.7940032440262866E-2</v>
      </c>
      <c r="G130" s="338">
        <f t="shared" si="31"/>
        <v>1</v>
      </c>
      <c r="H130" s="339">
        <f t="shared" si="32"/>
        <v>0</v>
      </c>
      <c r="I130" s="337">
        <f t="shared" si="33"/>
        <v>9290.2136296355948</v>
      </c>
      <c r="J130" s="340">
        <f t="shared" si="34"/>
        <v>1.5706886866434644</v>
      </c>
      <c r="K130" s="348">
        <f t="shared" si="35"/>
        <v>2.797009909111607</v>
      </c>
      <c r="L130" s="349">
        <f t="shared" si="36"/>
        <v>1.2051803192464108</v>
      </c>
      <c r="M130" s="337">
        <f t="shared" si="37"/>
        <v>1.0024432979583586</v>
      </c>
      <c r="N130" s="340">
        <f t="shared" si="38"/>
        <v>6.983313761177079E-2</v>
      </c>
      <c r="O130" s="341">
        <f t="shared" si="39"/>
        <v>1.0009787568897288</v>
      </c>
      <c r="P130" s="342">
        <f t="shared" si="40"/>
        <v>0.10026330219195574</v>
      </c>
      <c r="Q130" s="343">
        <f t="shared" si="41"/>
        <v>13.295261934025216</v>
      </c>
      <c r="R130" s="344">
        <f t="shared" si="42"/>
        <v>-101.42444260798256</v>
      </c>
      <c r="S130" s="346">
        <f t="shared" si="43"/>
        <v>78.575557392017444</v>
      </c>
      <c r="U130" s="319">
        <f t="shared" si="50"/>
        <v>1000000000</v>
      </c>
      <c r="V130" s="319">
        <f t="shared" si="51"/>
        <v>48984601.209999993</v>
      </c>
      <c r="X130" s="345">
        <f t="shared" si="44"/>
        <v>27.259394152294082</v>
      </c>
      <c r="Y130" s="346">
        <f t="shared" si="45"/>
        <v>-24.943230912380827</v>
      </c>
      <c r="AA130" s="345">
        <f t="shared" si="46"/>
        <v>49.644989070893772</v>
      </c>
      <c r="AB130" s="346">
        <f t="shared" si="47"/>
        <v>-76.481211695601715</v>
      </c>
      <c r="AD130">
        <f t="shared" si="52"/>
        <v>0</v>
      </c>
      <c r="AE130">
        <f t="shared" si="53"/>
        <v>0</v>
      </c>
    </row>
    <row r="131" spans="1:31" x14ac:dyDescent="0.25">
      <c r="A131" s="347">
        <v>7079.5</v>
      </c>
      <c r="B131" s="364">
        <f t="shared" si="49"/>
        <v>7.0795000000000003</v>
      </c>
      <c r="C131" s="337">
        <f t="shared" si="27"/>
        <v>3.2288751869961416</v>
      </c>
      <c r="D131" s="338">
        <f t="shared" si="28"/>
        <v>1.255913170218462</v>
      </c>
      <c r="E131" s="338">
        <f t="shared" si="29"/>
        <v>1.0001646718944595</v>
      </c>
      <c r="F131" s="339">
        <f t="shared" si="30"/>
        <v>1.8146586470943065E-2</v>
      </c>
      <c r="G131" s="338">
        <f t="shared" si="31"/>
        <v>1</v>
      </c>
      <c r="H131" s="339">
        <f t="shared" si="32"/>
        <v>0</v>
      </c>
      <c r="I131" s="337">
        <f t="shared" si="33"/>
        <v>9397.20061472214</v>
      </c>
      <c r="J131" s="340">
        <f t="shared" si="34"/>
        <v>1.5706899121249447</v>
      </c>
      <c r="K131" s="348">
        <f t="shared" si="35"/>
        <v>2.8251237254626096</v>
      </c>
      <c r="L131" s="349">
        <f t="shared" si="36"/>
        <v>1.2089872144903819</v>
      </c>
      <c r="M131" s="337">
        <f t="shared" si="37"/>
        <v>1.002499825925504</v>
      </c>
      <c r="N131" s="340">
        <f t="shared" si="38"/>
        <v>7.0634685560630572E-2</v>
      </c>
      <c r="O131" s="341">
        <f t="shared" si="39"/>
        <v>1.0010016122922636</v>
      </c>
      <c r="P131" s="342">
        <f t="shared" si="40"/>
        <v>0.10141957275370025</v>
      </c>
      <c r="Q131" s="343">
        <f t="shared" si="41"/>
        <v>13.192202564658889</v>
      </c>
      <c r="R131" s="344">
        <f t="shared" si="42"/>
        <v>-101.50082224866239</v>
      </c>
      <c r="S131" s="346">
        <f t="shared" si="43"/>
        <v>78.499177751337612</v>
      </c>
      <c r="U131" s="319">
        <f t="shared" si="50"/>
        <v>1000000000</v>
      </c>
      <c r="V131" s="319">
        <f t="shared" si="51"/>
        <v>50119320.25</v>
      </c>
      <c r="X131" s="345">
        <f t="shared" si="44"/>
        <v>27.246317761935085</v>
      </c>
      <c r="Y131" s="346">
        <f t="shared" si="45"/>
        <v>-24.771107411119896</v>
      </c>
      <c r="AA131" s="345">
        <f t="shared" si="46"/>
        <v>49.555006091886426</v>
      </c>
      <c r="AB131" s="346">
        <f t="shared" si="47"/>
        <v>-76.729714837542488</v>
      </c>
      <c r="AD131">
        <f t="shared" si="52"/>
        <v>0</v>
      </c>
      <c r="AE131">
        <f t="shared" si="53"/>
        <v>0</v>
      </c>
    </row>
    <row r="132" spans="1:31" x14ac:dyDescent="0.25">
      <c r="A132" s="347">
        <v>7161.95</v>
      </c>
      <c r="B132" s="364">
        <f t="shared" si="49"/>
        <v>7.16195</v>
      </c>
      <c r="C132" s="337">
        <f t="shared" si="27"/>
        <v>3.2628915134049801</v>
      </c>
      <c r="D132" s="338">
        <f t="shared" si="28"/>
        <v>1.2593070020920945</v>
      </c>
      <c r="E132" s="338">
        <f t="shared" si="29"/>
        <v>1.0001685295423797</v>
      </c>
      <c r="F132" s="339">
        <f t="shared" si="30"/>
        <v>1.8357879903594481E-2</v>
      </c>
      <c r="G132" s="338">
        <f t="shared" si="31"/>
        <v>1</v>
      </c>
      <c r="H132" s="339">
        <f t="shared" si="32"/>
        <v>0</v>
      </c>
      <c r="I132" s="337">
        <f t="shared" si="33"/>
        <v>9506.6432564285387</v>
      </c>
      <c r="J132" s="340">
        <f t="shared" si="34"/>
        <v>1.5706911371948591</v>
      </c>
      <c r="K132" s="348">
        <f t="shared" si="35"/>
        <v>2.853924352933785</v>
      </c>
      <c r="L132" s="349">
        <f t="shared" si="36"/>
        <v>1.2128038272460431</v>
      </c>
      <c r="M132" s="337">
        <f t="shared" si="37"/>
        <v>1.002558317724785</v>
      </c>
      <c r="N132" s="340">
        <f t="shared" si="38"/>
        <v>7.1454537256956746E-2</v>
      </c>
      <c r="O132" s="341">
        <f t="shared" si="39"/>
        <v>1.0010252717685633</v>
      </c>
      <c r="P132" s="342">
        <f t="shared" si="40"/>
        <v>0.10260244044671776</v>
      </c>
      <c r="Q132" s="343">
        <f t="shared" si="41"/>
        <v>13.088022192190831</v>
      </c>
      <c r="R132" s="344">
        <f t="shared" si="42"/>
        <v>-101.57931002651736</v>
      </c>
      <c r="S132" s="346">
        <f t="shared" si="43"/>
        <v>78.420689973482638</v>
      </c>
      <c r="U132" s="319">
        <f t="shared" si="50"/>
        <v>1000000000</v>
      </c>
      <c r="V132" s="319">
        <f t="shared" si="51"/>
        <v>51293527.802499995</v>
      </c>
      <c r="X132" s="345">
        <f t="shared" si="44"/>
        <v>27.233336718797215</v>
      </c>
      <c r="Y132" s="346">
        <f t="shared" si="45"/>
        <v>-24.599475841350436</v>
      </c>
      <c r="AA132" s="345">
        <f t="shared" si="46"/>
        <v>49.463806762556246</v>
      </c>
      <c r="AB132" s="346">
        <f t="shared" si="47"/>
        <v>-76.979834185166936</v>
      </c>
      <c r="AD132">
        <f t="shared" si="52"/>
        <v>0</v>
      </c>
      <c r="AE132">
        <f t="shared" si="53"/>
        <v>0</v>
      </c>
    </row>
    <row r="133" spans="1:31" x14ac:dyDescent="0.25">
      <c r="A133" s="347">
        <v>7244.4</v>
      </c>
      <c r="B133" s="364">
        <f t="shared" si="49"/>
        <v>7.2443999999999997</v>
      </c>
      <c r="C133" s="337">
        <f t="shared" si="27"/>
        <v>3.2969446463451972</v>
      </c>
      <c r="D133" s="338">
        <f t="shared" si="28"/>
        <v>1.262630763890181</v>
      </c>
      <c r="E133" s="338">
        <f t="shared" si="29"/>
        <v>1.0001724318423928</v>
      </c>
      <c r="F133" s="339">
        <f t="shared" si="30"/>
        <v>1.8569171696902507E-2</v>
      </c>
      <c r="G133" s="338">
        <f t="shared" si="31"/>
        <v>1</v>
      </c>
      <c r="H133" s="339">
        <f t="shared" si="32"/>
        <v>0</v>
      </c>
      <c r="I133" s="337">
        <f t="shared" si="33"/>
        <v>9616.0858981488818</v>
      </c>
      <c r="J133" s="340">
        <f t="shared" si="34"/>
        <v>1.5706923343792305</v>
      </c>
      <c r="K133" s="348">
        <f t="shared" si="35"/>
        <v>2.8827657211828543</v>
      </c>
      <c r="L133" s="349">
        <f t="shared" si="36"/>
        <v>1.2165441250202647</v>
      </c>
      <c r="M133" s="337">
        <f t="shared" si="37"/>
        <v>1.0026174833215697</v>
      </c>
      <c r="N133" s="340">
        <f t="shared" si="38"/>
        <v>7.227429274347312E-2</v>
      </c>
      <c r="O133" s="341">
        <f t="shared" si="39"/>
        <v>1.0010492141973868</v>
      </c>
      <c r="P133" s="342">
        <f t="shared" si="40"/>
        <v>0.10378536685713102</v>
      </c>
      <c r="Q133" s="343">
        <f t="shared" si="41"/>
        <v>12.985070424660133</v>
      </c>
      <c r="R133" s="344">
        <f t="shared" si="42"/>
        <v>-101.65815195917035</v>
      </c>
      <c r="S133" s="346">
        <f t="shared" si="43"/>
        <v>78.341848040829646</v>
      </c>
      <c r="U133" s="319">
        <f t="shared" si="50"/>
        <v>1000000000</v>
      </c>
      <c r="V133" s="319">
        <f t="shared" si="51"/>
        <v>52481331.359999992</v>
      </c>
      <c r="X133" s="345">
        <f t="shared" si="44"/>
        <v>27.220739234463966</v>
      </c>
      <c r="Y133" s="346">
        <f t="shared" si="45"/>
        <v>-24.432209687796099</v>
      </c>
      <c r="AA133" s="345">
        <f t="shared" si="46"/>
        <v>49.373452479358797</v>
      </c>
      <c r="AB133" s="346">
        <f t="shared" si="47"/>
        <v>-77.225942271374265</v>
      </c>
      <c r="AD133">
        <f t="shared" si="52"/>
        <v>0</v>
      </c>
      <c r="AE133">
        <f t="shared" si="53"/>
        <v>0</v>
      </c>
    </row>
    <row r="134" spans="1:31" x14ac:dyDescent="0.25">
      <c r="A134" s="347">
        <v>7328.75</v>
      </c>
      <c r="B134" s="364">
        <f t="shared" si="49"/>
        <v>7.3287500000000003</v>
      </c>
      <c r="C134" s="337">
        <f t="shared" si="27"/>
        <v>3.3318194205833693</v>
      </c>
      <c r="D134" s="338">
        <f t="shared" si="28"/>
        <v>1.2659607736082927</v>
      </c>
      <c r="E134" s="338">
        <f t="shared" si="29"/>
        <v>1.0001764702749245</v>
      </c>
      <c r="F134" s="339">
        <f t="shared" si="30"/>
        <v>1.8785330839088954E-2</v>
      </c>
      <c r="G134" s="338">
        <f t="shared" si="31"/>
        <v>1</v>
      </c>
      <c r="H134" s="339">
        <f t="shared" si="32"/>
        <v>0</v>
      </c>
      <c r="I134" s="337">
        <f t="shared" si="33"/>
        <v>9728.0505655868437</v>
      </c>
      <c r="J134" s="340">
        <f t="shared" si="34"/>
        <v>1.5706935312764092</v>
      </c>
      <c r="K134" s="348">
        <f t="shared" si="35"/>
        <v>2.9123126153544212</v>
      </c>
      <c r="L134" s="349">
        <f t="shared" si="36"/>
        <v>1.2202938988765615</v>
      </c>
      <c r="M134" s="337">
        <f t="shared" si="37"/>
        <v>1.0026787094890757</v>
      </c>
      <c r="N134" s="340">
        <f t="shared" si="38"/>
        <v>7.3112838204144437E-2</v>
      </c>
      <c r="O134" s="341">
        <f t="shared" si="39"/>
        <v>1.001074001493836</v>
      </c>
      <c r="P134" s="342">
        <f t="shared" si="40"/>
        <v>0.10499561437998566</v>
      </c>
      <c r="Q134" s="343">
        <f t="shared" si="41"/>
        <v>12.880987172563749</v>
      </c>
      <c r="R134" s="344">
        <f t="shared" si="42"/>
        <v>-101.73917200741244</v>
      </c>
      <c r="S134" s="346">
        <f t="shared" si="43"/>
        <v>78.260827992587565</v>
      </c>
      <c r="U134" s="319">
        <f t="shared" si="50"/>
        <v>1000000000</v>
      </c>
      <c r="V134" s="319">
        <f t="shared" si="51"/>
        <v>53710576.5625</v>
      </c>
      <c r="X134" s="345">
        <f t="shared" si="44"/>
        <v>27.208231974895519</v>
      </c>
      <c r="Y134" s="346">
        <f t="shared" si="45"/>
        <v>-24.265477164494438</v>
      </c>
      <c r="AA134" s="345">
        <f t="shared" si="46"/>
        <v>49.281876486830853</v>
      </c>
      <c r="AB134" s="346">
        <f t="shared" si="47"/>
        <v>-77.473694842918007</v>
      </c>
      <c r="AD134">
        <f t="shared" si="52"/>
        <v>0</v>
      </c>
      <c r="AE134">
        <f t="shared" si="53"/>
        <v>0</v>
      </c>
    </row>
    <row r="135" spans="1:31" x14ac:dyDescent="0.25">
      <c r="A135" s="347">
        <v>7413.1</v>
      </c>
      <c r="B135" s="364">
        <f t="shared" si="49"/>
        <v>7.4131</v>
      </c>
      <c r="C135" s="337">
        <f t="shared" si="27"/>
        <v>3.3667303755834159</v>
      </c>
      <c r="D135" s="338">
        <f t="shared" si="28"/>
        <v>1.2692217584972432</v>
      </c>
      <c r="E135" s="338">
        <f t="shared" si="29"/>
        <v>1.000180555440098</v>
      </c>
      <c r="F135" s="339">
        <f t="shared" si="30"/>
        <v>1.9001488225602457E-2</v>
      </c>
      <c r="G135" s="338">
        <f t="shared" si="31"/>
        <v>1</v>
      </c>
      <c r="H135" s="339">
        <f t="shared" si="32"/>
        <v>0</v>
      </c>
      <c r="I135" s="337">
        <f t="shared" si="33"/>
        <v>9840.0152330384262</v>
      </c>
      <c r="J135" s="340">
        <f t="shared" si="34"/>
        <v>1.5706947009357857</v>
      </c>
      <c r="K135" s="348">
        <f t="shared" si="35"/>
        <v>2.9418996361012275</v>
      </c>
      <c r="L135" s="349">
        <f t="shared" si="36"/>
        <v>1.2239682997277372</v>
      </c>
      <c r="M135" s="337">
        <f t="shared" si="37"/>
        <v>1.002740640612241</v>
      </c>
      <c r="N135" s="340">
        <f t="shared" si="38"/>
        <v>7.3951280674065117E-2</v>
      </c>
      <c r="O135" s="341">
        <f t="shared" si="39"/>
        <v>1.0010990855946671</v>
      </c>
      <c r="P135" s="342">
        <f t="shared" si="40"/>
        <v>0.10620592472734008</v>
      </c>
      <c r="Q135" s="343">
        <f t="shared" si="41"/>
        <v>12.77812908795006</v>
      </c>
      <c r="R135" s="344">
        <f t="shared" si="42"/>
        <v>-101.82055201796992</v>
      </c>
      <c r="S135" s="346">
        <f t="shared" si="43"/>
        <v>78.179447982030084</v>
      </c>
      <c r="U135" s="319">
        <f t="shared" si="50"/>
        <v>1000000000</v>
      </c>
      <c r="V135" s="319">
        <f t="shared" si="51"/>
        <v>54954051.610000007</v>
      </c>
      <c r="X135" s="345">
        <f t="shared" si="44"/>
        <v>27.196093695418032</v>
      </c>
      <c r="Y135" s="346">
        <f t="shared" si="45"/>
        <v>-24.103055734733925</v>
      </c>
      <c r="AA135" s="345">
        <f t="shared" si="46"/>
        <v>49.191156681694665</v>
      </c>
      <c r="AB135" s="346">
        <f t="shared" si="47"/>
        <v>-77.717496283236002</v>
      </c>
      <c r="AD135">
        <f t="shared" si="52"/>
        <v>0</v>
      </c>
      <c r="AE135">
        <f t="shared" si="53"/>
        <v>0</v>
      </c>
    </row>
    <row r="136" spans="1:31" x14ac:dyDescent="0.25">
      <c r="A136" s="347">
        <v>7499.45</v>
      </c>
      <c r="B136" s="364">
        <f t="shared" si="49"/>
        <v>7.4994499999999995</v>
      </c>
      <c r="C136" s="337">
        <f t="shared" si="27"/>
        <v>3.4025054097901872</v>
      </c>
      <c r="D136" s="338">
        <f t="shared" si="28"/>
        <v>1.2724907114936173</v>
      </c>
      <c r="E136" s="338">
        <f t="shared" si="29"/>
        <v>1.0001847858747939</v>
      </c>
      <c r="F136" s="339">
        <f t="shared" si="30"/>
        <v>1.9222769021676366E-2</v>
      </c>
      <c r="G136" s="338">
        <f t="shared" si="31"/>
        <v>1</v>
      </c>
      <c r="H136" s="339">
        <f t="shared" si="32"/>
        <v>0</v>
      </c>
      <c r="I136" s="337">
        <f t="shared" si="33"/>
        <v>9954.6346644029018</v>
      </c>
      <c r="J136" s="340">
        <f t="shared" si="34"/>
        <v>1.5706958710739791</v>
      </c>
      <c r="K136" s="348">
        <f t="shared" si="35"/>
        <v>2.9722285005867839</v>
      </c>
      <c r="L136" s="349">
        <f t="shared" si="36"/>
        <v>1.2276539964055846</v>
      </c>
      <c r="M136" s="337">
        <f t="shared" si="37"/>
        <v>1.0028047702574623</v>
      </c>
      <c r="N136" s="340">
        <f t="shared" si="38"/>
        <v>7.4809495332887638E-2</v>
      </c>
      <c r="O136" s="341">
        <f t="shared" si="39"/>
        <v>1.0011250722566416</v>
      </c>
      <c r="P136" s="342">
        <f t="shared" si="40"/>
        <v>0.10744499821353264</v>
      </c>
      <c r="Q136" s="343">
        <f t="shared" si="41"/>
        <v>12.674070865590622</v>
      </c>
      <c r="R136" s="344">
        <f t="shared" si="42"/>
        <v>-101.90422871138816</v>
      </c>
      <c r="S136" s="346">
        <f t="shared" si="43"/>
        <v>78.095771288611843</v>
      </c>
      <c r="U136" s="319">
        <f t="shared" si="50"/>
        <v>1000000000</v>
      </c>
      <c r="V136" s="319">
        <f t="shared" si="51"/>
        <v>56241750.302499995</v>
      </c>
      <c r="X136" s="345">
        <f t="shared" si="44"/>
        <v>27.184033942190112</v>
      </c>
      <c r="Y136" s="346">
        <f t="shared" si="45"/>
        <v>-23.941119992189567</v>
      </c>
      <c r="AA136" s="345">
        <f t="shared" si="46"/>
        <v>49.099158212563133</v>
      </c>
      <c r="AB136" s="346">
        <f t="shared" si="47"/>
        <v>-77.963108719198587</v>
      </c>
      <c r="AD136">
        <f t="shared" si="52"/>
        <v>0</v>
      </c>
      <c r="AE136">
        <f t="shared" si="53"/>
        <v>0</v>
      </c>
    </row>
    <row r="137" spans="1:31" x14ac:dyDescent="0.25">
      <c r="A137" s="347">
        <v>7585.8</v>
      </c>
      <c r="B137" s="364">
        <f t="shared" si="49"/>
        <v>7.5857999999999999</v>
      </c>
      <c r="C137" s="337">
        <f t="shared" si="27"/>
        <v>3.4383160465040281</v>
      </c>
      <c r="D137" s="338">
        <f t="shared" si="28"/>
        <v>1.2756916047194555</v>
      </c>
      <c r="E137" s="338">
        <f t="shared" si="29"/>
        <v>1.0001890652833128</v>
      </c>
      <c r="F137" s="339">
        <f t="shared" si="30"/>
        <v>1.9444047935041321E-2</v>
      </c>
      <c r="G137" s="338">
        <f t="shared" si="31"/>
        <v>1</v>
      </c>
      <c r="H137" s="339">
        <f t="shared" si="32"/>
        <v>0</v>
      </c>
      <c r="I137" s="337">
        <f t="shared" si="33"/>
        <v>10069.254095780698</v>
      </c>
      <c r="J137" s="340">
        <f t="shared" si="34"/>
        <v>1.5706970145725481</v>
      </c>
      <c r="K137" s="348">
        <f t="shared" si="35"/>
        <v>3.0025969249156761</v>
      </c>
      <c r="L137" s="349">
        <f t="shared" si="36"/>
        <v>1.2312651866532245</v>
      </c>
      <c r="M137" s="337">
        <f t="shared" si="37"/>
        <v>1.0028696384061098</v>
      </c>
      <c r="N137" s="340">
        <f t="shared" si="38"/>
        <v>7.566759960066774E-2</v>
      </c>
      <c r="O137" s="341">
        <f t="shared" si="39"/>
        <v>1.0011513706897057</v>
      </c>
      <c r="P137" s="342">
        <f t="shared" si="40"/>
        <v>0.10868413900317576</v>
      </c>
      <c r="Q137" s="343">
        <f t="shared" si="41"/>
        <v>12.571235963298864</v>
      </c>
      <c r="R137" s="344">
        <f t="shared" si="42"/>
        <v>-101.98827088399403</v>
      </c>
      <c r="S137" s="346">
        <f t="shared" si="43"/>
        <v>78.011729116005966</v>
      </c>
      <c r="U137" s="319">
        <f t="shared" si="50"/>
        <v>1000000000</v>
      </c>
      <c r="V137" s="319">
        <f t="shared" si="51"/>
        <v>57544361.640000001</v>
      </c>
      <c r="X137" s="345">
        <f t="shared" si="44"/>
        <v>27.172329436203249</v>
      </c>
      <c r="Y137" s="346">
        <f t="shared" si="45"/>
        <v>-23.783445302368666</v>
      </c>
      <c r="AA137" s="345">
        <f t="shared" si="46"/>
        <v>49.008027816258242</v>
      </c>
      <c r="AB137" s="346">
        <f t="shared" si="47"/>
        <v>-78.204825581625357</v>
      </c>
      <c r="AD137">
        <f t="shared" si="52"/>
        <v>0</v>
      </c>
      <c r="AE137">
        <f t="shared" si="53"/>
        <v>0</v>
      </c>
    </row>
    <row r="138" spans="1:31" x14ac:dyDescent="0.25">
      <c r="A138" s="347">
        <v>7674.15</v>
      </c>
      <c r="B138" s="364">
        <f t="shared" si="49"/>
        <v>7.67415</v>
      </c>
      <c r="C138" s="337">
        <f t="shared" si="27"/>
        <v>3.4749918140920451</v>
      </c>
      <c r="D138" s="338">
        <f t="shared" si="28"/>
        <v>1.2788983202895794</v>
      </c>
      <c r="E138" s="338">
        <f t="shared" si="29"/>
        <v>1.0001934944973423</v>
      </c>
      <c r="F138" s="339">
        <f t="shared" si="30"/>
        <v>1.9670450040226061E-2</v>
      </c>
      <c r="G138" s="338">
        <f t="shared" si="31"/>
        <v>1</v>
      </c>
      <c r="H138" s="339">
        <f t="shared" si="32"/>
        <v>0</v>
      </c>
      <c r="I138" s="337">
        <f t="shared" si="33"/>
        <v>10186.5282910717</v>
      </c>
      <c r="J138" s="340">
        <f t="shared" si="34"/>
        <v>1.5706981579219468</v>
      </c>
      <c r="K138" s="348">
        <f t="shared" si="35"/>
        <v>3.0337084348169685</v>
      </c>
      <c r="L138" s="349">
        <f t="shared" si="36"/>
        <v>1.2348851397263751</v>
      </c>
      <c r="M138" s="337">
        <f t="shared" si="37"/>
        <v>1.0029367732111196</v>
      </c>
      <c r="N138" s="340">
        <f t="shared" si="38"/>
        <v>7.654546334343823E-2</v>
      </c>
      <c r="O138" s="341">
        <f t="shared" si="39"/>
        <v>1.0011786013107213</v>
      </c>
      <c r="P138" s="342">
        <f t="shared" si="40"/>
        <v>0.10995205064695859</v>
      </c>
      <c r="Q138" s="343">
        <f t="shared" si="41"/>
        <v>12.467255071975533</v>
      </c>
      <c r="R138" s="344">
        <f t="shared" si="42"/>
        <v>-102.07463161666038</v>
      </c>
      <c r="S138" s="346">
        <f t="shared" si="43"/>
        <v>77.925368383339617</v>
      </c>
      <c r="U138" s="319">
        <f t="shared" si="50"/>
        <v>1000000000</v>
      </c>
      <c r="V138" s="319">
        <f t="shared" si="51"/>
        <v>58892578.222499996</v>
      </c>
      <c r="X138" s="345">
        <f t="shared" si="44"/>
        <v>27.160706163206697</v>
      </c>
      <c r="Y138" s="346">
        <f t="shared" si="45"/>
        <v>-23.62640066560563</v>
      </c>
      <c r="AA138" s="345">
        <f t="shared" si="46"/>
        <v>48.915670197931469</v>
      </c>
      <c r="AB138" s="346">
        <f t="shared" si="47"/>
        <v>-78.448230951054754</v>
      </c>
      <c r="AD138">
        <f t="shared" si="52"/>
        <v>0</v>
      </c>
      <c r="AE138">
        <f t="shared" si="53"/>
        <v>0</v>
      </c>
    </row>
    <row r="139" spans="1:31" x14ac:dyDescent="0.25">
      <c r="A139" s="347">
        <v>7762.5</v>
      </c>
      <c r="B139" s="364">
        <f t="shared" si="49"/>
        <v>7.7625000000000002</v>
      </c>
      <c r="C139" s="337">
        <f t="shared" si="27"/>
        <v>3.5117025685046004</v>
      </c>
      <c r="D139" s="338">
        <f t="shared" si="28"/>
        <v>1.2820380226432724</v>
      </c>
      <c r="E139" s="338">
        <f t="shared" si="29"/>
        <v>1.0001979749787473</v>
      </c>
      <c r="F139" s="339">
        <f t="shared" si="30"/>
        <v>1.9896850128636238E-2</v>
      </c>
      <c r="G139" s="338">
        <f t="shared" si="31"/>
        <v>1</v>
      </c>
      <c r="H139" s="339">
        <f t="shared" si="32"/>
        <v>0</v>
      </c>
      <c r="I139" s="337">
        <f t="shared" si="33"/>
        <v>10303.802486375718</v>
      </c>
      <c r="J139" s="340">
        <f t="shared" si="34"/>
        <v>1.5706992752449576</v>
      </c>
      <c r="K139" s="348">
        <f t="shared" si="35"/>
        <v>3.064858891229191</v>
      </c>
      <c r="L139" s="349">
        <f t="shared" si="36"/>
        <v>1.2384315538996964</v>
      </c>
      <c r="M139" s="337">
        <f t="shared" si="37"/>
        <v>1.0030046808202742</v>
      </c>
      <c r="N139" s="340">
        <f t="shared" si="38"/>
        <v>7.7423208892473588E-2</v>
      </c>
      <c r="O139" s="341">
        <f t="shared" si="39"/>
        <v>1.0012061591068679</v>
      </c>
      <c r="P139" s="342">
        <f t="shared" si="40"/>
        <v>0.11122003431177707</v>
      </c>
      <c r="Q139" s="343">
        <f t="shared" si="41"/>
        <v>12.364494334882369</v>
      </c>
      <c r="R139" s="344">
        <f t="shared" si="42"/>
        <v>-102.16136222229402</v>
      </c>
      <c r="S139" s="346">
        <f t="shared" si="43"/>
        <v>77.838637777705983</v>
      </c>
      <c r="U139" s="319">
        <f t="shared" si="50"/>
        <v>1000000000</v>
      </c>
      <c r="V139" s="319">
        <f t="shared" si="51"/>
        <v>60256406.25</v>
      </c>
      <c r="X139" s="345">
        <f t="shared" si="44"/>
        <v>27.149424383147366</v>
      </c>
      <c r="Y139" s="346">
        <f t="shared" si="45"/>
        <v>-23.473561234233294</v>
      </c>
      <c r="AA139" s="345">
        <f t="shared" si="46"/>
        <v>48.824191240897633</v>
      </c>
      <c r="AB139" s="346">
        <f t="shared" si="47"/>
        <v>-78.687800988060729</v>
      </c>
      <c r="AD139">
        <f t="shared" si="52"/>
        <v>0</v>
      </c>
      <c r="AE139">
        <f t="shared" si="53"/>
        <v>0</v>
      </c>
    </row>
    <row r="140" spans="1:31" x14ac:dyDescent="0.25">
      <c r="A140" s="347">
        <v>7852.9</v>
      </c>
      <c r="B140" s="364">
        <f t="shared" si="49"/>
        <v>7.8529</v>
      </c>
      <c r="C140" s="337">
        <f t="shared" si="27"/>
        <v>3.549300210324009</v>
      </c>
      <c r="D140" s="338">
        <f t="shared" si="28"/>
        <v>1.2851833178188381</v>
      </c>
      <c r="E140" s="338">
        <f t="shared" si="29"/>
        <v>1.000202612486327</v>
      </c>
      <c r="F140" s="339">
        <f t="shared" si="30"/>
        <v>2.0128501304916321E-2</v>
      </c>
      <c r="G140" s="338">
        <f t="shared" si="31"/>
        <v>1</v>
      </c>
      <c r="H140" s="339">
        <f t="shared" si="32"/>
        <v>0</v>
      </c>
      <c r="I140" s="337">
        <f t="shared" si="33"/>
        <v>10423.797814690744</v>
      </c>
      <c r="J140" s="340">
        <f t="shared" si="34"/>
        <v>1.5707003924704488</v>
      </c>
      <c r="K140" s="348">
        <f t="shared" si="35"/>
        <v>3.0967712235415603</v>
      </c>
      <c r="L140" s="349">
        <f t="shared" si="36"/>
        <v>1.2419863611009598</v>
      </c>
      <c r="M140" s="337">
        <f t="shared" si="37"/>
        <v>1.0030749638468845</v>
      </c>
      <c r="N140" s="340">
        <f t="shared" si="38"/>
        <v>7.8321197195183129E-2</v>
      </c>
      <c r="O140" s="341">
        <f t="shared" si="39"/>
        <v>1.0012346954080265</v>
      </c>
      <c r="P140" s="342">
        <f t="shared" si="40"/>
        <v>0.11251751458601252</v>
      </c>
      <c r="Q140" s="343">
        <f t="shared" si="41"/>
        <v>12.260581930545282</v>
      </c>
      <c r="R140" s="344">
        <f t="shared" si="42"/>
        <v>-102.25048137276139</v>
      </c>
      <c r="S140" s="346">
        <f t="shared" si="43"/>
        <v>77.749518627238615</v>
      </c>
      <c r="U140" s="319">
        <f t="shared" si="50"/>
        <v>1000000000</v>
      </c>
      <c r="V140" s="319">
        <f t="shared" si="51"/>
        <v>61668038.409999996</v>
      </c>
      <c r="X140" s="345">
        <f t="shared" si="44"/>
        <v>27.138219458321426</v>
      </c>
      <c r="Y140" s="346">
        <f t="shared" si="45"/>
        <v>-23.321400736547105</v>
      </c>
      <c r="AA140" s="345">
        <f t="shared" si="46"/>
        <v>48.731483761386485</v>
      </c>
      <c r="AB140" s="346">
        <f t="shared" si="47"/>
        <v>-78.92908063621428</v>
      </c>
      <c r="AD140">
        <f t="shared" si="52"/>
        <v>0</v>
      </c>
      <c r="AE140">
        <f t="shared" si="53"/>
        <v>0</v>
      </c>
    </row>
    <row r="141" spans="1:31" x14ac:dyDescent="0.25">
      <c r="A141" s="347">
        <v>7943.3</v>
      </c>
      <c r="B141" s="364">
        <f t="shared" si="49"/>
        <v>7.9432999999999998</v>
      </c>
      <c r="C141" s="337">
        <f t="shared" ref="C141:C204" si="54">SQRT(1+(A141/pole1)^2)</f>
        <v>3.5869322286570369</v>
      </c>
      <c r="D141" s="338">
        <f t="shared" ref="D141:D204" si="55">ATAN(A141/pole1)</f>
        <v>1.2882626456919952</v>
      </c>
      <c r="E141" s="338">
        <f t="shared" ref="E141:E204" si="56">SQRT(1+(A141/Zero1)^2)</f>
        <v>1.0002073036665473</v>
      </c>
      <c r="F141" s="339">
        <f t="shared" ref="F141:F204" si="57">ATAN(A141/Zero1)</f>
        <v>2.0360150320642759E-2</v>
      </c>
      <c r="G141" s="338">
        <f t="shared" ref="G141:G204" si="58">IF(VIN_nom&gt;Vout, 1, SQRT(1+(A141/z_RHP)^2))</f>
        <v>1</v>
      </c>
      <c r="H141" s="339">
        <f t="shared" ref="H141:H204" si="59">IF(VIN_nom&gt;Vout, 0, -ATAN(A141/z_RHP))</f>
        <v>0</v>
      </c>
      <c r="I141" s="337">
        <f t="shared" ref="I141:I204" si="60">SQRT(1+(A141/Pole2)^2)</f>
        <v>10543.793143018489</v>
      </c>
      <c r="J141" s="340">
        <f t="shared" ref="J141:J204" si="61">ATAN(A141/Pole2)</f>
        <v>1.5707014842664124</v>
      </c>
      <c r="K141" s="348">
        <f t="shared" ref="K141:K147" si="62">SQRT(1+(A141/Zero2)^2)</f>
        <v>3.1287218901022507</v>
      </c>
      <c r="L141" s="349">
        <f t="shared" ref="L141:L147" si="63">ATAN(A141/Zero2)</f>
        <v>1.2454686078179593</v>
      </c>
      <c r="M141" s="337">
        <f t="shared" ref="M141:M204" si="64">SQRT(1+(A141/pole4)^2)</f>
        <v>1.0031460556223628</v>
      </c>
      <c r="N141" s="340">
        <f t="shared" ref="N141:N204" si="65">ATAN(A141/pole4)</f>
        <v>7.921905894308845E-2</v>
      </c>
      <c r="O141" s="341">
        <f t="shared" ref="O141:O204" si="66">SQRT((1-(V141/pterm2))^2+(A141/pterm1)^2)</f>
        <v>1.0012635751142211</v>
      </c>
      <c r="P141" s="342">
        <f t="shared" ref="P141:P204" si="67">IF((ATAN((A141/pterm1)/(1-A141^2/pterm2))&gt;0),ATAN((A141/pterm1)/(1-A141^2/pterm2)),PI()+ATAN((A141/pterm1)/(1-A141^2/pterm2)))</f>
        <v>0.11381507193163155</v>
      </c>
      <c r="Q141" s="343">
        <f t="shared" ref="Q141:Q204" si="68">20*LOG10(((E141*K141*G141)/(C141*I141*O141*M141))*Adc)</f>
        <v>12.157886628770854</v>
      </c>
      <c r="R141" s="344">
        <f t="shared" ref="R141:R204" si="69">((F141+L141+H141)-(D141+J141+P141+N141))*radconv</f>
        <v>-102.3399741163179</v>
      </c>
      <c r="S141" s="346">
        <f t="shared" ref="S141:S204" si="70">IF(R141&gt;0,R141,R141+180)</f>
        <v>77.660025883682096</v>
      </c>
      <c r="U141" s="319">
        <f t="shared" si="50"/>
        <v>1000000000</v>
      </c>
      <c r="V141" s="319">
        <f t="shared" si="51"/>
        <v>63096014.890000001</v>
      </c>
      <c r="X141" s="345">
        <f t="shared" ref="X141:X204" si="71">20*LOG10((K141/(I141*M141))*AEA)</f>
        <v>27.127342678763942</v>
      </c>
      <c r="Y141" s="346">
        <f t="shared" ref="Y141:Y204" si="72">(L141-(J141+N141))*radconv</f>
        <v>-23.173388940312631</v>
      </c>
      <c r="AA141" s="345">
        <f t="shared" ref="AA141:AA204" si="73">20*LOG10((E141*G141/(C141*O141))*Acs*Am)</f>
        <v>48.639665239169538</v>
      </c>
      <c r="AB141" s="346">
        <f t="shared" ref="AB141:AB204" si="74">(F141+H141-(D141+P141))*radconv</f>
        <v>-79.166585176005256</v>
      </c>
      <c r="AD141">
        <f t="shared" si="52"/>
        <v>0</v>
      </c>
      <c r="AE141">
        <f t="shared" si="53"/>
        <v>0</v>
      </c>
    </row>
    <row r="142" spans="1:31" x14ac:dyDescent="0.25">
      <c r="A142" s="347">
        <v>8035.8</v>
      </c>
      <c r="B142" s="364">
        <f t="shared" ref="B142:B205" si="75">A142/1000</f>
        <v>8.0358000000000001</v>
      </c>
      <c r="C142" s="337">
        <f t="shared" si="54"/>
        <v>3.6254729091003877</v>
      </c>
      <c r="D142" s="338">
        <f t="shared" si="55"/>
        <v>1.2913473057379712</v>
      </c>
      <c r="E142" s="338">
        <f t="shared" si="56"/>
        <v>1.0002121593798645</v>
      </c>
      <c r="F142" s="339">
        <f t="shared" si="57"/>
        <v>2.0597178301181521E-2</v>
      </c>
      <c r="G142" s="338">
        <f t="shared" si="58"/>
        <v>1</v>
      </c>
      <c r="H142" s="339">
        <f t="shared" si="59"/>
        <v>0</v>
      </c>
      <c r="I142" s="337">
        <f t="shared" si="60"/>
        <v>10666.575973455054</v>
      </c>
      <c r="J142" s="340">
        <f t="shared" si="61"/>
        <v>1.5707025759976443</v>
      </c>
      <c r="K142" s="348">
        <f t="shared" si="62"/>
        <v>3.1614532414368459</v>
      </c>
      <c r="L142" s="349">
        <f t="shared" si="63"/>
        <v>1.2489588471127828</v>
      </c>
      <c r="M142" s="337">
        <f t="shared" si="64"/>
        <v>1.0032196358347614</v>
      </c>
      <c r="N142" s="340">
        <f t="shared" si="65"/>
        <v>8.0137645618249168E-2</v>
      </c>
      <c r="O142" s="341">
        <f t="shared" si="66"/>
        <v>1.0012934816294834</v>
      </c>
      <c r="P142" s="342">
        <f t="shared" si="67"/>
        <v>0.11514285230523283</v>
      </c>
      <c r="Q142" s="343">
        <f t="shared" si="68"/>
        <v>12.054035383005877</v>
      </c>
      <c r="R142" s="344">
        <f t="shared" si="69"/>
        <v>-102.4319253370178</v>
      </c>
      <c r="S142" s="346">
        <f t="shared" si="70"/>
        <v>77.568074662982198</v>
      </c>
      <c r="U142" s="319">
        <f t="shared" ref="U142:U205" si="76">IF(Q142&lt;0,A142,1000000000)</f>
        <v>1000000000</v>
      </c>
      <c r="V142" s="319">
        <f t="shared" ref="V142:V205" si="77">A142^2</f>
        <v>64574081.640000001</v>
      </c>
      <c r="X142" s="345">
        <f t="shared" si="71"/>
        <v>27.116538559675277</v>
      </c>
      <c r="Y142" s="346">
        <f t="shared" si="72"/>
        <v>-23.026106650255855</v>
      </c>
      <c r="AA142" s="345">
        <f t="shared" si="73"/>
        <v>48.546618112493228</v>
      </c>
      <c r="AB142" s="346">
        <f t="shared" si="74"/>
        <v>-79.405818686761961</v>
      </c>
      <c r="AD142">
        <f t="shared" ref="AD142:AD205" si="78">SUM((Q143&lt;0)*(Q142&gt;0))*A142</f>
        <v>0</v>
      </c>
      <c r="AE142">
        <f t="shared" si="53"/>
        <v>0</v>
      </c>
    </row>
    <row r="143" spans="1:31" x14ac:dyDescent="0.25">
      <c r="A143" s="347">
        <v>8128.3</v>
      </c>
      <c r="B143" s="364">
        <f t="shared" si="75"/>
        <v>8.1282999999999994</v>
      </c>
      <c r="C143" s="337">
        <f t="shared" si="54"/>
        <v>3.6640473604745103</v>
      </c>
      <c r="D143" s="338">
        <f t="shared" si="55"/>
        <v>1.294367044489686</v>
      </c>
      <c r="E143" s="338">
        <f t="shared" si="56"/>
        <v>1.0002170712868172</v>
      </c>
      <c r="F143" s="339">
        <f t="shared" si="57"/>
        <v>2.0834203967023391E-2</v>
      </c>
      <c r="G143" s="338">
        <f t="shared" si="58"/>
        <v>1</v>
      </c>
      <c r="H143" s="339">
        <f t="shared" si="59"/>
        <v>0</v>
      </c>
      <c r="I143" s="337">
        <f t="shared" si="60"/>
        <v>10789.358803904042</v>
      </c>
      <c r="J143" s="340">
        <f t="shared" si="61"/>
        <v>1.5707036428810879</v>
      </c>
      <c r="K143" s="348">
        <f t="shared" si="62"/>
        <v>3.1942223153277252</v>
      </c>
      <c r="L143" s="349">
        <f t="shared" si="63"/>
        <v>1.2523775156040344</v>
      </c>
      <c r="M143" s="337">
        <f t="shared" si="64"/>
        <v>1.003294062440792</v>
      </c>
      <c r="N143" s="340">
        <f t="shared" si="65"/>
        <v>8.1056096782661277E-2</v>
      </c>
      <c r="O143" s="341">
        <f t="shared" si="66"/>
        <v>1.0013237486440567</v>
      </c>
      <c r="P143" s="342">
        <f t="shared" si="67"/>
        <v>0.11647071515443044</v>
      </c>
      <c r="Q143" s="343">
        <f t="shared" si="68"/>
        <v>11.951398267523013</v>
      </c>
      <c r="R143" s="344">
        <f t="shared" si="69"/>
        <v>-102.52425321679605</v>
      </c>
      <c r="S143" s="346">
        <f t="shared" si="70"/>
        <v>77.475746783203945</v>
      </c>
      <c r="U143" s="319">
        <f t="shared" si="76"/>
        <v>1000000000</v>
      </c>
      <c r="V143" s="319">
        <f t="shared" si="77"/>
        <v>66069260.890000001</v>
      </c>
      <c r="X143" s="345">
        <f t="shared" si="71"/>
        <v>27.106049628241202</v>
      </c>
      <c r="Y143" s="346">
        <f t="shared" si="72"/>
        <v>-22.882915877317398</v>
      </c>
      <c r="AA143" s="345">
        <f t="shared" si="73"/>
        <v>48.454469928444439</v>
      </c>
      <c r="AB143" s="346">
        <f t="shared" si="74"/>
        <v>-79.641337339478667</v>
      </c>
      <c r="AD143">
        <f t="shared" si="78"/>
        <v>0</v>
      </c>
      <c r="AE143">
        <f t="shared" si="53"/>
        <v>0</v>
      </c>
    </row>
    <row r="144" spans="1:31" x14ac:dyDescent="0.25">
      <c r="A144" s="347">
        <v>8222.9500000000007</v>
      </c>
      <c r="B144" s="364">
        <f t="shared" si="75"/>
        <v>8.2229500000000009</v>
      </c>
      <c r="C144" s="337">
        <f t="shared" si="54"/>
        <v>3.7035522639070768</v>
      </c>
      <c r="D144" s="338">
        <f t="shared" si="55"/>
        <v>1.2973918290429602</v>
      </c>
      <c r="E144" s="338">
        <f t="shared" si="56"/>
        <v>1.000222155529553</v>
      </c>
      <c r="F144" s="339">
        <f t="shared" si="57"/>
        <v>2.1076736454301265E-2</v>
      </c>
      <c r="G144" s="338">
        <f t="shared" si="58"/>
        <v>1</v>
      </c>
      <c r="H144" s="339">
        <f t="shared" si="59"/>
        <v>0</v>
      </c>
      <c r="I144" s="337">
        <f t="shared" si="60"/>
        <v>10914.995505559677</v>
      </c>
      <c r="J144" s="340">
        <f t="shared" si="61"/>
        <v>1.5707047097162739</v>
      </c>
      <c r="K144" s="348">
        <f t="shared" si="62"/>
        <v>3.2277908982262633</v>
      </c>
      <c r="L144" s="349">
        <f t="shared" si="63"/>
        <v>1.255803751405558</v>
      </c>
      <c r="M144" s="337">
        <f t="shared" si="64"/>
        <v>1.0033710948977039</v>
      </c>
      <c r="N144" s="340">
        <f t="shared" si="65"/>
        <v>8.1995753874230776E-2</v>
      </c>
      <c r="O144" s="341">
        <f t="shared" si="66"/>
        <v>1.0013550928397541</v>
      </c>
      <c r="P144" s="342">
        <f t="shared" si="67"/>
        <v>0.11782952815358583</v>
      </c>
      <c r="Q144" s="343">
        <f t="shared" si="68"/>
        <v>11.847602234757456</v>
      </c>
      <c r="R144" s="344">
        <f t="shared" si="69"/>
        <v>-102.61910942747284</v>
      </c>
      <c r="S144" s="346">
        <f t="shared" si="70"/>
        <v>77.380890572527164</v>
      </c>
      <c r="U144" s="319">
        <f t="shared" si="76"/>
        <v>1000000000</v>
      </c>
      <c r="V144" s="319">
        <f t="shared" si="77"/>
        <v>67616906.702500015</v>
      </c>
      <c r="X144" s="345">
        <f t="shared" si="71"/>
        <v>27.09562931440782</v>
      </c>
      <c r="Y144" s="346">
        <f t="shared" si="72"/>
        <v>-22.740506536800815</v>
      </c>
      <c r="AA144" s="345">
        <f t="shared" si="73"/>
        <v>48.36109420951226</v>
      </c>
      <c r="AB144" s="346">
        <f t="shared" si="74"/>
        <v>-79.878602890672042</v>
      </c>
      <c r="AD144">
        <f t="shared" si="78"/>
        <v>0</v>
      </c>
      <c r="AE144">
        <f t="shared" si="53"/>
        <v>0</v>
      </c>
    </row>
    <row r="145" spans="1:31" x14ac:dyDescent="0.25">
      <c r="A145" s="347">
        <v>8270.2750000000015</v>
      </c>
      <c r="B145" s="364">
        <f t="shared" si="75"/>
        <v>8.2702750000000016</v>
      </c>
      <c r="C145" s="337">
        <f t="shared" si="54"/>
        <v>3.7233172202312028</v>
      </c>
      <c r="D145" s="338">
        <f t="shared" si="55"/>
        <v>1.2988801444877967</v>
      </c>
      <c r="E145" s="338">
        <f t="shared" si="56"/>
        <v>1.0002247197139054</v>
      </c>
      <c r="F145" s="339">
        <f t="shared" si="57"/>
        <v>2.1198001769760919E-2</v>
      </c>
      <c r="G145" s="338">
        <f t="shared" si="58"/>
        <v>1</v>
      </c>
      <c r="H145" s="339">
        <f t="shared" si="59"/>
        <v>0</v>
      </c>
      <c r="I145" s="337">
        <f t="shared" si="60"/>
        <v>10977.813856392071</v>
      </c>
      <c r="J145" s="340">
        <f t="shared" si="61"/>
        <v>1.5707052339767396</v>
      </c>
      <c r="K145" s="348">
        <f t="shared" si="62"/>
        <v>3.2445891783670593</v>
      </c>
      <c r="L145" s="349">
        <f t="shared" si="63"/>
        <v>1.257490273493399</v>
      </c>
      <c r="M145" s="337">
        <f t="shared" si="64"/>
        <v>1.003409943312314</v>
      </c>
      <c r="N145" s="340">
        <f t="shared" si="65"/>
        <v>8.2465528109041966E-2</v>
      </c>
      <c r="O145" s="341">
        <f t="shared" si="66"/>
        <v>1.0013709068409871</v>
      </c>
      <c r="P145" s="342">
        <f t="shared" si="67"/>
        <v>0.11850896768913931</v>
      </c>
      <c r="Q145" s="343">
        <f t="shared" si="68"/>
        <v>11.796160242785474</v>
      </c>
      <c r="R145" s="344">
        <f t="shared" si="69"/>
        <v>-102.66668016934668</v>
      </c>
      <c r="S145" s="346">
        <f t="shared" si="70"/>
        <v>77.333319830653323</v>
      </c>
      <c r="U145" s="319">
        <f t="shared" si="76"/>
        <v>1000000000</v>
      </c>
      <c r="V145" s="319">
        <f t="shared" si="77"/>
        <v>68397448.575625017</v>
      </c>
      <c r="X145" s="345">
        <f t="shared" si="71"/>
        <v>27.090533451231877</v>
      </c>
      <c r="Y145" s="346">
        <f t="shared" si="72"/>
        <v>-22.670822057923026</v>
      </c>
      <c r="AA145" s="345">
        <f t="shared" si="73"/>
        <v>48.314748080716221</v>
      </c>
      <c r="AB145" s="346">
        <f t="shared" si="74"/>
        <v>-79.995858111423672</v>
      </c>
      <c r="AD145">
        <f t="shared" si="78"/>
        <v>0</v>
      </c>
      <c r="AE145">
        <f t="shared" si="53"/>
        <v>0</v>
      </c>
    </row>
    <row r="146" spans="1:31" x14ac:dyDescent="0.25">
      <c r="A146" s="347">
        <v>8317.6</v>
      </c>
      <c r="B146" s="364">
        <f t="shared" si="75"/>
        <v>8.3176000000000005</v>
      </c>
      <c r="C146" s="337">
        <f t="shared" si="54"/>
        <v>3.7430903369014263</v>
      </c>
      <c r="D146" s="338">
        <f t="shared" si="55"/>
        <v>1.3003527389208049</v>
      </c>
      <c r="E146" s="338">
        <f t="shared" si="56"/>
        <v>1.0002272986067635</v>
      </c>
      <c r="F146" s="339">
        <f t="shared" si="57"/>
        <v>2.1319266461685419E-2</v>
      </c>
      <c r="G146" s="338">
        <f t="shared" si="58"/>
        <v>1</v>
      </c>
      <c r="H146" s="339">
        <f t="shared" si="59"/>
        <v>0</v>
      </c>
      <c r="I146" s="337">
        <f t="shared" si="60"/>
        <v>11040.632207227447</v>
      </c>
      <c r="J146" s="340">
        <f t="shared" si="61"/>
        <v>1.5707057522713912</v>
      </c>
      <c r="K146" s="348">
        <f t="shared" si="62"/>
        <v>3.2613965921936363</v>
      </c>
      <c r="L146" s="349">
        <f t="shared" si="63"/>
        <v>1.2591594175051737</v>
      </c>
      <c r="M146" s="337">
        <f t="shared" si="64"/>
        <v>1.0034490131501141</v>
      </c>
      <c r="N146" s="340">
        <f t="shared" si="65"/>
        <v>8.2935265865676774E-2</v>
      </c>
      <c r="O146" s="341">
        <f t="shared" si="66"/>
        <v>1.0013868155337602</v>
      </c>
      <c r="P146" s="342">
        <f t="shared" si="67"/>
        <v>0.11918842940861886</v>
      </c>
      <c r="Q146" s="343">
        <f t="shared" si="68"/>
        <v>11.745017407601392</v>
      </c>
      <c r="R146" s="344">
        <f t="shared" si="69"/>
        <v>-102.71434472891758</v>
      </c>
      <c r="S146" s="346">
        <f t="shared" si="70"/>
        <v>77.285655271082419</v>
      </c>
      <c r="U146" s="319">
        <f t="shared" si="76"/>
        <v>1000000000</v>
      </c>
      <c r="V146" s="319">
        <f t="shared" si="77"/>
        <v>69182469.760000005</v>
      </c>
      <c r="X146" s="345">
        <f t="shared" si="71"/>
        <v>27.085511606008176</v>
      </c>
      <c r="Y146" s="346">
        <f t="shared" si="72"/>
        <v>-22.60213083759951</v>
      </c>
      <c r="AA146" s="345">
        <f t="shared" si="73"/>
        <v>48.268627090755842</v>
      </c>
      <c r="AB146" s="346">
        <f t="shared" si="74"/>
        <v>-80.11221389131812</v>
      </c>
      <c r="AD146">
        <f t="shared" si="78"/>
        <v>0</v>
      </c>
      <c r="AE146">
        <f t="shared" si="53"/>
        <v>0</v>
      </c>
    </row>
    <row r="147" spans="1:31" x14ac:dyDescent="0.25">
      <c r="A147" s="347">
        <v>8366.0499999999993</v>
      </c>
      <c r="B147" s="364">
        <f t="shared" si="75"/>
        <v>8.3660499999999995</v>
      </c>
      <c r="C147" s="337">
        <f t="shared" si="54"/>
        <v>3.7633418152898042</v>
      </c>
      <c r="D147" s="338">
        <f t="shared" si="55"/>
        <v>1.3018443056589795</v>
      </c>
      <c r="E147" s="338">
        <f t="shared" si="56"/>
        <v>1.0002299540415374</v>
      </c>
      <c r="F147" s="339">
        <f t="shared" si="57"/>
        <v>2.144341318283479E-2</v>
      </c>
      <c r="G147" s="338">
        <f t="shared" si="58"/>
        <v>1</v>
      </c>
      <c r="H147" s="339">
        <f t="shared" si="59"/>
        <v>0</v>
      </c>
      <c r="I147" s="337">
        <f t="shared" si="60"/>
        <v>11104.943862760838</v>
      </c>
      <c r="J147" s="340">
        <f t="shared" si="61"/>
        <v>1.5707062768123203</v>
      </c>
      <c r="K147" s="348">
        <f t="shared" si="62"/>
        <v>3.2786128636281084</v>
      </c>
      <c r="L147" s="349">
        <f t="shared" si="63"/>
        <v>1.2608505068363587</v>
      </c>
      <c r="M147" s="337">
        <f t="shared" si="64"/>
        <v>1.0034892411021117</v>
      </c>
      <c r="N147" s="340">
        <f t="shared" si="65"/>
        <v>8.3416132128797907E-2</v>
      </c>
      <c r="O147" s="341">
        <f t="shared" si="66"/>
        <v>1.0014032005698443</v>
      </c>
      <c r="P147" s="342">
        <f t="shared" si="67"/>
        <v>0.11988406625627131</v>
      </c>
      <c r="Q147" s="343">
        <f t="shared" si="68"/>
        <v>11.692965002914363</v>
      </c>
      <c r="R147" s="344">
        <f t="shared" si="69"/>
        <v>-102.76323856012702</v>
      </c>
      <c r="S147" s="346">
        <f t="shared" si="70"/>
        <v>77.236761439872978</v>
      </c>
      <c r="U147" s="319">
        <f t="shared" si="76"/>
        <v>1000000000</v>
      </c>
      <c r="V147" s="319">
        <f t="shared" si="77"/>
        <v>69990792.602499992</v>
      </c>
      <c r="X147" s="345">
        <f t="shared" si="71"/>
        <v>27.080445410068961</v>
      </c>
      <c r="Y147" s="346">
        <f t="shared" si="72"/>
        <v>-22.532820217432295</v>
      </c>
      <c r="AA147" s="345">
        <f t="shared" si="73"/>
        <v>48.221640882008032</v>
      </c>
      <c r="AB147" s="346">
        <f t="shared" si="74"/>
        <v>-80.230418342694705</v>
      </c>
      <c r="AD147">
        <f t="shared" si="78"/>
        <v>0</v>
      </c>
      <c r="AE147">
        <f t="shared" si="53"/>
        <v>0</v>
      </c>
    </row>
    <row r="148" spans="1:31" x14ac:dyDescent="0.25">
      <c r="A148" s="350">
        <v>8414.5</v>
      </c>
      <c r="B148" s="364">
        <f t="shared" si="75"/>
        <v>8.4145000000000003</v>
      </c>
      <c r="C148" s="337">
        <f t="shared" si="54"/>
        <v>3.7836015766150632</v>
      </c>
      <c r="D148" s="338">
        <f t="shared" si="55"/>
        <v>1.3033199020946398</v>
      </c>
      <c r="E148" s="338">
        <f t="shared" si="56"/>
        <v>1.0002326248921818</v>
      </c>
      <c r="F148" s="339">
        <f t="shared" si="57"/>
        <v>2.1567559242897074E-2</v>
      </c>
      <c r="G148" s="338">
        <f t="shared" si="58"/>
        <v>1</v>
      </c>
      <c r="H148" s="339">
        <f t="shared" si="59"/>
        <v>0</v>
      </c>
      <c r="I148" s="337">
        <f t="shared" si="60"/>
        <v>11169.255518297252</v>
      </c>
      <c r="J148" s="340">
        <f t="shared" si="61"/>
        <v>1.5707067953127223</v>
      </c>
      <c r="K148" s="348">
        <f t="shared" ref="K148:K157" si="79">SQRT(1+(A148/Zero2)^2)</f>
        <v>3.2958384132138212</v>
      </c>
      <c r="L148" s="349">
        <f t="shared" ref="L148:L157" si="80">ATAN(A148/Zero2)</f>
        <v>1.2625239241085935</v>
      </c>
      <c r="M148" s="337">
        <f t="shared" si="64"/>
        <v>1.0035297010746631</v>
      </c>
      <c r="N148" s="340">
        <f t="shared" si="65"/>
        <v>8.3896959728286369E-2</v>
      </c>
      <c r="O148" s="341">
        <f t="shared" si="66"/>
        <v>1.0014196849964114</v>
      </c>
      <c r="P148" s="342">
        <f t="shared" si="67"/>
        <v>0.12057972660907876</v>
      </c>
      <c r="Q148" s="343">
        <f t="shared" si="68"/>
        <v>11.64121865475652</v>
      </c>
      <c r="R148" s="344">
        <f t="shared" si="69"/>
        <v>-102.81222871806202</v>
      </c>
      <c r="S148" s="346">
        <f t="shared" si="70"/>
        <v>77.187771281937984</v>
      </c>
      <c r="U148" s="319">
        <f t="shared" si="76"/>
        <v>1000000000</v>
      </c>
      <c r="V148" s="319">
        <f t="shared" si="77"/>
        <v>70803810.25</v>
      </c>
      <c r="X148" s="345">
        <f t="shared" si="71"/>
        <v>27.075453483256183</v>
      </c>
      <c r="Y148" s="346">
        <f t="shared" si="72"/>
        <v>-22.464519570299707</v>
      </c>
      <c r="AA148" s="345">
        <f t="shared" si="73"/>
        <v>48.174886460662961</v>
      </c>
      <c r="AB148" s="346">
        <f t="shared" si="74"/>
        <v>-80.347709147762302</v>
      </c>
      <c r="AD148">
        <f t="shared" si="78"/>
        <v>0</v>
      </c>
      <c r="AE148">
        <f t="shared" si="53"/>
        <v>0</v>
      </c>
    </row>
    <row r="149" spans="1:31" x14ac:dyDescent="0.25">
      <c r="A149" s="350">
        <v>8462.9500000000007</v>
      </c>
      <c r="B149" s="364">
        <f t="shared" si="75"/>
        <v>8.4629500000000011</v>
      </c>
      <c r="C149" s="337">
        <f t="shared" si="54"/>
        <v>3.8038694885301383</v>
      </c>
      <c r="D149" s="338">
        <f t="shared" si="55"/>
        <v>1.3047797770306342</v>
      </c>
      <c r="E149" s="338">
        <f t="shared" si="56"/>
        <v>1.0002353111585731</v>
      </c>
      <c r="F149" s="339">
        <f t="shared" si="57"/>
        <v>2.1691704638050844E-2</v>
      </c>
      <c r="G149" s="338">
        <f t="shared" si="58"/>
        <v>1</v>
      </c>
      <c r="H149" s="339">
        <f t="shared" si="59"/>
        <v>0</v>
      </c>
      <c r="I149" s="337">
        <f t="shared" si="60"/>
        <v>11233.567173836633</v>
      </c>
      <c r="J149" s="340">
        <f t="shared" si="61"/>
        <v>1.5707073078763425</v>
      </c>
      <c r="K149" s="348">
        <f t="shared" si="79"/>
        <v>3.3130730962320367</v>
      </c>
      <c r="L149" s="349">
        <f t="shared" si="80"/>
        <v>1.2641799356672321</v>
      </c>
      <c r="M149" s="337">
        <f t="shared" si="64"/>
        <v>1.003570393039706</v>
      </c>
      <c r="N149" s="340">
        <f t="shared" si="65"/>
        <v>8.4377748446501907E-2</v>
      </c>
      <c r="O149" s="341">
        <f t="shared" si="66"/>
        <v>1.0014362688866525</v>
      </c>
      <c r="P149" s="342">
        <f t="shared" si="67"/>
        <v>0.12127541059532754</v>
      </c>
      <c r="Q149" s="343">
        <f t="shared" si="68"/>
        <v>11.589774673358111</v>
      </c>
      <c r="R149" s="344">
        <f t="shared" si="69"/>
        <v>-102.86131419865468</v>
      </c>
      <c r="S149" s="346">
        <f t="shared" si="70"/>
        <v>77.138685801345318</v>
      </c>
      <c r="U149" s="319">
        <f t="shared" si="76"/>
        <v>1000000000</v>
      </c>
      <c r="V149" s="319">
        <f t="shared" si="77"/>
        <v>71621522.702500015</v>
      </c>
      <c r="X149" s="345">
        <f t="shared" si="71"/>
        <v>27.070534215777467</v>
      </c>
      <c r="Y149" s="346">
        <f t="shared" si="72"/>
        <v>-22.397213629211347</v>
      </c>
      <c r="AA149" s="345">
        <f t="shared" si="73"/>
        <v>48.128361746743273</v>
      </c>
      <c r="AB149" s="346">
        <f t="shared" si="74"/>
        <v>-80.464100569443303</v>
      </c>
      <c r="AD149">
        <f t="shared" si="78"/>
        <v>0</v>
      </c>
      <c r="AE149">
        <f t="shared" si="53"/>
        <v>0</v>
      </c>
    </row>
    <row r="150" spans="1:31" x14ac:dyDescent="0.25">
      <c r="A150" s="350">
        <v>8511.4</v>
      </c>
      <c r="B150" s="364">
        <f t="shared" si="75"/>
        <v>8.5114000000000001</v>
      </c>
      <c r="C150" s="337">
        <f t="shared" si="54"/>
        <v>3.8241454214410284</v>
      </c>
      <c r="D150" s="338">
        <f t="shared" si="55"/>
        <v>1.3062241742643632</v>
      </c>
      <c r="E150" s="338">
        <f t="shared" si="56"/>
        <v>1.0002380128405874</v>
      </c>
      <c r="F150" s="339">
        <f t="shared" si="57"/>
        <v>2.1815849364474789E-2</v>
      </c>
      <c r="G150" s="338">
        <f t="shared" si="58"/>
        <v>1</v>
      </c>
      <c r="H150" s="339">
        <f t="shared" si="59"/>
        <v>0</v>
      </c>
      <c r="I150" s="337">
        <f t="shared" si="60"/>
        <v>11297.878829378929</v>
      </c>
      <c r="J150" s="340">
        <f t="shared" si="61"/>
        <v>1.5707078146045637</v>
      </c>
      <c r="K150" s="348">
        <f t="shared" si="79"/>
        <v>3.330316770883802</v>
      </c>
      <c r="L150" s="349">
        <f t="shared" si="80"/>
        <v>1.265818802727573</v>
      </c>
      <c r="M150" s="337">
        <f t="shared" si="64"/>
        <v>1.0036113169690215</v>
      </c>
      <c r="N150" s="340">
        <f t="shared" si="65"/>
        <v>8.485849806591135E-2</v>
      </c>
      <c r="O150" s="341">
        <f t="shared" si="66"/>
        <v>1.0014529523141749</v>
      </c>
      <c r="P150" s="342">
        <f t="shared" si="67"/>
        <v>0.1219711183431683</v>
      </c>
      <c r="Q150" s="343">
        <f t="shared" si="68"/>
        <v>11.538629434392698</v>
      </c>
      <c r="R150" s="344">
        <f t="shared" si="69"/>
        <v>-102.91049400483942</v>
      </c>
      <c r="S150" s="346">
        <f t="shared" si="70"/>
        <v>77.089505995160579</v>
      </c>
      <c r="U150" s="319">
        <f t="shared" si="76"/>
        <v>1000000000</v>
      </c>
      <c r="V150" s="319">
        <f t="shared" si="77"/>
        <v>72443929.959999993</v>
      </c>
      <c r="X150" s="345">
        <f t="shared" si="71"/>
        <v>27.065686039488234</v>
      </c>
      <c r="Y150" s="346">
        <f t="shared" si="72"/>
        <v>-22.330887420978129</v>
      </c>
      <c r="AA150" s="345">
        <f t="shared" si="73"/>
        <v>48.082064684067092</v>
      </c>
      <c r="AB150" s="346">
        <f t="shared" si="74"/>
        <v>-80.579606583861263</v>
      </c>
      <c r="AD150">
        <f t="shared" si="78"/>
        <v>0</v>
      </c>
      <c r="AE150">
        <f t="shared" si="53"/>
        <v>0</v>
      </c>
    </row>
    <row r="151" spans="1:31" x14ac:dyDescent="0.25">
      <c r="A151" s="350">
        <v>8560.9500000000007</v>
      </c>
      <c r="B151" s="364">
        <f t="shared" si="75"/>
        <v>8.5609500000000001</v>
      </c>
      <c r="C151" s="337">
        <f t="shared" si="54"/>
        <v>3.844889859430539</v>
      </c>
      <c r="D151" s="338">
        <f t="shared" si="55"/>
        <v>1.3076856049880541</v>
      </c>
      <c r="E151" s="338">
        <f t="shared" si="56"/>
        <v>1.0002407918055554</v>
      </c>
      <c r="F151" s="339">
        <f t="shared" si="57"/>
        <v>2.1942811954560527E-2</v>
      </c>
      <c r="G151" s="338">
        <f t="shared" si="58"/>
        <v>1</v>
      </c>
      <c r="H151" s="339">
        <f t="shared" si="59"/>
        <v>0</v>
      </c>
      <c r="I151" s="337">
        <f t="shared" si="60"/>
        <v>11363.650605070665</v>
      </c>
      <c r="J151" s="340">
        <f t="shared" si="61"/>
        <v>1.5707083269050686</v>
      </c>
      <c r="K151" s="348">
        <f t="shared" si="79"/>
        <v>3.3479610981709866</v>
      </c>
      <c r="L151" s="349">
        <f t="shared" si="80"/>
        <v>1.2674774125131689</v>
      </c>
      <c r="M151" s="337">
        <f t="shared" si="64"/>
        <v>1.0036534099219929</v>
      </c>
      <c r="N151" s="340">
        <f t="shared" si="65"/>
        <v>8.5350121870352333E-2</v>
      </c>
      <c r="O151" s="341">
        <f t="shared" si="66"/>
        <v>1.0014701175491008</v>
      </c>
      <c r="P151" s="342">
        <f t="shared" si="67"/>
        <v>0.12268264602369691</v>
      </c>
      <c r="Q151" s="343">
        <f t="shared" si="68"/>
        <v>11.486628286457631</v>
      </c>
      <c r="R151" s="344">
        <f t="shared" si="69"/>
        <v>-102.96088691113395</v>
      </c>
      <c r="S151" s="346">
        <f t="shared" si="70"/>
        <v>77.039113088866046</v>
      </c>
      <c r="U151" s="319">
        <f t="shared" si="76"/>
        <v>1000000000</v>
      </c>
      <c r="V151" s="319">
        <f t="shared" si="77"/>
        <v>73289864.902500018</v>
      </c>
      <c r="X151" s="345">
        <f t="shared" si="71"/>
        <v>27.060799729747337</v>
      </c>
      <c r="Y151" s="346">
        <f t="shared" si="72"/>
        <v>-22.264053402087423</v>
      </c>
      <c r="AA151" s="345">
        <f t="shared" si="73"/>
        <v>48.034949845872923</v>
      </c>
      <c r="AB151" s="346">
        <f t="shared" si="74"/>
        <v>-80.696833509046513</v>
      </c>
      <c r="AD151">
        <f t="shared" si="78"/>
        <v>0</v>
      </c>
      <c r="AE151">
        <f t="shared" si="53"/>
        <v>0</v>
      </c>
    </row>
    <row r="152" spans="1:31" x14ac:dyDescent="0.25">
      <c r="A152" s="350">
        <v>8610.5</v>
      </c>
      <c r="B152" s="364">
        <f t="shared" si="75"/>
        <v>8.6105</v>
      </c>
      <c r="C152" s="337">
        <f t="shared" si="54"/>
        <v>3.8656424211124274</v>
      </c>
      <c r="D152" s="338">
        <f t="shared" si="55"/>
        <v>1.3091313474958841</v>
      </c>
      <c r="E152" s="338">
        <f t="shared" si="56"/>
        <v>1.0002435868938142</v>
      </c>
      <c r="F152" s="339">
        <f t="shared" si="57"/>
        <v>2.2069773837122369E-2</v>
      </c>
      <c r="G152" s="338">
        <f t="shared" si="58"/>
        <v>1</v>
      </c>
      <c r="H152" s="339">
        <f t="shared" si="59"/>
        <v>0</v>
      </c>
      <c r="I152" s="337">
        <f t="shared" si="60"/>
        <v>11429.422380765349</v>
      </c>
      <c r="J152" s="340">
        <f t="shared" si="61"/>
        <v>1.5707088333094026</v>
      </c>
      <c r="K152" s="348">
        <f t="shared" si="79"/>
        <v>3.3656145390695897</v>
      </c>
      <c r="L152" s="349">
        <f t="shared" si="80"/>
        <v>1.2691186271764516</v>
      </c>
      <c r="M152" s="337">
        <f t="shared" si="64"/>
        <v>1.003695745431556</v>
      </c>
      <c r="N152" s="340">
        <f t="shared" si="65"/>
        <v>8.5841704320582621E-2</v>
      </c>
      <c r="O152" s="341">
        <f t="shared" si="66"/>
        <v>1.0014873870494241</v>
      </c>
      <c r="P152" s="342">
        <f t="shared" si="67"/>
        <v>0.1233941988277006</v>
      </c>
      <c r="Q152" s="343">
        <f t="shared" si="68"/>
        <v>11.43493213555236</v>
      </c>
      <c r="R152" s="344">
        <f t="shared" si="69"/>
        <v>-103.01137638872414</v>
      </c>
      <c r="S152" s="346">
        <f t="shared" si="70"/>
        <v>76.988623611275855</v>
      </c>
      <c r="U152" s="319">
        <f t="shared" si="76"/>
        <v>1000000000</v>
      </c>
      <c r="V152" s="319">
        <f t="shared" si="77"/>
        <v>74140710.25</v>
      </c>
      <c r="X152" s="345">
        <f t="shared" si="71"/>
        <v>27.055984586303524</v>
      </c>
      <c r="Y152" s="346">
        <f t="shared" si="72"/>
        <v>-22.198213343043069</v>
      </c>
      <c r="AA152" s="345">
        <f t="shared" si="73"/>
        <v>47.988068838411465</v>
      </c>
      <c r="AB152" s="346">
        <f t="shared" si="74"/>
        <v>-80.813163045681051</v>
      </c>
      <c r="AD152">
        <f t="shared" si="78"/>
        <v>0</v>
      </c>
      <c r="AE152">
        <f t="shared" si="53"/>
        <v>0</v>
      </c>
    </row>
    <row r="153" spans="1:31" x14ac:dyDescent="0.25">
      <c r="A153" s="350">
        <v>8660.0499999999993</v>
      </c>
      <c r="B153" s="364">
        <f t="shared" si="75"/>
        <v>8.66005</v>
      </c>
      <c r="C153" s="337">
        <f t="shared" si="54"/>
        <v>3.8864029763503511</v>
      </c>
      <c r="D153" s="338">
        <f t="shared" si="55"/>
        <v>1.3105616471072166</v>
      </c>
      <c r="E153" s="338">
        <f t="shared" si="56"/>
        <v>1.0002463981052292</v>
      </c>
      <c r="F153" s="339">
        <f t="shared" si="57"/>
        <v>2.2196735008073187E-2</v>
      </c>
      <c r="G153" s="338">
        <f t="shared" si="58"/>
        <v>1</v>
      </c>
      <c r="H153" s="339">
        <f t="shared" si="59"/>
        <v>0</v>
      </c>
      <c r="I153" s="337">
        <f t="shared" si="60"/>
        <v>11495.194156462931</v>
      </c>
      <c r="J153" s="340">
        <f t="shared" si="61"/>
        <v>1.5707093339187739</v>
      </c>
      <c r="K153" s="348">
        <f t="shared" si="79"/>
        <v>3.3832769509191687</v>
      </c>
      <c r="L153" s="349">
        <f t="shared" si="80"/>
        <v>1.2707427102399729</v>
      </c>
      <c r="M153" s="337">
        <f t="shared" si="64"/>
        <v>1.003738323467019</v>
      </c>
      <c r="N153" s="340">
        <f t="shared" si="65"/>
        <v>8.6333245184265009E-2</v>
      </c>
      <c r="O153" s="341">
        <f t="shared" si="66"/>
        <v>1.0015047608952314</v>
      </c>
      <c r="P153" s="342">
        <f t="shared" si="67"/>
        <v>0.12410577689181296</v>
      </c>
      <c r="Q153" s="343">
        <f t="shared" si="68"/>
        <v>11.383537307458752</v>
      </c>
      <c r="R153" s="344">
        <f t="shared" si="69"/>
        <v>-103.06196139519361</v>
      </c>
      <c r="S153" s="346">
        <f t="shared" si="70"/>
        <v>76.938038604806394</v>
      </c>
      <c r="U153" s="319">
        <f t="shared" si="76"/>
        <v>1000000000</v>
      </c>
      <c r="V153" s="319">
        <f t="shared" si="77"/>
        <v>74996466.002499983</v>
      </c>
      <c r="X153" s="345">
        <f t="shared" si="71"/>
        <v>27.051239058821253</v>
      </c>
      <c r="Y153" s="346">
        <f t="shared" si="72"/>
        <v>-22.133352137601893</v>
      </c>
      <c r="AA153" s="345">
        <f t="shared" si="73"/>
        <v>47.94141953780013</v>
      </c>
      <c r="AB153" s="346">
        <f t="shared" si="74"/>
        <v>-80.928609257591731</v>
      </c>
      <c r="AD153">
        <f t="shared" si="78"/>
        <v>0</v>
      </c>
      <c r="AE153">
        <f t="shared" si="53"/>
        <v>0</v>
      </c>
    </row>
    <row r="154" spans="1:31" x14ac:dyDescent="0.25">
      <c r="A154" s="350">
        <v>8709.6</v>
      </c>
      <c r="B154" s="364">
        <f t="shared" si="75"/>
        <v>8.7096</v>
      </c>
      <c r="C154" s="337">
        <f t="shared" si="54"/>
        <v>3.9071713977242601</v>
      </c>
      <c r="D154" s="338">
        <f t="shared" si="55"/>
        <v>1.3119767441812344</v>
      </c>
      <c r="E154" s="338">
        <f t="shared" si="56"/>
        <v>1.0002492254396638</v>
      </c>
      <c r="F154" s="339">
        <f t="shared" si="57"/>
        <v>2.232369546332599E-2</v>
      </c>
      <c r="G154" s="338">
        <f t="shared" si="58"/>
        <v>1</v>
      </c>
      <c r="H154" s="339">
        <f t="shared" si="59"/>
        <v>0</v>
      </c>
      <c r="I154" s="337">
        <f t="shared" si="60"/>
        <v>11560.965932163361</v>
      </c>
      <c r="J154" s="340">
        <f t="shared" si="61"/>
        <v>1.5707098288320867</v>
      </c>
      <c r="K154" s="348">
        <f t="shared" si="79"/>
        <v>3.4009481939510895</v>
      </c>
      <c r="L154" s="349">
        <f t="shared" si="80"/>
        <v>1.2723499201149411</v>
      </c>
      <c r="M154" s="337">
        <f t="shared" si="64"/>
        <v>1.0037811439975202</v>
      </c>
      <c r="N154" s="340">
        <f t="shared" si="65"/>
        <v>8.6824744229181933E-2</v>
      </c>
      <c r="O154" s="341">
        <f t="shared" si="66"/>
        <v>1.0015222391670646</v>
      </c>
      <c r="P154" s="342">
        <f t="shared" si="67"/>
        <v>0.1248173803525158</v>
      </c>
      <c r="Q154" s="343">
        <f t="shared" si="68"/>
        <v>11.332440193102366</v>
      </c>
      <c r="R154" s="344">
        <f t="shared" si="69"/>
        <v>-103.11264089665325</v>
      </c>
      <c r="S154" s="346">
        <f t="shared" si="70"/>
        <v>76.887359103346753</v>
      </c>
      <c r="U154" s="319">
        <f t="shared" si="76"/>
        <v>1000000000</v>
      </c>
      <c r="V154" s="319">
        <f t="shared" si="77"/>
        <v>75857132.160000011</v>
      </c>
      <c r="X154" s="345">
        <f t="shared" si="71"/>
        <v>27.046561637210075</v>
      </c>
      <c r="Y154" s="346">
        <f t="shared" si="72"/>
        <v>-22.06945497225394</v>
      </c>
      <c r="AA154" s="345">
        <f t="shared" si="73"/>
        <v>47.894999845054926</v>
      </c>
      <c r="AB154" s="346">
        <f t="shared" si="74"/>
        <v>-81.043185924399324</v>
      </c>
      <c r="AD154">
        <f t="shared" si="78"/>
        <v>0</v>
      </c>
      <c r="AE154">
        <f t="shared" ref="AE154:AE217" si="81">IF(AD154&gt;0,S154,0)</f>
        <v>0</v>
      </c>
    </row>
    <row r="155" spans="1:31" x14ac:dyDescent="0.25">
      <c r="A155" s="350">
        <v>8760.3250000000007</v>
      </c>
      <c r="B155" s="364">
        <f t="shared" si="75"/>
        <v>8.7603249999999999</v>
      </c>
      <c r="C155" s="337">
        <f t="shared" si="54"/>
        <v>3.9284403273086173</v>
      </c>
      <c r="D155" s="338">
        <f t="shared" si="55"/>
        <v>1.3134098963427046</v>
      </c>
      <c r="E155" s="338">
        <f t="shared" si="56"/>
        <v>1.0002521365207777</v>
      </c>
      <c r="F155" s="339">
        <f t="shared" si="57"/>
        <v>2.2453665839653969E-2</v>
      </c>
      <c r="G155" s="338">
        <f t="shared" si="58"/>
        <v>1</v>
      </c>
      <c r="H155" s="339">
        <f t="shared" si="59"/>
        <v>0</v>
      </c>
      <c r="I155" s="337">
        <f t="shared" si="60"/>
        <v>11628.297381659788</v>
      </c>
      <c r="J155" s="340">
        <f t="shared" si="61"/>
        <v>1.5707103296821285</v>
      </c>
      <c r="K155" s="348">
        <f t="shared" si="79"/>
        <v>3.4190474874346735</v>
      </c>
      <c r="L155" s="349">
        <f t="shared" si="80"/>
        <v>1.2739780288680318</v>
      </c>
      <c r="M155" s="337">
        <f t="shared" si="64"/>
        <v>1.0038252311056781</v>
      </c>
      <c r="N155" s="340">
        <f t="shared" si="65"/>
        <v>8.7327854837427207E-2</v>
      </c>
      <c r="O155" s="341">
        <f t="shared" si="66"/>
        <v>1.0015402401629128</v>
      </c>
      <c r="P155" s="342">
        <f t="shared" si="67"/>
        <v>0.12554588481493884</v>
      </c>
      <c r="Q155" s="343">
        <f t="shared" si="68"/>
        <v>11.280436077333926</v>
      </c>
      <c r="R155" s="344">
        <f t="shared" si="69"/>
        <v>-103.16461899492677</v>
      </c>
      <c r="S155" s="346">
        <f t="shared" si="70"/>
        <v>76.835381005073231</v>
      </c>
      <c r="U155" s="319">
        <f t="shared" si="76"/>
        <v>1000000000</v>
      </c>
      <c r="V155" s="319">
        <f t="shared" si="77"/>
        <v>76743294.105625018</v>
      </c>
      <c r="X155" s="345">
        <f t="shared" si="71"/>
        <v>27.041842309863409</v>
      </c>
      <c r="Y155" s="346">
        <f t="shared" si="72"/>
        <v>-22.005026023114201</v>
      </c>
      <c r="AA155" s="345">
        <f t="shared" si="73"/>
        <v>47.847715056633149</v>
      </c>
      <c r="AB155" s="346">
        <f t="shared" si="74"/>
        <v>-81.159592971812586</v>
      </c>
      <c r="AD155">
        <f t="shared" si="78"/>
        <v>0</v>
      </c>
      <c r="AE155">
        <f t="shared" si="81"/>
        <v>0</v>
      </c>
    </row>
    <row r="156" spans="1:31" x14ac:dyDescent="0.25">
      <c r="A156" s="350">
        <v>8811.0499999999993</v>
      </c>
      <c r="B156" s="364">
        <f t="shared" si="75"/>
        <v>8.8110499999999998</v>
      </c>
      <c r="C156" s="337">
        <f t="shared" si="54"/>
        <v>3.9497172387067074</v>
      </c>
      <c r="D156" s="338">
        <f t="shared" si="55"/>
        <v>1.3148276107648749</v>
      </c>
      <c r="E156" s="338">
        <f t="shared" si="56"/>
        <v>1.0002550644983512</v>
      </c>
      <c r="F156" s="339">
        <f t="shared" si="57"/>
        <v>2.2583635457270802E-2</v>
      </c>
      <c r="G156" s="338">
        <f t="shared" si="58"/>
        <v>1</v>
      </c>
      <c r="H156" s="339">
        <f t="shared" si="59"/>
        <v>0</v>
      </c>
      <c r="I156" s="337">
        <f t="shared" si="60"/>
        <v>11695.628831159096</v>
      </c>
      <c r="J156" s="340">
        <f t="shared" si="61"/>
        <v>1.5707108247654074</v>
      </c>
      <c r="K156" s="348">
        <f t="shared" si="79"/>
        <v>3.4371557484563535</v>
      </c>
      <c r="L156" s="349">
        <f t="shared" si="80"/>
        <v>1.275588986845307</v>
      </c>
      <c r="M156" s="337">
        <f t="shared" si="64"/>
        <v>1.0038695722800084</v>
      </c>
      <c r="N156" s="340">
        <f t="shared" si="65"/>
        <v>8.7830921127952349E-2</v>
      </c>
      <c r="O156" s="341">
        <f t="shared" si="66"/>
        <v>1.0015583507683803</v>
      </c>
      <c r="P156" s="342">
        <f t="shared" si="67"/>
        <v>0.1262744161816769</v>
      </c>
      <c r="Q156" s="343">
        <f t="shared" si="68"/>
        <v>11.228736510764836</v>
      </c>
      <c r="R156" s="344">
        <f t="shared" si="69"/>
        <v>-103.2166939583081</v>
      </c>
      <c r="S156" s="346">
        <f t="shared" si="70"/>
        <v>76.783306041691901</v>
      </c>
      <c r="U156" s="319">
        <f t="shared" si="76"/>
        <v>1000000000</v>
      </c>
      <c r="V156" s="319">
        <f t="shared" si="77"/>
        <v>77634602.102499992</v>
      </c>
      <c r="X156" s="345">
        <f t="shared" si="71"/>
        <v>27.037191278045562</v>
      </c>
      <c r="Y156" s="346">
        <f t="shared" si="72"/>
        <v>-21.94157687141568</v>
      </c>
      <c r="AA156" s="345">
        <f t="shared" si="73"/>
        <v>47.800666521881908</v>
      </c>
      <c r="AB156" s="346">
        <f t="shared" si="74"/>
        <v>-81.275117086892394</v>
      </c>
      <c r="AD156">
        <f t="shared" si="78"/>
        <v>0</v>
      </c>
      <c r="AE156">
        <f t="shared" si="81"/>
        <v>0</v>
      </c>
    </row>
    <row r="157" spans="1:31" x14ac:dyDescent="0.25">
      <c r="A157" s="350">
        <v>8861.7749999999996</v>
      </c>
      <c r="B157" s="364">
        <f t="shared" si="75"/>
        <v>8.8617749999999997</v>
      </c>
      <c r="C157" s="337">
        <f t="shared" si="54"/>
        <v>3.9710020036171549</v>
      </c>
      <c r="D157" s="338">
        <f t="shared" si="55"/>
        <v>1.3162301299436134</v>
      </c>
      <c r="E157" s="338">
        <f t="shared" si="56"/>
        <v>1.0002580093722355</v>
      </c>
      <c r="F157" s="339">
        <f t="shared" si="57"/>
        <v>2.2713604311792267E-2</v>
      </c>
      <c r="G157" s="338">
        <f t="shared" si="58"/>
        <v>1</v>
      </c>
      <c r="H157" s="339">
        <f t="shared" si="59"/>
        <v>0</v>
      </c>
      <c r="I157" s="337">
        <f t="shared" si="60"/>
        <v>11762.96028066124</v>
      </c>
      <c r="J157" s="340">
        <f t="shared" si="61"/>
        <v>1.5707113141809503</v>
      </c>
      <c r="K157" s="348">
        <f t="shared" si="79"/>
        <v>3.4552728360259466</v>
      </c>
      <c r="L157" s="349">
        <f t="shared" si="80"/>
        <v>1.2771830553997336</v>
      </c>
      <c r="M157" s="337">
        <f t="shared" si="64"/>
        <v>1.0039141674868461</v>
      </c>
      <c r="N157" s="340">
        <f t="shared" si="65"/>
        <v>8.833394285201894E-2</v>
      </c>
      <c r="O157" s="341">
        <f t="shared" si="66"/>
        <v>1.0015765710713576</v>
      </c>
      <c r="P157" s="342">
        <f t="shared" si="67"/>
        <v>0.12700297459865303</v>
      </c>
      <c r="Q157" s="343">
        <f t="shared" si="68"/>
        <v>11.177337823808243</v>
      </c>
      <c r="R157" s="344">
        <f t="shared" si="69"/>
        <v>-103.26886470639909</v>
      </c>
      <c r="S157" s="346">
        <f t="shared" si="70"/>
        <v>76.731135293600914</v>
      </c>
      <c r="U157" s="319">
        <f t="shared" si="76"/>
        <v>1000000000</v>
      </c>
      <c r="V157" s="319">
        <f t="shared" si="77"/>
        <v>78531056.15062499</v>
      </c>
      <c r="X157" s="345">
        <f t="shared" si="71"/>
        <v>27.032607044844038</v>
      </c>
      <c r="Y157" s="346">
        <f t="shared" si="72"/>
        <v>-21.879092534158556</v>
      </c>
      <c r="AA157" s="345">
        <f t="shared" si="73"/>
        <v>47.753852068126825</v>
      </c>
      <c r="AB157" s="346">
        <f t="shared" si="74"/>
        <v>-81.389772172240498</v>
      </c>
      <c r="AD157">
        <f t="shared" si="78"/>
        <v>0</v>
      </c>
      <c r="AE157">
        <f t="shared" si="81"/>
        <v>0</v>
      </c>
    </row>
    <row r="158" spans="1:31" x14ac:dyDescent="0.25">
      <c r="A158" s="347">
        <v>8912.5</v>
      </c>
      <c r="B158" s="364">
        <f t="shared" si="75"/>
        <v>8.9124999999999996</v>
      </c>
      <c r="C158" s="337">
        <f t="shared" si="54"/>
        <v>3.9922944964278626</v>
      </c>
      <c r="D158" s="338">
        <f t="shared" si="55"/>
        <v>1.3176176914434743</v>
      </c>
      <c r="E158" s="338">
        <f t="shared" si="56"/>
        <v>1.0002609711422819</v>
      </c>
      <c r="F158" s="339">
        <f t="shared" si="57"/>
        <v>2.2843572398834267E-2</v>
      </c>
      <c r="G158" s="338">
        <f t="shared" si="58"/>
        <v>1</v>
      </c>
      <c r="H158" s="339">
        <f t="shared" si="59"/>
        <v>0</v>
      </c>
      <c r="I158" s="337">
        <f t="shared" si="60"/>
        <v>11830.291730166173</v>
      </c>
      <c r="J158" s="340">
        <f t="shared" si="61"/>
        <v>1.5707117980255307</v>
      </c>
      <c r="K158" s="348">
        <f t="shared" ref="K158:K214" si="82">SQRT(1+(A158/Zero2)^2)</f>
        <v>3.4733986120268501</v>
      </c>
      <c r="L158" s="349">
        <f t="shared" ref="L158:L214" si="83">ATAN(A158/Zero2)</f>
        <v>1.2787604907761796</v>
      </c>
      <c r="M158" s="337">
        <f t="shared" si="64"/>
        <v>1.0039590166923398</v>
      </c>
      <c r="N158" s="340">
        <f t="shared" si="65"/>
        <v>8.8836919761022828E-2</v>
      </c>
      <c r="O158" s="341">
        <f t="shared" si="66"/>
        <v>1.0015949011602332</v>
      </c>
      <c r="P158" s="342">
        <f t="shared" si="67"/>
        <v>0.1277315602116196</v>
      </c>
      <c r="Q158" s="343">
        <f t="shared" si="68"/>
        <v>11.126236411972323</v>
      </c>
      <c r="R158" s="344">
        <f t="shared" si="69"/>
        <v>-103.32113016879958</v>
      </c>
      <c r="S158" s="346">
        <f t="shared" si="70"/>
        <v>76.678869831200416</v>
      </c>
      <c r="U158" s="319">
        <f t="shared" si="76"/>
        <v>1000000000</v>
      </c>
      <c r="V158" s="319">
        <f t="shared" si="77"/>
        <v>79432656.25</v>
      </c>
      <c r="X158" s="345">
        <f t="shared" si="71"/>
        <v>27.028088152368387</v>
      </c>
      <c r="Y158" s="346">
        <f t="shared" si="72"/>
        <v>-21.817558320894118</v>
      </c>
      <c r="AA158" s="345">
        <f t="shared" si="73"/>
        <v>47.707269548766568</v>
      </c>
      <c r="AB158" s="346">
        <f t="shared" si="74"/>
        <v>-81.503571847905448</v>
      </c>
      <c r="AD158">
        <f t="shared" si="78"/>
        <v>0</v>
      </c>
      <c r="AE158">
        <f t="shared" si="81"/>
        <v>0</v>
      </c>
    </row>
    <row r="159" spans="1:31" x14ac:dyDescent="0.25">
      <c r="A159" s="347">
        <v>8964.4</v>
      </c>
      <c r="B159" s="364">
        <f t="shared" si="75"/>
        <v>8.9643999999999995</v>
      </c>
      <c r="C159" s="337">
        <f t="shared" si="54"/>
        <v>4.014088081325581</v>
      </c>
      <c r="D159" s="338">
        <f t="shared" si="55"/>
        <v>1.3190221559068331</v>
      </c>
      <c r="E159" s="338">
        <f t="shared" si="56"/>
        <v>1.0002640190067409</v>
      </c>
      <c r="F159" s="339">
        <f t="shared" si="57"/>
        <v>2.2976550283349183E-2</v>
      </c>
      <c r="G159" s="338">
        <f t="shared" si="58"/>
        <v>1</v>
      </c>
      <c r="H159" s="339">
        <f t="shared" si="59"/>
        <v>0</v>
      </c>
      <c r="I159" s="337">
        <f t="shared" si="60"/>
        <v>11899.182853467295</v>
      </c>
      <c r="J159" s="340">
        <f t="shared" si="61"/>
        <v>1.5707122874105548</v>
      </c>
      <c r="K159" s="348">
        <f t="shared" si="82"/>
        <v>3.4919531072180274</v>
      </c>
      <c r="L159" s="349">
        <f t="shared" si="83"/>
        <v>1.2803575125078026</v>
      </c>
      <c r="M159" s="337">
        <f t="shared" si="64"/>
        <v>1.0040051676470025</v>
      </c>
      <c r="N159" s="340">
        <f t="shared" si="65"/>
        <v>8.9351501044240625E-2</v>
      </c>
      <c r="O159" s="341">
        <f t="shared" si="66"/>
        <v>1.0016137695721996</v>
      </c>
      <c r="P159" s="342">
        <f t="shared" si="67"/>
        <v>0.12847705116942615</v>
      </c>
      <c r="Q159" s="343">
        <f t="shared" si="68"/>
        <v>11.074255272120432</v>
      </c>
      <c r="R159" s="344">
        <f t="shared" si="69"/>
        <v>-103.37470323951212</v>
      </c>
      <c r="S159" s="346">
        <f t="shared" si="70"/>
        <v>76.625296760487885</v>
      </c>
      <c r="U159" s="319">
        <f t="shared" si="76"/>
        <v>1000000000</v>
      </c>
      <c r="V159" s="319">
        <f t="shared" si="77"/>
        <v>80360467.359999999</v>
      </c>
      <c r="X159" s="345">
        <f t="shared" si="71"/>
        <v>27.023530731406463</v>
      </c>
      <c r="Y159" s="346">
        <f t="shared" si="72"/>
        <v>-21.755567091251859</v>
      </c>
      <c r="AA159" s="345">
        <f t="shared" si="73"/>
        <v>47.659845829876595</v>
      </c>
      <c r="AB159" s="346">
        <f t="shared" si="74"/>
        <v>-81.619136148260282</v>
      </c>
      <c r="AD159">
        <f t="shared" si="78"/>
        <v>0</v>
      </c>
      <c r="AE159">
        <f t="shared" si="81"/>
        <v>0</v>
      </c>
    </row>
    <row r="160" spans="1:31" x14ac:dyDescent="0.25">
      <c r="A160" s="347">
        <v>9016.2999999999993</v>
      </c>
      <c r="B160" s="364">
        <f t="shared" si="75"/>
        <v>9.0162999999999993</v>
      </c>
      <c r="C160" s="337">
        <f t="shared" si="54"/>
        <v>4.0358894985728435</v>
      </c>
      <c r="D160" s="338">
        <f t="shared" si="55"/>
        <v>1.3204114495705646</v>
      </c>
      <c r="E160" s="338">
        <f t="shared" si="56"/>
        <v>1.0002670845588784</v>
      </c>
      <c r="F160" s="339">
        <f t="shared" si="57"/>
        <v>2.3109527355131953E-2</v>
      </c>
      <c r="G160" s="338">
        <f t="shared" si="58"/>
        <v>1</v>
      </c>
      <c r="H160" s="339">
        <f t="shared" si="59"/>
        <v>0</v>
      </c>
      <c r="I160" s="337">
        <f t="shared" si="60"/>
        <v>11968.073976771238</v>
      </c>
      <c r="J160" s="340">
        <f t="shared" si="61"/>
        <v>1.5707127711615421</v>
      </c>
      <c r="K160" s="348">
        <f t="shared" si="82"/>
        <v>3.5105164144018484</v>
      </c>
      <c r="L160" s="349">
        <f t="shared" si="83"/>
        <v>1.2819376484085037</v>
      </c>
      <c r="M160" s="337">
        <f t="shared" si="64"/>
        <v>1.0040515844316256</v>
      </c>
      <c r="N160" s="340">
        <f t="shared" si="65"/>
        <v>8.9866034886041085E-2</v>
      </c>
      <c r="O160" s="341">
        <f t="shared" si="66"/>
        <v>1.0016327531039673</v>
      </c>
      <c r="P160" s="342">
        <f t="shared" si="67"/>
        <v>0.12922257090590766</v>
      </c>
      <c r="Q160" s="343">
        <f t="shared" si="68"/>
        <v>11.022577907079143</v>
      </c>
      <c r="R160" s="344">
        <f t="shared" si="69"/>
        <v>-103.42837322874293</v>
      </c>
      <c r="S160" s="346">
        <f t="shared" si="70"/>
        <v>76.571626771257073</v>
      </c>
      <c r="U160" s="319">
        <f t="shared" si="76"/>
        <v>1000000000</v>
      </c>
      <c r="V160" s="319">
        <f t="shared" si="77"/>
        <v>81293665.689999983</v>
      </c>
      <c r="X160" s="345">
        <f t="shared" si="71"/>
        <v>27.019038745551018</v>
      </c>
      <c r="Y160" s="346">
        <f t="shared" si="72"/>
        <v>-21.694540307456574</v>
      </c>
      <c r="AA160" s="345">
        <f t="shared" si="73"/>
        <v>47.612660450690754</v>
      </c>
      <c r="AB160" s="346">
        <f t="shared" si="74"/>
        <v>-81.733832921286336</v>
      </c>
      <c r="AD160">
        <f t="shared" si="78"/>
        <v>0</v>
      </c>
      <c r="AE160">
        <f t="shared" si="81"/>
        <v>0</v>
      </c>
    </row>
    <row r="161" spans="1:31" x14ac:dyDescent="0.25">
      <c r="A161" s="347">
        <v>9068.2000000000007</v>
      </c>
      <c r="B161" s="364">
        <f t="shared" si="75"/>
        <v>9.0682000000000009</v>
      </c>
      <c r="C161" s="337">
        <f t="shared" si="54"/>
        <v>4.0576986219234685</v>
      </c>
      <c r="D161" s="338">
        <f t="shared" si="55"/>
        <v>1.3217858116457963</v>
      </c>
      <c r="E161" s="338">
        <f t="shared" si="56"/>
        <v>1.0002701677985317</v>
      </c>
      <c r="F161" s="339">
        <f t="shared" si="57"/>
        <v>2.3242503609487236E-2</v>
      </c>
      <c r="G161" s="338">
        <f t="shared" si="58"/>
        <v>1</v>
      </c>
      <c r="H161" s="339">
        <f t="shared" si="59"/>
        <v>0</v>
      </c>
      <c r="I161" s="337">
        <f t="shared" si="60"/>
        <v>12036.96510007795</v>
      </c>
      <c r="J161" s="340">
        <f t="shared" si="61"/>
        <v>1.5707132493752285</v>
      </c>
      <c r="K161" s="348">
        <f t="shared" si="82"/>
        <v>3.5290883945228084</v>
      </c>
      <c r="L161" s="349">
        <f t="shared" si="83"/>
        <v>1.2835011571119905</v>
      </c>
      <c r="M161" s="337">
        <f t="shared" si="64"/>
        <v>1.0040982670093428</v>
      </c>
      <c r="N161" s="340">
        <f t="shared" si="65"/>
        <v>9.0380521020581833E-2</v>
      </c>
      <c r="O161" s="341">
        <f t="shared" si="66"/>
        <v>1.0016518518518331</v>
      </c>
      <c r="P161" s="342">
        <f t="shared" si="67"/>
        <v>0.12996811957662072</v>
      </c>
      <c r="Q161" s="343">
        <f t="shared" si="68"/>
        <v>10.971200657856087</v>
      </c>
      <c r="R161" s="344">
        <f t="shared" si="69"/>
        <v>-103.48213902315277</v>
      </c>
      <c r="S161" s="346">
        <f t="shared" si="70"/>
        <v>76.517860976847231</v>
      </c>
      <c r="U161" s="319">
        <f t="shared" si="76"/>
        <v>1000000000</v>
      </c>
      <c r="V161" s="319">
        <f t="shared" si="77"/>
        <v>82232251.24000001</v>
      </c>
      <c r="X161" s="345">
        <f t="shared" si="71"/>
        <v>27.014610752406902</v>
      </c>
      <c r="Y161" s="346">
        <f t="shared" si="72"/>
        <v>-21.63446314119928</v>
      </c>
      <c r="AA161" s="345">
        <f t="shared" si="73"/>
        <v>47.565711194611815</v>
      </c>
      <c r="AB161" s="346">
        <f t="shared" si="74"/>
        <v>-81.847675881953478</v>
      </c>
      <c r="AD161">
        <f t="shared" si="78"/>
        <v>0</v>
      </c>
      <c r="AE161">
        <f t="shared" si="81"/>
        <v>0</v>
      </c>
    </row>
    <row r="162" spans="1:31" x14ac:dyDescent="0.25">
      <c r="A162" s="347">
        <v>9120.1</v>
      </c>
      <c r="B162" s="364">
        <f t="shared" si="75"/>
        <v>9.1201000000000008</v>
      </c>
      <c r="C162" s="337">
        <f t="shared" si="54"/>
        <v>4.0795153277867762</v>
      </c>
      <c r="D162" s="338">
        <f t="shared" si="55"/>
        <v>1.3231454764549309</v>
      </c>
      <c r="E162" s="338">
        <f t="shared" si="56"/>
        <v>1.0002732687255373</v>
      </c>
      <c r="F162" s="339">
        <f t="shared" si="57"/>
        <v>2.3375479041719851E-2</v>
      </c>
      <c r="G162" s="338">
        <f t="shared" si="58"/>
        <v>1</v>
      </c>
      <c r="H162" s="339">
        <f t="shared" si="59"/>
        <v>0</v>
      </c>
      <c r="I162" s="337">
        <f t="shared" si="60"/>
        <v>12105.856223387384</v>
      </c>
      <c r="J162" s="340">
        <f t="shared" si="61"/>
        <v>1.5707137221461478</v>
      </c>
      <c r="K162" s="348">
        <f t="shared" si="82"/>
        <v>3.5476689113729196</v>
      </c>
      <c r="L162" s="349">
        <f t="shared" si="83"/>
        <v>1.2850482921626889</v>
      </c>
      <c r="M162" s="337">
        <f t="shared" si="64"/>
        <v>1.0041452153430841</v>
      </c>
      <c r="N162" s="340">
        <f t="shared" si="65"/>
        <v>9.0894959182170817E-2</v>
      </c>
      <c r="O162" s="341">
        <f t="shared" si="66"/>
        <v>1.0016710659126409</v>
      </c>
      <c r="P162" s="342">
        <f t="shared" si="67"/>
        <v>0.13071369733693039</v>
      </c>
      <c r="Q162" s="343">
        <f t="shared" si="68"/>
        <v>10.920119930358423</v>
      </c>
      <c r="R162" s="344">
        <f t="shared" si="69"/>
        <v>-103.53599952076497</v>
      </c>
      <c r="S162" s="346">
        <f t="shared" si="70"/>
        <v>76.464000479235025</v>
      </c>
      <c r="U162" s="319">
        <f t="shared" si="76"/>
        <v>1000000000</v>
      </c>
      <c r="V162" s="319">
        <f t="shared" si="77"/>
        <v>83176224.010000005</v>
      </c>
      <c r="X162" s="345">
        <f t="shared" si="71"/>
        <v>27.01024534731291</v>
      </c>
      <c r="Y162" s="346">
        <f t="shared" si="72"/>
        <v>-21.575321055647791</v>
      </c>
      <c r="AA162" s="345">
        <f t="shared" si="73"/>
        <v>47.518995872208137</v>
      </c>
      <c r="AB162" s="346">
        <f t="shared" si="74"/>
        <v>-81.960678465117198</v>
      </c>
      <c r="AD162">
        <f t="shared" si="78"/>
        <v>0</v>
      </c>
      <c r="AE162">
        <f t="shared" si="81"/>
        <v>0</v>
      </c>
    </row>
    <row r="163" spans="1:31" x14ac:dyDescent="0.25">
      <c r="A163" s="347">
        <v>9173.2000000000007</v>
      </c>
      <c r="B163" s="364">
        <f t="shared" si="75"/>
        <v>9.1732000000000014</v>
      </c>
      <c r="C163" s="337">
        <f t="shared" si="54"/>
        <v>4.1018441874900153</v>
      </c>
      <c r="D163" s="338">
        <f t="shared" si="55"/>
        <v>1.3245216070547736</v>
      </c>
      <c r="E163" s="338">
        <f t="shared" si="56"/>
        <v>1.00027645965562</v>
      </c>
      <c r="F163" s="339">
        <f t="shared" si="57"/>
        <v>2.3511528194668403E-2</v>
      </c>
      <c r="G163" s="338">
        <f t="shared" si="58"/>
        <v>1</v>
      </c>
      <c r="H163" s="339">
        <f t="shared" si="59"/>
        <v>0</v>
      </c>
      <c r="I163" s="337">
        <f t="shared" si="60"/>
        <v>12176.340205041999</v>
      </c>
      <c r="J163" s="340">
        <f t="shared" si="61"/>
        <v>1.5707142003115457</v>
      </c>
      <c r="K163" s="348">
        <f t="shared" si="82"/>
        <v>3.5666877314890115</v>
      </c>
      <c r="L163" s="349">
        <f t="shared" si="83"/>
        <v>1.2866145124364678</v>
      </c>
      <c r="M163" s="337">
        <f t="shared" si="64"/>
        <v>1.0041935241925892</v>
      </c>
      <c r="N163" s="340">
        <f t="shared" si="65"/>
        <v>9.1421241941211942E-2</v>
      </c>
      <c r="O163" s="341">
        <f t="shared" si="66"/>
        <v>1.0016908436738217</v>
      </c>
      <c r="P163" s="342">
        <f t="shared" si="67"/>
        <v>0.13147654415747856</v>
      </c>
      <c r="Q163" s="343">
        <f t="shared" si="68"/>
        <v>10.868161348662952</v>
      </c>
      <c r="R163" s="344">
        <f t="shared" si="69"/>
        <v>-103.59120222352733</v>
      </c>
      <c r="S163" s="346">
        <f t="shared" si="70"/>
        <v>76.408797776472667</v>
      </c>
      <c r="U163" s="319">
        <f t="shared" si="76"/>
        <v>1000000000</v>
      </c>
      <c r="V163" s="319">
        <f t="shared" si="77"/>
        <v>84147598.24000001</v>
      </c>
      <c r="X163" s="345">
        <f t="shared" si="71"/>
        <v>27.005842356860015</v>
      </c>
      <c r="Y163" s="346">
        <f t="shared" si="72"/>
        <v>-21.515764421887148</v>
      </c>
      <c r="AA163" s="345">
        <f t="shared" si="73"/>
        <v>47.471440280965567</v>
      </c>
      <c r="AB163" s="346">
        <f t="shared" si="74"/>
        <v>-82.075437801640206</v>
      </c>
      <c r="AD163">
        <f t="shared" si="78"/>
        <v>0</v>
      </c>
      <c r="AE163">
        <f t="shared" si="81"/>
        <v>0</v>
      </c>
    </row>
    <row r="164" spans="1:31" x14ac:dyDescent="0.25">
      <c r="A164" s="347">
        <v>9226.2999999999993</v>
      </c>
      <c r="B164" s="364">
        <f t="shared" si="75"/>
        <v>9.2262999999999984</v>
      </c>
      <c r="C164" s="337">
        <f t="shared" si="54"/>
        <v>4.1241807308805072</v>
      </c>
      <c r="D164" s="338">
        <f t="shared" si="55"/>
        <v>1.325882833975526</v>
      </c>
      <c r="E164" s="338">
        <f t="shared" si="56"/>
        <v>1.0002796691000733</v>
      </c>
      <c r="F164" s="339">
        <f t="shared" si="57"/>
        <v>2.3647576477094867E-2</v>
      </c>
      <c r="G164" s="338">
        <f t="shared" si="58"/>
        <v>1</v>
      </c>
      <c r="H164" s="339">
        <f t="shared" si="59"/>
        <v>0</v>
      </c>
      <c r="I164" s="337">
        <f t="shared" si="60"/>
        <v>12246.824186699363</v>
      </c>
      <c r="J164" s="340">
        <f t="shared" si="61"/>
        <v>1.5707146729729859</v>
      </c>
      <c r="K164" s="348">
        <f t="shared" si="82"/>
        <v>3.5857152080285979</v>
      </c>
      <c r="L164" s="349">
        <f t="shared" si="83"/>
        <v>1.2881641142880744</v>
      </c>
      <c r="M164" s="337">
        <f t="shared" si="64"/>
        <v>1.0042421111503281</v>
      </c>
      <c r="N164" s="340">
        <f t="shared" si="65"/>
        <v>9.1947473921066517E-2</v>
      </c>
      <c r="O164" s="341">
        <f t="shared" si="66"/>
        <v>1.0017107423488238</v>
      </c>
      <c r="P164" s="342">
        <f t="shared" si="67"/>
        <v>0.13223942175676631</v>
      </c>
      <c r="Q164" s="343">
        <f t="shared" si="68"/>
        <v>10.816505749330673</v>
      </c>
      <c r="R164" s="344">
        <f t="shared" si="69"/>
        <v>-103.64650176241389</v>
      </c>
      <c r="S164" s="346">
        <f t="shared" si="70"/>
        <v>76.353498237586109</v>
      </c>
      <c r="U164" s="319">
        <f t="shared" si="76"/>
        <v>1000000000</v>
      </c>
      <c r="V164" s="319">
        <f t="shared" si="77"/>
        <v>85124611.689999983</v>
      </c>
      <c r="X164" s="345">
        <f t="shared" si="71"/>
        <v>27.001502023417011</v>
      </c>
      <c r="Y164" s="346">
        <f t="shared" si="72"/>
        <v>-21.457156728793613</v>
      </c>
      <c r="AA164" s="345">
        <f t="shared" si="73"/>
        <v>47.424125015076292</v>
      </c>
      <c r="AB164" s="346">
        <f t="shared" si="74"/>
        <v>-82.189345033620285</v>
      </c>
      <c r="AD164">
        <f t="shared" si="78"/>
        <v>0</v>
      </c>
      <c r="AE164">
        <f t="shared" si="81"/>
        <v>0</v>
      </c>
    </row>
    <row r="165" spans="1:31" x14ac:dyDescent="0.25">
      <c r="A165" s="347">
        <v>9279.4</v>
      </c>
      <c r="B165" s="364">
        <f t="shared" si="75"/>
        <v>9.279399999999999</v>
      </c>
      <c r="C165" s="337">
        <f t="shared" si="54"/>
        <v>4.1465248337865566</v>
      </c>
      <c r="D165" s="338">
        <f t="shared" si="55"/>
        <v>1.327229393062858</v>
      </c>
      <c r="E165" s="338">
        <f t="shared" si="56"/>
        <v>1.0002828970587194</v>
      </c>
      <c r="F165" s="339">
        <f t="shared" si="57"/>
        <v>2.3783623883971386E-2</v>
      </c>
      <c r="G165" s="338">
        <f t="shared" si="58"/>
        <v>1</v>
      </c>
      <c r="H165" s="339">
        <f t="shared" si="59"/>
        <v>0</v>
      </c>
      <c r="I165" s="337">
        <f t="shared" si="60"/>
        <v>12317.308168359436</v>
      </c>
      <c r="J165" s="340">
        <f t="shared" si="61"/>
        <v>1.5707151402249553</v>
      </c>
      <c r="K165" s="348">
        <f t="shared" si="82"/>
        <v>3.6047512039143483</v>
      </c>
      <c r="L165" s="349">
        <f t="shared" si="83"/>
        <v>1.2896973534920313</v>
      </c>
      <c r="M165" s="337">
        <f t="shared" si="64"/>
        <v>1.0042909761759362</v>
      </c>
      <c r="N165" s="340">
        <f t="shared" si="65"/>
        <v>9.2473654837677388E-2</v>
      </c>
      <c r="O165" s="341">
        <f t="shared" si="66"/>
        <v>1.0017307620431402</v>
      </c>
      <c r="P165" s="342">
        <f t="shared" si="67"/>
        <v>0.13300233030055783</v>
      </c>
      <c r="Q165" s="343">
        <f t="shared" si="68"/>
        <v>10.765149484346871</v>
      </c>
      <c r="R165" s="344">
        <f t="shared" si="69"/>
        <v>-103.70189699450953</v>
      </c>
      <c r="S165" s="346">
        <f t="shared" si="70"/>
        <v>76.298103005490475</v>
      </c>
      <c r="U165" s="319">
        <f t="shared" si="76"/>
        <v>1000000000</v>
      </c>
      <c r="V165" s="319">
        <f t="shared" si="77"/>
        <v>86107264.359999999</v>
      </c>
      <c r="X165" s="345">
        <f t="shared" si="71"/>
        <v>26.997222957812387</v>
      </c>
      <c r="Y165" s="346">
        <f t="shared" si="72"/>
        <v>-21.399483310704923</v>
      </c>
      <c r="AA165" s="345">
        <f t="shared" si="73"/>
        <v>47.377047815697111</v>
      </c>
      <c r="AB165" s="346">
        <f t="shared" si="74"/>
        <v>-82.302413683804602</v>
      </c>
      <c r="AD165">
        <f t="shared" si="78"/>
        <v>0</v>
      </c>
      <c r="AE165">
        <f t="shared" si="81"/>
        <v>0</v>
      </c>
    </row>
    <row r="166" spans="1:31" x14ac:dyDescent="0.25">
      <c r="A166" s="347">
        <v>9332.5</v>
      </c>
      <c r="B166" s="364">
        <f t="shared" si="75"/>
        <v>9.3324999999999996</v>
      </c>
      <c r="C166" s="337">
        <f t="shared" si="54"/>
        <v>4.1688763746569988</v>
      </c>
      <c r="D166" s="338">
        <f t="shared" si="55"/>
        <v>1.3285615153198127</v>
      </c>
      <c r="E166" s="338">
        <f t="shared" si="56"/>
        <v>1.0002861435313786</v>
      </c>
      <c r="F166" s="339">
        <f t="shared" si="57"/>
        <v>2.391967041027028E-2</v>
      </c>
      <c r="G166" s="338">
        <f t="shared" si="58"/>
        <v>1</v>
      </c>
      <c r="H166" s="339">
        <f t="shared" si="59"/>
        <v>0</v>
      </c>
      <c r="I166" s="337">
        <f t="shared" si="60"/>
        <v>12387.792150022169</v>
      </c>
      <c r="J166" s="340">
        <f t="shared" si="61"/>
        <v>1.5707156021597901</v>
      </c>
      <c r="K166" s="348">
        <f t="shared" si="82"/>
        <v>3.6237955848884944</v>
      </c>
      <c r="L166" s="349">
        <f t="shared" si="83"/>
        <v>1.2912144807574506</v>
      </c>
      <c r="M166" s="337">
        <f t="shared" si="64"/>
        <v>1.0043401192288266</v>
      </c>
      <c r="N166" s="340">
        <f t="shared" si="65"/>
        <v>9.2999784407155617E-2</v>
      </c>
      <c r="O166" s="341">
        <f t="shared" si="66"/>
        <v>1.0017509028628626</v>
      </c>
      <c r="P166" s="342">
        <f t="shared" si="67"/>
        <v>0.13376526995440269</v>
      </c>
      <c r="Q166" s="343">
        <f t="shared" si="68"/>
        <v>10.714088970385941</v>
      </c>
      <c r="R166" s="344">
        <f t="shared" si="69"/>
        <v>-103.75738678953783</v>
      </c>
      <c r="S166" s="346">
        <f t="shared" si="70"/>
        <v>76.242613210462167</v>
      </c>
      <c r="U166" s="319">
        <f t="shared" si="76"/>
        <v>1000000000</v>
      </c>
      <c r="V166" s="319">
        <f t="shared" si="77"/>
        <v>87095556.25</v>
      </c>
      <c r="X166" s="345">
        <f t="shared" si="71"/>
        <v>26.993003807338635</v>
      </c>
      <c r="Y166" s="346">
        <f t="shared" si="72"/>
        <v>-21.342729792071907</v>
      </c>
      <c r="AA166" s="345">
        <f t="shared" si="73"/>
        <v>47.330206452209929</v>
      </c>
      <c r="AB166" s="346">
        <f t="shared" si="74"/>
        <v>-82.414656997465954</v>
      </c>
      <c r="AD166">
        <f t="shared" si="78"/>
        <v>0</v>
      </c>
      <c r="AE166">
        <f t="shared" si="81"/>
        <v>0</v>
      </c>
    </row>
    <row r="167" spans="1:31" x14ac:dyDescent="0.25">
      <c r="A167" s="347">
        <v>9386.85</v>
      </c>
      <c r="B167" s="364">
        <f t="shared" si="75"/>
        <v>9.3868500000000008</v>
      </c>
      <c r="C167" s="337">
        <f t="shared" si="54"/>
        <v>4.1917616602242287</v>
      </c>
      <c r="D167" s="338">
        <f t="shared" si="55"/>
        <v>1.329910281925752</v>
      </c>
      <c r="E167" s="338">
        <f t="shared" si="56"/>
        <v>1.0002894856002924</v>
      </c>
      <c r="F167" s="339">
        <f t="shared" si="57"/>
        <v>2.4058918621249665E-2</v>
      </c>
      <c r="G167" s="338">
        <f t="shared" si="58"/>
        <v>1</v>
      </c>
      <c r="H167" s="339">
        <f t="shared" si="59"/>
        <v>0</v>
      </c>
      <c r="I167" s="337">
        <f t="shared" si="60"/>
        <v>12459.935359127876</v>
      </c>
      <c r="J167" s="340">
        <f t="shared" si="61"/>
        <v>1.5707160695566165</v>
      </c>
      <c r="K167" s="348">
        <f t="shared" si="82"/>
        <v>3.6432968261700744</v>
      </c>
      <c r="L167" s="349">
        <f t="shared" si="83"/>
        <v>1.2927508930921774</v>
      </c>
      <c r="M167" s="337">
        <f t="shared" si="64"/>
        <v>1.0043907070123137</v>
      </c>
      <c r="N167" s="340">
        <f t="shared" si="65"/>
        <v>9.3538245853728538E-2</v>
      </c>
      <c r="O167" s="341">
        <f t="shared" si="66"/>
        <v>1.0017716433546935</v>
      </c>
      <c r="P167" s="342">
        <f t="shared" si="67"/>
        <v>0.13454620197101871</v>
      </c>
      <c r="Q167" s="343">
        <f t="shared" si="68"/>
        <v>10.662129069435089</v>
      </c>
      <c r="R167" s="344">
        <f t="shared" si="69"/>
        <v>-103.81427960332921</v>
      </c>
      <c r="S167" s="346">
        <f t="shared" si="70"/>
        <v>76.185720396670789</v>
      </c>
      <c r="U167" s="319">
        <f t="shared" si="76"/>
        <v>1000000000</v>
      </c>
      <c r="V167" s="319">
        <f t="shared" si="77"/>
        <v>88112952.922499999</v>
      </c>
      <c r="X167" s="345">
        <f t="shared" si="71"/>
        <v>26.988746008629594</v>
      </c>
      <c r="Y167" s="346">
        <f t="shared" si="72"/>
        <v>-21.285578197819561</v>
      </c>
      <c r="AA167" s="345">
        <f t="shared" si="73"/>
        <v>47.282504349968129</v>
      </c>
      <c r="AB167" s="346">
        <f t="shared" si="74"/>
        <v>-82.528701405509636</v>
      </c>
      <c r="AD167">
        <f t="shared" si="78"/>
        <v>0</v>
      </c>
      <c r="AE167">
        <f t="shared" si="81"/>
        <v>0</v>
      </c>
    </row>
    <row r="168" spans="1:31" x14ac:dyDescent="0.25">
      <c r="A168" s="347">
        <v>9441.2000000000007</v>
      </c>
      <c r="B168" s="364">
        <f t="shared" si="75"/>
        <v>9.4412000000000003</v>
      </c>
      <c r="C168" s="337">
        <f t="shared" si="54"/>
        <v>4.2146544885039239</v>
      </c>
      <c r="D168" s="338">
        <f t="shared" si="55"/>
        <v>1.3312443986883316</v>
      </c>
      <c r="E168" s="338">
        <f t="shared" si="56"/>
        <v>1.0002928470647539</v>
      </c>
      <c r="F168" s="339">
        <f t="shared" si="57"/>
        <v>2.4198165899047292E-2</v>
      </c>
      <c r="G168" s="338">
        <f t="shared" si="58"/>
        <v>1</v>
      </c>
      <c r="H168" s="339">
        <f t="shared" si="59"/>
        <v>0</v>
      </c>
      <c r="I168" s="337">
        <f t="shared" si="60"/>
        <v>12532.078568236277</v>
      </c>
      <c r="J168" s="340">
        <f t="shared" si="61"/>
        <v>1.5707165315721316</v>
      </c>
      <c r="K168" s="348">
        <f t="shared" si="82"/>
        <v>3.6628065760936526</v>
      </c>
      <c r="L168" s="349">
        <f t="shared" si="83"/>
        <v>1.2942709417415053</v>
      </c>
      <c r="M168" s="337">
        <f t="shared" si="64"/>
        <v>1.0044415859801925</v>
      </c>
      <c r="N168" s="340">
        <f t="shared" si="65"/>
        <v>9.4076652905959596E-2</v>
      </c>
      <c r="O168" s="341">
        <f t="shared" si="66"/>
        <v>1.0017925109685806</v>
      </c>
      <c r="P168" s="342">
        <f t="shared" si="67"/>
        <v>0.13532716692988025</v>
      </c>
      <c r="Q168" s="343">
        <f t="shared" si="68"/>
        <v>10.610471612368293</v>
      </c>
      <c r="R168" s="344">
        <f t="shared" si="69"/>
        <v>-103.87126912906264</v>
      </c>
      <c r="S168" s="346">
        <f t="shared" si="70"/>
        <v>76.12873087093736</v>
      </c>
      <c r="U168" s="319">
        <f t="shared" si="76"/>
        <v>1000000000</v>
      </c>
      <c r="V168" s="319">
        <f t="shared" si="77"/>
        <v>89136257.440000013</v>
      </c>
      <c r="X168" s="345">
        <f t="shared" si="71"/>
        <v>26.984548223666756</v>
      </c>
      <c r="Y168" s="346">
        <f t="shared" si="72"/>
        <v>-21.229360748786277</v>
      </c>
      <c r="AA168" s="345">
        <f t="shared" si="73"/>
        <v>47.235044677864167</v>
      </c>
      <c r="AB168" s="346">
        <f t="shared" si="74"/>
        <v>-82.641908380276348</v>
      </c>
      <c r="AD168">
        <f t="shared" si="78"/>
        <v>0</v>
      </c>
      <c r="AE168">
        <f t="shared" si="81"/>
        <v>0</v>
      </c>
    </row>
    <row r="169" spans="1:31" x14ac:dyDescent="0.25">
      <c r="A169" s="347">
        <v>9495.5499999999993</v>
      </c>
      <c r="B169" s="364">
        <f t="shared" si="75"/>
        <v>9.4955499999999997</v>
      </c>
      <c r="C169" s="337">
        <f t="shared" si="54"/>
        <v>4.2375547372505702</v>
      </c>
      <c r="D169" s="338">
        <f t="shared" si="55"/>
        <v>1.3325640983280371</v>
      </c>
      <c r="E169" s="338">
        <f t="shared" si="56"/>
        <v>1.0002962279245671</v>
      </c>
      <c r="F169" s="339">
        <f t="shared" si="57"/>
        <v>2.4337412238272644E-2</v>
      </c>
      <c r="G169" s="338">
        <f t="shared" si="58"/>
        <v>1</v>
      </c>
      <c r="H169" s="339">
        <f t="shared" si="59"/>
        <v>0</v>
      </c>
      <c r="I169" s="337">
        <f t="shared" si="60"/>
        <v>12604.221777347318</v>
      </c>
      <c r="J169" s="340">
        <f t="shared" si="61"/>
        <v>1.5707169882987393</v>
      </c>
      <c r="K169" s="348">
        <f t="shared" si="82"/>
        <v>3.6823246994173719</v>
      </c>
      <c r="L169" s="349">
        <f t="shared" si="83"/>
        <v>1.2957748798313835</v>
      </c>
      <c r="M169" s="337">
        <f t="shared" si="64"/>
        <v>1.0044927560882162</v>
      </c>
      <c r="N169" s="340">
        <f t="shared" si="65"/>
        <v>9.461500525998888E-2</v>
      </c>
      <c r="O169" s="341">
        <f t="shared" si="66"/>
        <v>1.0018135058202309</v>
      </c>
      <c r="P169" s="342">
        <f t="shared" si="67"/>
        <v>0.13610816500779951</v>
      </c>
      <c r="Q169" s="343">
        <f t="shared" si="68"/>
        <v>10.559112957612577</v>
      </c>
      <c r="R169" s="344">
        <f t="shared" si="69"/>
        <v>-103.92835419591512</v>
      </c>
      <c r="S169" s="346">
        <f t="shared" si="70"/>
        <v>76.071645804084881</v>
      </c>
      <c r="U169" s="319">
        <f t="shared" si="76"/>
        <v>1000000000</v>
      </c>
      <c r="V169" s="319">
        <f t="shared" si="77"/>
        <v>90165469.80249998</v>
      </c>
      <c r="X169" s="345">
        <f t="shared" si="71"/>
        <v>26.980409113394042</v>
      </c>
      <c r="Y169" s="346">
        <f t="shared" si="72"/>
        <v>-21.174062929807917</v>
      </c>
      <c r="AA169" s="345">
        <f t="shared" si="73"/>
        <v>47.18782513338116</v>
      </c>
      <c r="AB169" s="346">
        <f t="shared" si="74"/>
        <v>-82.754291266107174</v>
      </c>
      <c r="AD169">
        <f t="shared" si="78"/>
        <v>0</v>
      </c>
      <c r="AE169">
        <f t="shared" si="81"/>
        <v>0</v>
      </c>
    </row>
    <row r="170" spans="1:31" x14ac:dyDescent="0.25">
      <c r="A170" s="347">
        <v>9549.9</v>
      </c>
      <c r="B170" s="364">
        <f t="shared" si="75"/>
        <v>9.5498999999999992</v>
      </c>
      <c r="C170" s="337">
        <f t="shared" si="54"/>
        <v>4.2604622868077611</v>
      </c>
      <c r="D170" s="338">
        <f t="shared" si="55"/>
        <v>1.3338696087635253</v>
      </c>
      <c r="E170" s="338">
        <f t="shared" si="56"/>
        <v>1.000299628179536</v>
      </c>
      <c r="F170" s="339">
        <f t="shared" si="57"/>
        <v>2.4476657633535421E-2</v>
      </c>
      <c r="G170" s="338">
        <f t="shared" si="58"/>
        <v>1</v>
      </c>
      <c r="H170" s="339">
        <f t="shared" si="59"/>
        <v>0</v>
      </c>
      <c r="I170" s="337">
        <f t="shared" si="60"/>
        <v>12676.364986460962</v>
      </c>
      <c r="J170" s="340">
        <f t="shared" si="61"/>
        <v>1.5707174398267394</v>
      </c>
      <c r="K170" s="348">
        <f t="shared" si="82"/>
        <v>3.701851063694209</v>
      </c>
      <c r="L170" s="349">
        <f t="shared" si="83"/>
        <v>1.2972629554420141</v>
      </c>
      <c r="M170" s="337">
        <f t="shared" si="64"/>
        <v>1.0045442172918939</v>
      </c>
      <c r="N170" s="340">
        <f t="shared" si="65"/>
        <v>9.5153302612145052E-2</v>
      </c>
      <c r="O170" s="341">
        <f t="shared" si="66"/>
        <v>1.0018346280260073</v>
      </c>
      <c r="P170" s="342">
        <f t="shared" si="67"/>
        <v>0.13688919638134819</v>
      </c>
      <c r="Q170" s="343">
        <f t="shared" si="68"/>
        <v>10.508049528175116</v>
      </c>
      <c r="R170" s="344">
        <f t="shared" si="69"/>
        <v>-103.9855336469155</v>
      </c>
      <c r="S170" s="346">
        <f t="shared" si="70"/>
        <v>76.014466353084501</v>
      </c>
      <c r="U170" s="319">
        <f t="shared" si="76"/>
        <v>1000000000</v>
      </c>
      <c r="V170" s="319">
        <f t="shared" si="77"/>
        <v>91200590.00999999</v>
      </c>
      <c r="X170" s="345">
        <f t="shared" si="71"/>
        <v>26.976327374032103</v>
      </c>
      <c r="Y170" s="346">
        <f t="shared" si="72"/>
        <v>-21.119670514710645</v>
      </c>
      <c r="AA170" s="345">
        <f t="shared" si="73"/>
        <v>47.140843443305648</v>
      </c>
      <c r="AB170" s="346">
        <f t="shared" si="74"/>
        <v>-82.865863132204879</v>
      </c>
      <c r="AD170">
        <f t="shared" si="78"/>
        <v>0</v>
      </c>
      <c r="AE170">
        <f t="shared" si="81"/>
        <v>0</v>
      </c>
    </row>
    <row r="171" spans="1:31" x14ac:dyDescent="0.25">
      <c r="A171" s="347">
        <v>9605.5249999999996</v>
      </c>
      <c r="B171" s="364">
        <f t="shared" si="75"/>
        <v>9.6055250000000001</v>
      </c>
      <c r="C171" s="337">
        <f t="shared" si="54"/>
        <v>4.2839146634848824</v>
      </c>
      <c r="D171" s="338">
        <f t="shared" si="55"/>
        <v>1.3351912857756936</v>
      </c>
      <c r="E171" s="338">
        <f t="shared" si="56"/>
        <v>1.0003031282840698</v>
      </c>
      <c r="F171" s="339">
        <f t="shared" si="57"/>
        <v>2.4619168612044495E-2</v>
      </c>
      <c r="G171" s="338">
        <f t="shared" si="58"/>
        <v>1</v>
      </c>
      <c r="H171" s="339">
        <f t="shared" si="59"/>
        <v>0</v>
      </c>
      <c r="I171" s="337">
        <f t="shared" si="60"/>
        <v>12750.200607566576</v>
      </c>
      <c r="J171" s="340">
        <f t="shared" si="61"/>
        <v>1.5707178966562811</v>
      </c>
      <c r="K171" s="348">
        <f t="shared" si="82"/>
        <v>3.7218438960054381</v>
      </c>
      <c r="L171" s="349">
        <f t="shared" si="83"/>
        <v>1.2987697686058306</v>
      </c>
      <c r="M171" s="337">
        <f t="shared" si="64"/>
        <v>1.0045971870994348</v>
      </c>
      <c r="N171" s="340">
        <f t="shared" si="65"/>
        <v>9.5704170645918088E-2</v>
      </c>
      <c r="O171" s="341">
        <f t="shared" si="66"/>
        <v>1.0018563777316123</v>
      </c>
      <c r="P171" s="342">
        <f t="shared" si="67"/>
        <v>0.13768858467845599</v>
      </c>
      <c r="Q171" s="343">
        <f t="shared" si="68"/>
        <v>10.456090227104609</v>
      </c>
      <c r="R171" s="344">
        <f t="shared" si="69"/>
        <v>-104.04415101267992</v>
      </c>
      <c r="S171" s="346">
        <f t="shared" si="70"/>
        <v>75.955848987320081</v>
      </c>
      <c r="U171" s="319">
        <f t="shared" si="76"/>
        <v>1000000000</v>
      </c>
      <c r="V171" s="319">
        <f t="shared" si="77"/>
        <v>92266110.52562499</v>
      </c>
      <c r="X171" s="345">
        <f t="shared" si="71"/>
        <v>26.97220796169529</v>
      </c>
      <c r="Y171" s="346">
        <f t="shared" si="72"/>
        <v>-21.064925067655203</v>
      </c>
      <c r="AA171" s="345">
        <f t="shared" si="73"/>
        <v>47.093003554571951</v>
      </c>
      <c r="AB171" s="346">
        <f t="shared" si="74"/>
        <v>-82.979225945024695</v>
      </c>
      <c r="AD171">
        <f t="shared" si="78"/>
        <v>0</v>
      </c>
      <c r="AE171">
        <f t="shared" si="81"/>
        <v>0</v>
      </c>
    </row>
    <row r="172" spans="1:31" x14ac:dyDescent="0.25">
      <c r="A172" s="347">
        <v>9661.15</v>
      </c>
      <c r="B172" s="364">
        <f t="shared" si="75"/>
        <v>9.6611499999999992</v>
      </c>
      <c r="C172" s="337">
        <f t="shared" si="54"/>
        <v>4.3073744419372257</v>
      </c>
      <c r="D172" s="338">
        <f t="shared" si="55"/>
        <v>1.3364985682295578</v>
      </c>
      <c r="E172" s="338">
        <f t="shared" si="56"/>
        <v>1.0003066487039962</v>
      </c>
      <c r="F172" s="339">
        <f t="shared" si="57"/>
        <v>2.4761678590358459E-2</v>
      </c>
      <c r="G172" s="338">
        <f t="shared" si="58"/>
        <v>1</v>
      </c>
      <c r="H172" s="339">
        <f t="shared" si="59"/>
        <v>0</v>
      </c>
      <c r="I172" s="337">
        <f t="shared" si="60"/>
        <v>12824.03622867482</v>
      </c>
      <c r="J172" s="340">
        <f t="shared" si="61"/>
        <v>1.5707183482253433</v>
      </c>
      <c r="K172" s="348">
        <f t="shared" si="82"/>
        <v>3.7418450883980641</v>
      </c>
      <c r="L172" s="349">
        <f t="shared" si="83"/>
        <v>1.3002604764616095</v>
      </c>
      <c r="M172" s="337">
        <f t="shared" si="64"/>
        <v>1.0046504617254084</v>
      </c>
      <c r="N172" s="340">
        <f t="shared" si="65"/>
        <v>9.6254980423939152E-2</v>
      </c>
      <c r="O172" s="341">
        <f t="shared" si="66"/>
        <v>1.0018782610853816</v>
      </c>
      <c r="P172" s="342">
        <f t="shared" si="67"/>
        <v>0.13848800822515148</v>
      </c>
      <c r="Q172" s="343">
        <f t="shared" si="68"/>
        <v>10.40443278450814</v>
      </c>
      <c r="R172" s="344">
        <f t="shared" si="69"/>
        <v>-104.10286483493149</v>
      </c>
      <c r="S172" s="346">
        <f t="shared" si="70"/>
        <v>75.897135165068505</v>
      </c>
      <c r="U172" s="319">
        <f t="shared" si="76"/>
        <v>1000000000</v>
      </c>
      <c r="V172" s="319">
        <f t="shared" si="77"/>
        <v>93337819.32249999</v>
      </c>
      <c r="X172" s="345">
        <f t="shared" si="71"/>
        <v>26.968145988705885</v>
      </c>
      <c r="Y172" s="346">
        <f t="shared" si="72"/>
        <v>-21.011098747567139</v>
      </c>
      <c r="AA172" s="345">
        <f t="shared" si="73"/>
        <v>47.045408084964883</v>
      </c>
      <c r="AB172" s="346">
        <f t="shared" si="74"/>
        <v>-83.091766087364348</v>
      </c>
      <c r="AD172">
        <f t="shared" si="78"/>
        <v>0</v>
      </c>
      <c r="AE172">
        <f t="shared" si="81"/>
        <v>0</v>
      </c>
    </row>
    <row r="173" spans="1:31" x14ac:dyDescent="0.25">
      <c r="A173" s="347">
        <v>9716.7749999999996</v>
      </c>
      <c r="B173" s="364">
        <f t="shared" si="75"/>
        <v>9.7167750000000002</v>
      </c>
      <c r="C173" s="337">
        <f t="shared" si="54"/>
        <v>4.3308415018805428</v>
      </c>
      <c r="D173" s="338">
        <f t="shared" si="55"/>
        <v>1.3377916856148544</v>
      </c>
      <c r="E173" s="338">
        <f t="shared" si="56"/>
        <v>1.0003101894391013</v>
      </c>
      <c r="F173" s="339">
        <f t="shared" si="57"/>
        <v>2.4904187562699409E-2</v>
      </c>
      <c r="G173" s="338">
        <f t="shared" si="58"/>
        <v>1</v>
      </c>
      <c r="H173" s="339">
        <f t="shared" si="59"/>
        <v>0</v>
      </c>
      <c r="I173" s="337">
        <f t="shared" si="60"/>
        <v>12897.871849785652</v>
      </c>
      <c r="J173" s="340">
        <f t="shared" si="61"/>
        <v>1.5707187946242682</v>
      </c>
      <c r="K173" s="348">
        <f t="shared" si="82"/>
        <v>3.7618545075243524</v>
      </c>
      <c r="L173" s="349">
        <f t="shared" si="83"/>
        <v>1.3017353293245211</v>
      </c>
      <c r="M173" s="337">
        <f t="shared" si="64"/>
        <v>1.0047040411213255</v>
      </c>
      <c r="N173" s="340">
        <f t="shared" si="65"/>
        <v>9.6805731621280117E-2</v>
      </c>
      <c r="O173" s="341">
        <f t="shared" si="66"/>
        <v>1.0019002782141933</v>
      </c>
      <c r="P173" s="342">
        <f t="shared" si="67"/>
        <v>0.13928746720993376</v>
      </c>
      <c r="Q173" s="343">
        <f t="shared" si="68"/>
        <v>10.353073566116123</v>
      </c>
      <c r="R173" s="344">
        <f t="shared" si="69"/>
        <v>-104.16167391815132</v>
      </c>
      <c r="S173" s="346">
        <f t="shared" si="70"/>
        <v>75.838326081848678</v>
      </c>
      <c r="U173" s="319">
        <f t="shared" si="76"/>
        <v>1000000000</v>
      </c>
      <c r="V173" s="319">
        <f t="shared" si="77"/>
        <v>94415716.40062499</v>
      </c>
      <c r="X173" s="345">
        <f t="shared" si="71"/>
        <v>26.96414016512054</v>
      </c>
      <c r="Y173" s="346">
        <f t="shared" si="72"/>
        <v>-20.958177199002833</v>
      </c>
      <c r="AA173" s="345">
        <f t="shared" si="73"/>
        <v>46.998054690158213</v>
      </c>
      <c r="AB173" s="346">
        <f t="shared" si="74"/>
        <v>-83.203496719148475</v>
      </c>
      <c r="AD173">
        <f t="shared" si="78"/>
        <v>0</v>
      </c>
      <c r="AE173">
        <f t="shared" si="81"/>
        <v>0</v>
      </c>
    </row>
    <row r="174" spans="1:31" x14ac:dyDescent="0.25">
      <c r="A174" s="347">
        <v>9772.4</v>
      </c>
      <c r="B174" s="364">
        <f t="shared" si="75"/>
        <v>9.7723999999999993</v>
      </c>
      <c r="C174" s="337">
        <f t="shared" si="54"/>
        <v>4.3543157255866811</v>
      </c>
      <c r="D174" s="338">
        <f t="shared" si="55"/>
        <v>1.3390708626643806</v>
      </c>
      <c r="E174" s="338">
        <f t="shared" si="56"/>
        <v>1.000313750489169</v>
      </c>
      <c r="F174" s="339">
        <f t="shared" si="57"/>
        <v>2.5046695523289683E-2</v>
      </c>
      <c r="G174" s="338">
        <f t="shared" si="58"/>
        <v>1</v>
      </c>
      <c r="H174" s="339">
        <f t="shared" si="59"/>
        <v>0</v>
      </c>
      <c r="I174" s="337">
        <f t="shared" si="60"/>
        <v>12971.707470899022</v>
      </c>
      <c r="J174" s="340">
        <f t="shared" si="61"/>
        <v>1.5707192359413422</v>
      </c>
      <c r="K174" s="348">
        <f t="shared" si="82"/>
        <v>3.7818720228044005</v>
      </c>
      <c r="L174" s="349">
        <f t="shared" si="83"/>
        <v>1.3031945724892269</v>
      </c>
      <c r="M174" s="337">
        <f t="shared" si="64"/>
        <v>1.0047579252384296</v>
      </c>
      <c r="N174" s="340">
        <f t="shared" si="65"/>
        <v>9.7356423913224119E-2</v>
      </c>
      <c r="O174" s="341">
        <f t="shared" si="66"/>
        <v>1.0019224292456432</v>
      </c>
      <c r="P174" s="342">
        <f t="shared" si="67"/>
        <v>0.14008696182103186</v>
      </c>
      <c r="Q174" s="343">
        <f t="shared" si="68"/>
        <v>10.302009002104624</v>
      </c>
      <c r="R174" s="344">
        <f t="shared" si="69"/>
        <v>-104.22057708180057</v>
      </c>
      <c r="S174" s="346">
        <f t="shared" si="70"/>
        <v>75.77942291819943</v>
      </c>
      <c r="U174" s="319">
        <f t="shared" si="76"/>
        <v>1000000000</v>
      </c>
      <c r="V174" s="319">
        <f t="shared" si="77"/>
        <v>95499801.75999999</v>
      </c>
      <c r="X174" s="345">
        <f t="shared" si="71"/>
        <v>26.960189235095783</v>
      </c>
      <c r="Y174" s="346">
        <f t="shared" si="72"/>
        <v>-20.906146354066969</v>
      </c>
      <c r="AA174" s="345">
        <f t="shared" si="73"/>
        <v>46.950941056171473</v>
      </c>
      <c r="AB174" s="346">
        <f t="shared" si="74"/>
        <v>-83.314430727733608</v>
      </c>
      <c r="AD174">
        <f t="shared" si="78"/>
        <v>0</v>
      </c>
      <c r="AE174">
        <f t="shared" si="81"/>
        <v>0</v>
      </c>
    </row>
    <row r="175" spans="1:31" x14ac:dyDescent="0.25">
      <c r="A175" s="347">
        <v>9829.2999999999993</v>
      </c>
      <c r="B175" s="364">
        <f t="shared" si="75"/>
        <v>9.8292999999999999</v>
      </c>
      <c r="C175" s="337">
        <f t="shared" si="54"/>
        <v>4.3783353019727045</v>
      </c>
      <c r="D175" s="338">
        <f t="shared" si="55"/>
        <v>1.3403651663156579</v>
      </c>
      <c r="E175" s="338">
        <f t="shared" si="56"/>
        <v>1.0003174141818485</v>
      </c>
      <c r="F175" s="339">
        <f t="shared" si="57"/>
        <v>2.5192468905656518E-2</v>
      </c>
      <c r="G175" s="338">
        <f t="shared" si="58"/>
        <v>1</v>
      </c>
      <c r="H175" s="339">
        <f t="shared" si="59"/>
        <v>0</v>
      </c>
      <c r="I175" s="337">
        <f t="shared" si="60"/>
        <v>13047.23550400454</v>
      </c>
      <c r="J175" s="340">
        <f t="shared" si="61"/>
        <v>1.5707196822060354</v>
      </c>
      <c r="K175" s="348">
        <f t="shared" si="82"/>
        <v>3.8023566098596109</v>
      </c>
      <c r="L175" s="349">
        <f t="shared" si="83"/>
        <v>1.3046713635787386</v>
      </c>
      <c r="M175" s="337">
        <f t="shared" si="64"/>
        <v>1.0048133596792062</v>
      </c>
      <c r="N175" s="340">
        <f t="shared" si="65"/>
        <v>9.7919677530537319E-2</v>
      </c>
      <c r="O175" s="341">
        <f t="shared" si="66"/>
        <v>1.0019452266840372</v>
      </c>
      <c r="P175" s="342">
        <f t="shared" si="67"/>
        <v>0.14090481898311885</v>
      </c>
      <c r="Q175" s="343">
        <f t="shared" si="68"/>
        <v>10.250075176299728</v>
      </c>
      <c r="R175" s="344">
        <f t="shared" si="69"/>
        <v>-104.28092651005272</v>
      </c>
      <c r="S175" s="346">
        <f t="shared" si="70"/>
        <v>75.719073489947277</v>
      </c>
      <c r="U175" s="319">
        <f t="shared" si="76"/>
        <v>1000000000</v>
      </c>
      <c r="V175" s="319">
        <f t="shared" si="77"/>
        <v>96615138.48999998</v>
      </c>
      <c r="X175" s="345">
        <f t="shared" si="71"/>
        <v>26.95620326511618</v>
      </c>
      <c r="Y175" s="346">
        <f t="shared" si="72"/>
        <v>-20.853830081506633</v>
      </c>
      <c r="AA175" s="345">
        <f t="shared" si="73"/>
        <v>46.902993200346181</v>
      </c>
      <c r="AB175" s="346">
        <f t="shared" si="74"/>
        <v>-83.427096428546079</v>
      </c>
      <c r="AD175">
        <f t="shared" si="78"/>
        <v>0</v>
      </c>
      <c r="AE175">
        <f t="shared" si="81"/>
        <v>0</v>
      </c>
    </row>
    <row r="176" spans="1:31" x14ac:dyDescent="0.25">
      <c r="A176" s="347">
        <v>9886.2000000000007</v>
      </c>
      <c r="B176" s="364">
        <f t="shared" si="75"/>
        <v>9.8862000000000005</v>
      </c>
      <c r="C176" s="337">
        <f t="shared" si="54"/>
        <v>4.4023621329979452</v>
      </c>
      <c r="D176" s="338">
        <f t="shared" si="55"/>
        <v>1.341645344215163</v>
      </c>
      <c r="E176" s="338">
        <f t="shared" si="56"/>
        <v>1.0003210991309961</v>
      </c>
      <c r="F176" s="339">
        <f t="shared" si="57"/>
        <v>2.5338241217130835E-2</v>
      </c>
      <c r="G176" s="338">
        <f t="shared" si="58"/>
        <v>1</v>
      </c>
      <c r="H176" s="339">
        <f t="shared" si="59"/>
        <v>0</v>
      </c>
      <c r="I176" s="337">
        <f t="shared" si="60"/>
        <v>13122.763537112631</v>
      </c>
      <c r="J176" s="340">
        <f t="shared" si="61"/>
        <v>1.5707201233337782</v>
      </c>
      <c r="K176" s="348">
        <f t="shared" si="82"/>
        <v>3.8228494006380109</v>
      </c>
      <c r="L176" s="349">
        <f t="shared" si="83"/>
        <v>1.3061323248346886</v>
      </c>
      <c r="M176" s="337">
        <f t="shared" si="64"/>
        <v>1.0048691128664502</v>
      </c>
      <c r="N176" s="340">
        <f t="shared" si="65"/>
        <v>9.8482868824469785E-2</v>
      </c>
      <c r="O176" s="341">
        <f t="shared" si="66"/>
        <v>1.001968164506265</v>
      </c>
      <c r="P176" s="342">
        <f t="shared" si="67"/>
        <v>0.14172271382100093</v>
      </c>
      <c r="Q176" s="343">
        <f t="shared" si="68"/>
        <v>10.198442311126827</v>
      </c>
      <c r="R176" s="344">
        <f t="shared" si="69"/>
        <v>-104.34137192982887</v>
      </c>
      <c r="S176" s="346">
        <f t="shared" si="70"/>
        <v>75.658628070171133</v>
      </c>
      <c r="U176" s="319">
        <f t="shared" si="76"/>
        <v>1000000000</v>
      </c>
      <c r="V176" s="319">
        <f t="shared" si="77"/>
        <v>97736950.440000013</v>
      </c>
      <c r="X176" s="345">
        <f t="shared" si="71"/>
        <v>26.952272180442346</v>
      </c>
      <c r="Y176" s="346">
        <f t="shared" si="72"/>
        <v>-20.802416926408554</v>
      </c>
      <c r="AA176" s="345">
        <f t="shared" si="73"/>
        <v>46.855291419847106</v>
      </c>
      <c r="AB176" s="346">
        <f t="shared" si="74"/>
        <v>-83.538955003420298</v>
      </c>
      <c r="AD176">
        <f t="shared" si="78"/>
        <v>0</v>
      </c>
      <c r="AE176">
        <f t="shared" si="81"/>
        <v>0</v>
      </c>
    </row>
    <row r="177" spans="1:31" x14ac:dyDescent="0.25">
      <c r="A177" s="347">
        <v>9943.1</v>
      </c>
      <c r="B177" s="364">
        <f t="shared" si="75"/>
        <v>9.9431000000000012</v>
      </c>
      <c r="C177" s="337">
        <f t="shared" si="54"/>
        <v>4.4263961005261248</v>
      </c>
      <c r="D177" s="338">
        <f t="shared" si="55"/>
        <v>1.3429116222277604</v>
      </c>
      <c r="E177" s="338">
        <f t="shared" si="56"/>
        <v>1.0003248053363767</v>
      </c>
      <c r="F177" s="339">
        <f t="shared" si="57"/>
        <v>2.5484012451529304E-2</v>
      </c>
      <c r="G177" s="338">
        <f t="shared" si="58"/>
        <v>1</v>
      </c>
      <c r="H177" s="339">
        <f t="shared" si="59"/>
        <v>0</v>
      </c>
      <c r="I177" s="337">
        <f t="shared" si="60"/>
        <v>13198.291570223242</v>
      </c>
      <c r="J177" s="340">
        <f t="shared" si="61"/>
        <v>1.5707205594127596</v>
      </c>
      <c r="K177" s="348">
        <f t="shared" si="82"/>
        <v>3.843350263912543</v>
      </c>
      <c r="L177" s="349">
        <f t="shared" si="83"/>
        <v>1.3075777032844591</v>
      </c>
      <c r="M177" s="337">
        <f t="shared" si="64"/>
        <v>1.0049251847471097</v>
      </c>
      <c r="N177" s="340">
        <f t="shared" si="65"/>
        <v>9.9045997448153456E-2</v>
      </c>
      <c r="O177" s="341">
        <f t="shared" si="66"/>
        <v>1.0019912428512316</v>
      </c>
      <c r="P177" s="342">
        <f t="shared" si="67"/>
        <v>0.14254064653526108</v>
      </c>
      <c r="Q177" s="343">
        <f t="shared" si="68"/>
        <v>10.147106785240425</v>
      </c>
      <c r="R177" s="344">
        <f t="shared" si="69"/>
        <v>-104.40191212563168</v>
      </c>
      <c r="S177" s="346">
        <f t="shared" si="70"/>
        <v>75.598087874368318</v>
      </c>
      <c r="U177" s="319">
        <f t="shared" si="76"/>
        <v>1000000000</v>
      </c>
      <c r="V177" s="319">
        <f t="shared" si="77"/>
        <v>98865237.610000014</v>
      </c>
      <c r="X177" s="345">
        <f t="shared" si="71"/>
        <v>26.948394740830494</v>
      </c>
      <c r="Y177" s="346">
        <f t="shared" si="72"/>
        <v>-20.751892720325056</v>
      </c>
      <c r="AA177" s="345">
        <f t="shared" si="73"/>
        <v>46.807833333572553</v>
      </c>
      <c r="AB177" s="346">
        <f t="shared" si="74"/>
        <v>-83.650019405306594</v>
      </c>
      <c r="AD177">
        <f t="shared" si="78"/>
        <v>0</v>
      </c>
      <c r="AE177">
        <f t="shared" si="81"/>
        <v>0</v>
      </c>
    </row>
    <row r="178" spans="1:31" x14ac:dyDescent="0.25">
      <c r="A178" s="347">
        <v>10000</v>
      </c>
      <c r="B178" s="364">
        <f t="shared" si="75"/>
        <v>10</v>
      </c>
      <c r="C178" s="337">
        <f t="shared" si="54"/>
        <v>4.4504370889381644</v>
      </c>
      <c r="D178" s="338">
        <f t="shared" si="55"/>
        <v>1.3441642215183673</v>
      </c>
      <c r="E178" s="338">
        <f t="shared" si="56"/>
        <v>1.000328532797754</v>
      </c>
      <c r="F178" s="339">
        <f t="shared" si="57"/>
        <v>2.562978260266887E-2</v>
      </c>
      <c r="G178" s="338">
        <f t="shared" si="58"/>
        <v>1</v>
      </c>
      <c r="H178" s="339">
        <f t="shared" si="59"/>
        <v>0</v>
      </c>
      <c r="I178" s="337">
        <f t="shared" si="60"/>
        <v>13273.819603336337</v>
      </c>
      <c r="J178" s="340">
        <f t="shared" si="61"/>
        <v>1.5707209905291624</v>
      </c>
      <c r="K178" s="348">
        <f t="shared" si="82"/>
        <v>3.8638590711900624</v>
      </c>
      <c r="L178" s="349">
        <f t="shared" si="83"/>
        <v>1.3090077409742336</v>
      </c>
      <c r="M178" s="337">
        <f t="shared" si="64"/>
        <v>1.0049815752678408</v>
      </c>
      <c r="N178" s="340">
        <f t="shared" si="65"/>
        <v>9.9609063054956454E-2</v>
      </c>
      <c r="O178" s="341">
        <f t="shared" si="66"/>
        <v>1.002014461858628</v>
      </c>
      <c r="P178" s="342">
        <f t="shared" si="67"/>
        <v>0.14335861732617955</v>
      </c>
      <c r="Q178" s="343">
        <f t="shared" si="68"/>
        <v>10.096065041468851</v>
      </c>
      <c r="R178" s="344">
        <f t="shared" si="69"/>
        <v>-104.46254589795954</v>
      </c>
      <c r="S178" s="346">
        <f t="shared" si="70"/>
        <v>75.537454102040456</v>
      </c>
      <c r="U178" s="319">
        <f t="shared" si="76"/>
        <v>1000000000</v>
      </c>
      <c r="V178" s="319">
        <f t="shared" si="77"/>
        <v>100000000</v>
      </c>
      <c r="X178" s="345">
        <f t="shared" si="71"/>
        <v>26.944569738914971</v>
      </c>
      <c r="Y178" s="346">
        <f t="shared" si="72"/>
        <v>-20.70224358010875</v>
      </c>
      <c r="AA178" s="345">
        <f t="shared" si="73"/>
        <v>46.760616591716513</v>
      </c>
      <c r="AB178" s="346">
        <f t="shared" si="74"/>
        <v>-83.760302317850801</v>
      </c>
      <c r="AD178">
        <f t="shared" si="78"/>
        <v>0</v>
      </c>
      <c r="AE178">
        <f t="shared" si="81"/>
        <v>0</v>
      </c>
    </row>
    <row r="179" spans="1:31" x14ac:dyDescent="0.25">
      <c r="A179" s="347">
        <v>10058.25</v>
      </c>
      <c r="B179" s="364">
        <f t="shared" si="75"/>
        <v>10.058249999999999</v>
      </c>
      <c r="C179" s="337">
        <f t="shared" si="54"/>
        <v>4.4750556244548436</v>
      </c>
      <c r="D179" s="338">
        <f t="shared" si="55"/>
        <v>1.3454325964917884</v>
      </c>
      <c r="E179" s="338">
        <f t="shared" si="56"/>
        <v>1.0003323707144702</v>
      </c>
      <c r="F179" s="339">
        <f t="shared" si="57"/>
        <v>2.5779010143762004E-2</v>
      </c>
      <c r="G179" s="338">
        <f t="shared" si="58"/>
        <v>1</v>
      </c>
      <c r="H179" s="339">
        <f t="shared" si="59"/>
        <v>0</v>
      </c>
      <c r="I179" s="337">
        <f t="shared" si="60"/>
        <v>13351.139602088208</v>
      </c>
      <c r="J179" s="340">
        <f t="shared" si="61"/>
        <v>1.5707214268215057</v>
      </c>
      <c r="K179" s="348">
        <f t="shared" si="82"/>
        <v>3.8848625646400903</v>
      </c>
      <c r="L179" s="349">
        <f t="shared" si="83"/>
        <v>1.3104560640735836</v>
      </c>
      <c r="M179" s="337">
        <f t="shared" si="64"/>
        <v>1.0050396337145093</v>
      </c>
      <c r="N179" s="340">
        <f t="shared" si="65"/>
        <v>0.10018542222436144</v>
      </c>
      <c r="O179" s="341">
        <f t="shared" si="66"/>
        <v>1.0020383776110482</v>
      </c>
      <c r="P179" s="342">
        <f t="shared" si="67"/>
        <v>0.14419603480821414</v>
      </c>
      <c r="Q179" s="343">
        <f t="shared" si="68"/>
        <v>10.044112961764238</v>
      </c>
      <c r="R179" s="344">
        <f t="shared" si="69"/>
        <v>-104.52471395460333</v>
      </c>
      <c r="S179" s="346">
        <f t="shared" si="70"/>
        <v>75.475286045396672</v>
      </c>
      <c r="U179" s="319">
        <f t="shared" si="76"/>
        <v>1000000000</v>
      </c>
      <c r="V179" s="319">
        <f t="shared" si="77"/>
        <v>101168393.0625</v>
      </c>
      <c r="X179" s="345">
        <f t="shared" si="71"/>
        <v>26.940707077164276</v>
      </c>
      <c r="Y179" s="346">
        <f t="shared" si="72"/>
        <v>-20.652308724688108</v>
      </c>
      <c r="AA179" s="345">
        <f t="shared" si="73"/>
        <v>46.712527173762588</v>
      </c>
      <c r="AB179" s="346">
        <f t="shared" si="74"/>
        <v>-83.872405229915231</v>
      </c>
      <c r="AD179">
        <f t="shared" si="78"/>
        <v>0</v>
      </c>
      <c r="AE179">
        <f t="shared" si="81"/>
        <v>0</v>
      </c>
    </row>
    <row r="180" spans="1:31" x14ac:dyDescent="0.25">
      <c r="A180" s="347">
        <v>10116.5</v>
      </c>
      <c r="B180" s="364">
        <f t="shared" si="75"/>
        <v>10.1165</v>
      </c>
      <c r="C180" s="337">
        <f t="shared" si="54"/>
        <v>4.4996812805448814</v>
      </c>
      <c r="D180" s="338">
        <f t="shared" si="55"/>
        <v>1.3466870904524726</v>
      </c>
      <c r="E180" s="338">
        <f t="shared" si="56"/>
        <v>1.0003362309072759</v>
      </c>
      <c r="F180" s="339">
        <f t="shared" si="57"/>
        <v>2.5928236536471305E-2</v>
      </c>
      <c r="G180" s="338">
        <f t="shared" si="58"/>
        <v>1</v>
      </c>
      <c r="H180" s="339">
        <f t="shared" si="59"/>
        <v>0</v>
      </c>
      <c r="I180" s="337">
        <f t="shared" si="60"/>
        <v>13428.459600842591</v>
      </c>
      <c r="J180" s="340">
        <f t="shared" si="61"/>
        <v>1.5707218580895761</v>
      </c>
      <c r="K180" s="348">
        <f t="shared" si="82"/>
        <v>3.9058741194810307</v>
      </c>
      <c r="L180" s="349">
        <f t="shared" si="83"/>
        <v>1.3118888077136468</v>
      </c>
      <c r="M180" s="337">
        <f t="shared" si="64"/>
        <v>1.0050980259865503</v>
      </c>
      <c r="N180" s="340">
        <f t="shared" si="65"/>
        <v>0.10076171461675043</v>
      </c>
      <c r="O180" s="341">
        <f t="shared" si="66"/>
        <v>1.0020624410785359</v>
      </c>
      <c r="P180" s="342">
        <f t="shared" si="67"/>
        <v>0.14503349261893539</v>
      </c>
      <c r="Q180" s="343">
        <f t="shared" si="68"/>
        <v>9.9924614252360424</v>
      </c>
      <c r="R180" s="344">
        <f t="shared" si="69"/>
        <v>-104.58697758761657</v>
      </c>
      <c r="S180" s="346">
        <f t="shared" si="70"/>
        <v>75.413022412383427</v>
      </c>
      <c r="U180" s="319">
        <f t="shared" si="76"/>
        <v>1000000000</v>
      </c>
      <c r="V180" s="319">
        <f t="shared" si="77"/>
        <v>102343572.25</v>
      </c>
      <c r="X180" s="345">
        <f t="shared" si="71"/>
        <v>26.936896911359018</v>
      </c>
      <c r="Y180" s="346">
        <f t="shared" si="72"/>
        <v>-20.603262392621897</v>
      </c>
      <c r="AA180" s="345">
        <f t="shared" si="73"/>
        <v>46.664685803039646</v>
      </c>
      <c r="AB180" s="346">
        <f t="shared" si="74"/>
        <v>-83.983715194994673</v>
      </c>
      <c r="AD180">
        <f t="shared" si="78"/>
        <v>0</v>
      </c>
      <c r="AE180">
        <f t="shared" si="81"/>
        <v>0</v>
      </c>
    </row>
    <row r="181" spans="1:31" x14ac:dyDescent="0.25">
      <c r="A181" s="347">
        <v>10174.75</v>
      </c>
      <c r="B181" s="364">
        <f t="shared" si="75"/>
        <v>10.17475</v>
      </c>
      <c r="C181" s="337">
        <f t="shared" si="54"/>
        <v>4.5243139409373088</v>
      </c>
      <c r="D181" s="338">
        <f t="shared" si="55"/>
        <v>1.3479279261451329</v>
      </c>
      <c r="E181" s="338">
        <f t="shared" si="56"/>
        <v>1.0003401133759127</v>
      </c>
      <c r="F181" s="339">
        <f t="shared" si="57"/>
        <v>2.607746177416399E-2</v>
      </c>
      <c r="G181" s="338">
        <f t="shared" si="58"/>
        <v>1</v>
      </c>
      <c r="H181" s="339">
        <f t="shared" si="59"/>
        <v>0</v>
      </c>
      <c r="I181" s="337">
        <f t="shared" si="60"/>
        <v>13505.779599599442</v>
      </c>
      <c r="J181" s="340">
        <f t="shared" si="61"/>
        <v>1.5707222844196647</v>
      </c>
      <c r="K181" s="348">
        <f t="shared" si="82"/>
        <v>3.9268936063110926</v>
      </c>
      <c r="L181" s="349">
        <f t="shared" si="83"/>
        <v>1.3133062161411417</v>
      </c>
      <c r="M181" s="337">
        <f t="shared" si="64"/>
        <v>1.0051567520257847</v>
      </c>
      <c r="N181" s="340">
        <f t="shared" si="65"/>
        <v>0.10133793986100645</v>
      </c>
      <c r="O181" s="341">
        <f t="shared" si="66"/>
        <v>1.0020866524135181</v>
      </c>
      <c r="P181" s="342">
        <f t="shared" si="67"/>
        <v>0.14587099097222225</v>
      </c>
      <c r="Q181" s="343">
        <f t="shared" si="68"/>
        <v>9.9411068147938551</v>
      </c>
      <c r="R181" s="344">
        <f t="shared" si="69"/>
        <v>-104.6493355613401</v>
      </c>
      <c r="S181" s="346">
        <f t="shared" si="70"/>
        <v>75.350664438659905</v>
      </c>
      <c r="U181" s="319">
        <f t="shared" si="76"/>
        <v>1000000000</v>
      </c>
      <c r="V181" s="319">
        <f t="shared" si="77"/>
        <v>103525537.5625</v>
      </c>
      <c r="X181" s="345">
        <f t="shared" si="71"/>
        <v>26.933138046622318</v>
      </c>
      <c r="Y181" s="346">
        <f t="shared" si="72"/>
        <v>-20.555090573284627</v>
      </c>
      <c r="AA181" s="345">
        <f t="shared" si="73"/>
        <v>46.617090057334167</v>
      </c>
      <c r="AB181" s="346">
        <f t="shared" si="74"/>
        <v>-84.094244988055465</v>
      </c>
      <c r="AD181">
        <f t="shared" si="78"/>
        <v>0</v>
      </c>
      <c r="AE181">
        <f t="shared" si="81"/>
        <v>0</v>
      </c>
    </row>
    <row r="182" spans="1:31" x14ac:dyDescent="0.25">
      <c r="A182" s="347">
        <v>10233</v>
      </c>
      <c r="B182" s="364">
        <f t="shared" si="75"/>
        <v>10.233000000000001</v>
      </c>
      <c r="C182" s="337">
        <f t="shared" si="54"/>
        <v>4.5489534918468779</v>
      </c>
      <c r="D182" s="338">
        <f t="shared" si="55"/>
        <v>1.3491553216587677</v>
      </c>
      <c r="E182" s="338">
        <f t="shared" si="56"/>
        <v>1.0003440181201217</v>
      </c>
      <c r="F182" s="339">
        <f t="shared" si="57"/>
        <v>2.6226685850207612E-2</v>
      </c>
      <c r="G182" s="338">
        <f t="shared" si="58"/>
        <v>1</v>
      </c>
      <c r="H182" s="339">
        <f t="shared" si="59"/>
        <v>0</v>
      </c>
      <c r="I182" s="337">
        <f t="shared" si="60"/>
        <v>13583.099598358722</v>
      </c>
      <c r="J182" s="340">
        <f t="shared" si="61"/>
        <v>1.570722705896098</v>
      </c>
      <c r="K182" s="348">
        <f t="shared" si="82"/>
        <v>3.9479208984359921</v>
      </c>
      <c r="L182" s="349">
        <f t="shared" si="83"/>
        <v>1.3147085286486198</v>
      </c>
      <c r="M182" s="337">
        <f t="shared" si="64"/>
        <v>1.0052158117737158</v>
      </c>
      <c r="N182" s="340">
        <f t="shared" si="65"/>
        <v>0.10191409758627727</v>
      </c>
      <c r="O182" s="341">
        <f t="shared" si="66"/>
        <v>1.002111011769284</v>
      </c>
      <c r="P182" s="342">
        <f t="shared" si="67"/>
        <v>0.14670853008161344</v>
      </c>
      <c r="Q182" s="343">
        <f t="shared" si="68"/>
        <v>9.890045577449019</v>
      </c>
      <c r="R182" s="344">
        <f t="shared" si="69"/>
        <v>-104.71178665709802</v>
      </c>
      <c r="S182" s="346">
        <f t="shared" si="70"/>
        <v>75.288213342901983</v>
      </c>
      <c r="U182" s="319">
        <f t="shared" si="76"/>
        <v>1000000000</v>
      </c>
      <c r="V182" s="319">
        <f t="shared" si="77"/>
        <v>104714289</v>
      </c>
      <c r="X182" s="345">
        <f t="shared" si="71"/>
        <v>26.929429319862962</v>
      </c>
      <c r="Y182" s="346">
        <f t="shared" si="72"/>
        <v>-20.507779539806343</v>
      </c>
      <c r="AA182" s="345">
        <f t="shared" si="73"/>
        <v>46.569737546748684</v>
      </c>
      <c r="AB182" s="346">
        <f t="shared" si="74"/>
        <v>-84.204007117291681</v>
      </c>
      <c r="AD182">
        <f t="shared" si="78"/>
        <v>0</v>
      </c>
      <c r="AE182">
        <f t="shared" si="81"/>
        <v>0</v>
      </c>
    </row>
    <row r="183" spans="1:31" x14ac:dyDescent="0.25">
      <c r="A183" s="347">
        <v>10292.5</v>
      </c>
      <c r="B183" s="364">
        <f t="shared" si="75"/>
        <v>10.2925</v>
      </c>
      <c r="C183" s="337">
        <f t="shared" si="54"/>
        <v>4.5741287866012739</v>
      </c>
      <c r="D183" s="338">
        <f t="shared" si="55"/>
        <v>1.3503954022619491</v>
      </c>
      <c r="E183" s="338">
        <f t="shared" si="56"/>
        <v>1.0003480296545795</v>
      </c>
      <c r="F183" s="339">
        <f t="shared" si="57"/>
        <v>2.6379110953437916E-2</v>
      </c>
      <c r="G183" s="338">
        <f t="shared" si="58"/>
        <v>1</v>
      </c>
      <c r="H183" s="339">
        <f t="shared" si="59"/>
        <v>0</v>
      </c>
      <c r="I183" s="337">
        <f t="shared" si="60"/>
        <v>13662.07882456165</v>
      </c>
      <c r="J183" s="340">
        <f t="shared" si="61"/>
        <v>1.5707231314917707</v>
      </c>
      <c r="K183" s="348">
        <f t="shared" si="82"/>
        <v>3.9694073493615503</v>
      </c>
      <c r="L183" s="349">
        <f t="shared" si="83"/>
        <v>1.3161255921491883</v>
      </c>
      <c r="M183" s="337">
        <f t="shared" si="64"/>
        <v>1.0052764833642818</v>
      </c>
      <c r="N183" s="340">
        <f t="shared" si="65"/>
        <v>0.10250254911800748</v>
      </c>
      <c r="O183" s="341">
        <f t="shared" si="66"/>
        <v>1.00213604683778</v>
      </c>
      <c r="P183" s="342">
        <f t="shared" si="67"/>
        <v>0.14756408443232691</v>
      </c>
      <c r="Q183" s="343">
        <f t="shared" si="68"/>
        <v>9.838187860408155</v>
      </c>
      <c r="R183" s="344">
        <f t="shared" si="69"/>
        <v>-104.77567279648969</v>
      </c>
      <c r="S183" s="346">
        <f t="shared" si="70"/>
        <v>75.224327203510313</v>
      </c>
      <c r="U183" s="319">
        <f t="shared" si="76"/>
        <v>1000000000</v>
      </c>
      <c r="V183" s="319">
        <f t="shared" si="77"/>
        <v>105935556.25</v>
      </c>
      <c r="X183" s="345">
        <f t="shared" si="71"/>
        <v>26.925691592891674</v>
      </c>
      <c r="Y183" s="346">
        <f t="shared" si="72"/>
        <v>-20.460327955919475</v>
      </c>
      <c r="AA183" s="345">
        <f t="shared" si="73"/>
        <v>46.521617556679111</v>
      </c>
      <c r="AB183" s="346">
        <f t="shared" si="74"/>
        <v>-84.315344840570219</v>
      </c>
      <c r="AD183">
        <f t="shared" si="78"/>
        <v>0</v>
      </c>
      <c r="AE183">
        <f t="shared" si="81"/>
        <v>0</v>
      </c>
    </row>
    <row r="184" spans="1:31" x14ac:dyDescent="0.25">
      <c r="A184" s="347">
        <v>10352</v>
      </c>
      <c r="B184" s="364">
        <f t="shared" si="75"/>
        <v>10.352</v>
      </c>
      <c r="C184" s="337">
        <f t="shared" si="54"/>
        <v>4.5993110384390112</v>
      </c>
      <c r="D184" s="338">
        <f t="shared" si="55"/>
        <v>1.3516219052993348</v>
      </c>
      <c r="E184" s="338">
        <f t="shared" si="56"/>
        <v>1.0003520644303485</v>
      </c>
      <c r="F184" s="339">
        <f t="shared" si="57"/>
        <v>2.6531534830640188E-2</v>
      </c>
      <c r="G184" s="338">
        <f t="shared" si="58"/>
        <v>1</v>
      </c>
      <c r="H184" s="339">
        <f t="shared" si="59"/>
        <v>0</v>
      </c>
      <c r="I184" s="337">
        <f t="shared" si="60"/>
        <v>13741.058050767024</v>
      </c>
      <c r="J184" s="340">
        <f t="shared" si="61"/>
        <v>1.5707235521950669</v>
      </c>
      <c r="K184" s="348">
        <f t="shared" si="82"/>
        <v>3.9909016852937427</v>
      </c>
      <c r="L184" s="349">
        <f t="shared" si="83"/>
        <v>1.3175273943005188</v>
      </c>
      <c r="M184" s="337">
        <f t="shared" si="64"/>
        <v>1.0053375030150824</v>
      </c>
      <c r="N184" s="340">
        <f t="shared" si="65"/>
        <v>0.1030909294205182</v>
      </c>
      <c r="O184" s="341">
        <f t="shared" si="66"/>
        <v>1.0021612366741024</v>
      </c>
      <c r="P184" s="342">
        <f t="shared" si="67"/>
        <v>0.14841968175639256</v>
      </c>
      <c r="Q184" s="343">
        <f t="shared" si="68"/>
        <v>9.7866289470216383</v>
      </c>
      <c r="R184" s="344">
        <f t="shared" si="69"/>
        <v>-104.83965358055814</v>
      </c>
      <c r="S184" s="346">
        <f t="shared" si="70"/>
        <v>75.160346419441865</v>
      </c>
      <c r="U184" s="319">
        <f t="shared" si="76"/>
        <v>1000000000</v>
      </c>
      <c r="V184" s="319">
        <f t="shared" si="77"/>
        <v>107163904</v>
      </c>
      <c r="X184" s="345">
        <f t="shared" si="71"/>
        <v>26.92200382286762</v>
      </c>
      <c r="Y184" s="346">
        <f t="shared" si="72"/>
        <v>-20.413746421488455</v>
      </c>
      <c r="AA184" s="345">
        <f t="shared" si="73"/>
        <v>46.473746413316647</v>
      </c>
      <c r="AB184" s="346">
        <f t="shared" si="74"/>
        <v>-84.425907159069681</v>
      </c>
      <c r="AD184">
        <f t="shared" si="78"/>
        <v>0</v>
      </c>
      <c r="AE184">
        <f t="shared" si="81"/>
        <v>0</v>
      </c>
    </row>
    <row r="185" spans="1:31" x14ac:dyDescent="0.25">
      <c r="A185" s="347">
        <v>10411.5</v>
      </c>
      <c r="B185" s="364">
        <f t="shared" si="75"/>
        <v>10.4115</v>
      </c>
      <c r="C185" s="337">
        <f t="shared" si="54"/>
        <v>4.6245001337077918</v>
      </c>
      <c r="D185" s="338">
        <f t="shared" si="55"/>
        <v>1.352835048916478</v>
      </c>
      <c r="E185" s="338">
        <f t="shared" si="56"/>
        <v>1.0003561224471478</v>
      </c>
      <c r="F185" s="339">
        <f t="shared" si="57"/>
        <v>2.668395747474676E-2</v>
      </c>
      <c r="G185" s="338">
        <f t="shared" si="58"/>
        <v>1</v>
      </c>
      <c r="H185" s="339">
        <f t="shared" si="59"/>
        <v>0</v>
      </c>
      <c r="I185" s="337">
        <f t="shared" si="60"/>
        <v>13820.037276974803</v>
      </c>
      <c r="J185" s="340">
        <f t="shared" si="61"/>
        <v>1.5707239680898635</v>
      </c>
      <c r="K185" s="348">
        <f t="shared" si="82"/>
        <v>4.0124037795132859</v>
      </c>
      <c r="L185" s="349">
        <f t="shared" si="83"/>
        <v>1.3189141749010669</v>
      </c>
      <c r="M185" s="337">
        <f t="shared" si="64"/>
        <v>1.0053988706627441</v>
      </c>
      <c r="N185" s="340">
        <f t="shared" si="65"/>
        <v>0.10367923809943147</v>
      </c>
      <c r="O185" s="341">
        <f t="shared" si="66"/>
        <v>1.0021865814444035</v>
      </c>
      <c r="P185" s="342">
        <f t="shared" si="67"/>
        <v>0.14927532228028095</v>
      </c>
      <c r="Q185" s="343">
        <f t="shared" si="68"/>
        <v>9.7353652481873336</v>
      </c>
      <c r="R185" s="344">
        <f t="shared" si="69"/>
        <v>-104.90372776427368</v>
      </c>
      <c r="S185" s="346">
        <f t="shared" si="70"/>
        <v>75.096272235726317</v>
      </c>
      <c r="U185" s="319">
        <f t="shared" si="76"/>
        <v>1000000000</v>
      </c>
      <c r="V185" s="319">
        <f t="shared" si="77"/>
        <v>108399332.25</v>
      </c>
      <c r="X185" s="345">
        <f t="shared" si="71"/>
        <v>26.918364866576852</v>
      </c>
      <c r="Y185" s="346">
        <f t="shared" si="72"/>
        <v>-20.368021179283389</v>
      </c>
      <c r="AA185" s="345">
        <f t="shared" si="73"/>
        <v>46.426121670773107</v>
      </c>
      <c r="AB185" s="346">
        <f t="shared" si="74"/>
        <v>-84.535706584990308</v>
      </c>
      <c r="AD185">
        <f t="shared" si="78"/>
        <v>0</v>
      </c>
      <c r="AE185">
        <f t="shared" si="81"/>
        <v>0</v>
      </c>
    </row>
    <row r="186" spans="1:31" x14ac:dyDescent="0.25">
      <c r="A186" s="347">
        <v>10471</v>
      </c>
      <c r="B186" s="364">
        <f t="shared" si="75"/>
        <v>10.471</v>
      </c>
      <c r="C186" s="337">
        <f t="shared" si="54"/>
        <v>4.6496959611875477</v>
      </c>
      <c r="D186" s="338">
        <f t="shared" si="55"/>
        <v>1.3540350466897977</v>
      </c>
      <c r="E186" s="338">
        <f t="shared" si="56"/>
        <v>1.0003602037046941</v>
      </c>
      <c r="F186" s="339">
        <f t="shared" si="57"/>
        <v>2.6836378878690312E-2</v>
      </c>
      <c r="G186" s="338">
        <f t="shared" si="58"/>
        <v>1</v>
      </c>
      <c r="H186" s="339">
        <f t="shared" si="59"/>
        <v>0</v>
      </c>
      <c r="I186" s="337">
        <f t="shared" si="60"/>
        <v>13899.016503184943</v>
      </c>
      <c r="J186" s="340">
        <f t="shared" si="61"/>
        <v>1.5707243792581314</v>
      </c>
      <c r="K186" s="348">
        <f t="shared" si="82"/>
        <v>4.0339135079574611</v>
      </c>
      <c r="L186" s="349">
        <f t="shared" si="83"/>
        <v>1.3202861688685414</v>
      </c>
      <c r="M186" s="337">
        <f t="shared" si="64"/>
        <v>1.0054605862435479</v>
      </c>
      <c r="N186" s="340">
        <f t="shared" si="65"/>
        <v>0.1042674747606636</v>
      </c>
      <c r="O186" s="341">
        <f t="shared" si="66"/>
        <v>1.0022120813157724</v>
      </c>
      <c r="P186" s="342">
        <f t="shared" si="67"/>
        <v>0.15013100623008363</v>
      </c>
      <c r="Q186" s="343">
        <f t="shared" si="68"/>
        <v>9.6843932382699922</v>
      </c>
      <c r="R186" s="344">
        <f t="shared" si="69"/>
        <v>-104.9678941203469</v>
      </c>
      <c r="S186" s="346">
        <f t="shared" si="70"/>
        <v>75.032105879653102</v>
      </c>
      <c r="U186" s="319">
        <f t="shared" si="76"/>
        <v>1000000000</v>
      </c>
      <c r="V186" s="319">
        <f t="shared" si="77"/>
        <v>109641841</v>
      </c>
      <c r="X186" s="345">
        <f t="shared" si="71"/>
        <v>26.914773611253185</v>
      </c>
      <c r="Y186" s="346">
        <f t="shared" si="72"/>
        <v>-20.323138751628292</v>
      </c>
      <c r="AA186" s="345">
        <f t="shared" si="73"/>
        <v>46.378740916179446</v>
      </c>
      <c r="AB186" s="346">
        <f t="shared" si="74"/>
        <v>-84.644755368718577</v>
      </c>
      <c r="AD186">
        <f t="shared" si="78"/>
        <v>0</v>
      </c>
      <c r="AE186">
        <f t="shared" si="81"/>
        <v>0</v>
      </c>
    </row>
    <row r="187" spans="1:31" x14ac:dyDescent="0.25">
      <c r="A187" s="347">
        <v>10532</v>
      </c>
      <c r="B187" s="364">
        <f t="shared" si="75"/>
        <v>10.532</v>
      </c>
      <c r="C187" s="337">
        <f t="shared" si="54"/>
        <v>4.6755338525881802</v>
      </c>
      <c r="D187" s="338">
        <f t="shared" si="55"/>
        <v>1.3552518682690824</v>
      </c>
      <c r="E187" s="338">
        <f t="shared" si="56"/>
        <v>1.0003644119777728</v>
      </c>
      <c r="F187" s="339">
        <f t="shared" si="57"/>
        <v>2.6992641544183679E-2</v>
      </c>
      <c r="G187" s="338">
        <f t="shared" si="58"/>
        <v>1</v>
      </c>
      <c r="H187" s="339">
        <f t="shared" si="59"/>
        <v>0</v>
      </c>
      <c r="I187" s="337">
        <f t="shared" si="60"/>
        <v>13979.986802327165</v>
      </c>
      <c r="J187" s="340">
        <f t="shared" si="61"/>
        <v>1.5707247959690815</v>
      </c>
      <c r="K187" s="348">
        <f t="shared" si="82"/>
        <v>4.0559732966536393</v>
      </c>
      <c r="L187" s="349">
        <f t="shared" si="83"/>
        <v>1.3216776413399371</v>
      </c>
      <c r="M187" s="337">
        <f t="shared" si="64"/>
        <v>1.0055242188131028</v>
      </c>
      <c r="N187" s="340">
        <f t="shared" si="65"/>
        <v>0.1048704657413954</v>
      </c>
      <c r="O187" s="341">
        <f t="shared" si="66"/>
        <v>1.0022383852324668</v>
      </c>
      <c r="P187" s="342">
        <f t="shared" si="67"/>
        <v>0.15100830736232132</v>
      </c>
      <c r="Q187" s="343">
        <f t="shared" si="68"/>
        <v>9.6324354060158051</v>
      </c>
      <c r="R187" s="344">
        <f t="shared" si="69"/>
        <v>-105.03377253648614</v>
      </c>
      <c r="S187" s="346">
        <f t="shared" si="70"/>
        <v>74.96622746351386</v>
      </c>
      <c r="U187" s="319">
        <f t="shared" si="76"/>
        <v>1000000000</v>
      </c>
      <c r="V187" s="319">
        <f t="shared" si="77"/>
        <v>110923024</v>
      </c>
      <c r="X187" s="345">
        <f t="shared" si="71"/>
        <v>26.911140206180054</v>
      </c>
      <c r="Y187" s="346">
        <f t="shared" si="72"/>
        <v>-20.277985965716201</v>
      </c>
      <c r="AA187" s="345">
        <f t="shared" si="73"/>
        <v>46.330416488998381</v>
      </c>
      <c r="AB187" s="346">
        <f t="shared" si="74"/>
        <v>-84.755786570769956</v>
      </c>
      <c r="AD187">
        <f t="shared" si="78"/>
        <v>0</v>
      </c>
      <c r="AE187">
        <f t="shared" si="81"/>
        <v>0</v>
      </c>
    </row>
    <row r="188" spans="1:31" x14ac:dyDescent="0.25">
      <c r="A188" s="347">
        <v>10593</v>
      </c>
      <c r="B188" s="364">
        <f t="shared" si="75"/>
        <v>10.593</v>
      </c>
      <c r="C188" s="337">
        <f t="shared" si="54"/>
        <v>4.70137859074093</v>
      </c>
      <c r="D188" s="338">
        <f t="shared" si="55"/>
        <v>1.3564553132252704</v>
      </c>
      <c r="E188" s="338">
        <f t="shared" si="56"/>
        <v>1.0003686446775646</v>
      </c>
      <c r="F188" s="339">
        <f t="shared" si="57"/>
        <v>2.7148902891154177E-2</v>
      </c>
      <c r="G188" s="338">
        <f t="shared" si="58"/>
        <v>1</v>
      </c>
      <c r="H188" s="339">
        <f t="shared" si="59"/>
        <v>0</v>
      </c>
      <c r="I188" s="337">
        <f t="shared" si="60"/>
        <v>14060.957101471784</v>
      </c>
      <c r="J188" s="340">
        <f t="shared" si="61"/>
        <v>1.5707252078807554</v>
      </c>
      <c r="K188" s="348">
        <f t="shared" si="82"/>
        <v>4.0780408535369332</v>
      </c>
      <c r="L188" s="349">
        <f t="shared" si="83"/>
        <v>1.3230540570652622</v>
      </c>
      <c r="M188" s="337">
        <f t="shared" si="64"/>
        <v>1.0055882169430281</v>
      </c>
      <c r="N188" s="340">
        <f t="shared" si="65"/>
        <v>0.10547338018963739</v>
      </c>
      <c r="O188" s="341">
        <f t="shared" si="66"/>
        <v>1.0022648525277091</v>
      </c>
      <c r="P188" s="342">
        <f t="shared" si="67"/>
        <v>0.15188565461764361</v>
      </c>
      <c r="Q188" s="343">
        <f t="shared" si="68"/>
        <v>9.5807768486220013</v>
      </c>
      <c r="R188" s="344">
        <f t="shared" si="69"/>
        <v>-105.09974527481793</v>
      </c>
      <c r="S188" s="346">
        <f t="shared" si="70"/>
        <v>74.900254725182066</v>
      </c>
      <c r="U188" s="319">
        <f t="shared" si="76"/>
        <v>1000000000</v>
      </c>
      <c r="V188" s="319">
        <f t="shared" si="77"/>
        <v>112211649</v>
      </c>
      <c r="X188" s="345">
        <f t="shared" si="71"/>
        <v>26.907554662899823</v>
      </c>
      <c r="Y188" s="346">
        <f t="shared" si="72"/>
        <v>-20.233691207841193</v>
      </c>
      <c r="AA188" s="345">
        <f t="shared" si="73"/>
        <v>46.282343474884804</v>
      </c>
      <c r="AB188" s="346">
        <f t="shared" si="74"/>
        <v>-84.866054066976744</v>
      </c>
      <c r="AD188">
        <f t="shared" si="78"/>
        <v>0</v>
      </c>
      <c r="AE188">
        <f t="shared" si="81"/>
        <v>0</v>
      </c>
    </row>
    <row r="189" spans="1:31" x14ac:dyDescent="0.25">
      <c r="A189" s="347">
        <v>10654</v>
      </c>
      <c r="B189" s="364">
        <f t="shared" si="75"/>
        <v>10.654</v>
      </c>
      <c r="C189" s="337">
        <f t="shared" si="54"/>
        <v>4.7272300633479976</v>
      </c>
      <c r="D189" s="338">
        <f t="shared" si="55"/>
        <v>1.3576455974990285</v>
      </c>
      <c r="E189" s="338">
        <f t="shared" si="56"/>
        <v>1.000372901803759</v>
      </c>
      <c r="F189" s="339">
        <f t="shared" si="57"/>
        <v>2.7305162911987538E-2</v>
      </c>
      <c r="G189" s="338">
        <f t="shared" si="58"/>
        <v>1</v>
      </c>
      <c r="H189" s="339">
        <f t="shared" si="59"/>
        <v>0</v>
      </c>
      <c r="I189" s="337">
        <f t="shared" si="60"/>
        <v>14141.927400618762</v>
      </c>
      <c r="J189" s="340">
        <f t="shared" si="61"/>
        <v>1.5707256150755882</v>
      </c>
      <c r="K189" s="348">
        <f t="shared" si="82"/>
        <v>4.1001160531780352</v>
      </c>
      <c r="L189" s="349">
        <f t="shared" si="83"/>
        <v>1.324415653985167</v>
      </c>
      <c r="M189" s="337">
        <f t="shared" si="64"/>
        <v>1.005652580563533</v>
      </c>
      <c r="N189" s="340">
        <f t="shared" si="65"/>
        <v>0.10607621768171697</v>
      </c>
      <c r="O189" s="341">
        <f t="shared" si="66"/>
        <v>1.0022914833846095</v>
      </c>
      <c r="P189" s="342">
        <f t="shared" si="67"/>
        <v>0.15276304823842124</v>
      </c>
      <c r="Q189" s="343">
        <f t="shared" si="68"/>
        <v>9.529413965166496</v>
      </c>
      <c r="R189" s="344">
        <f t="shared" si="69"/>
        <v>-105.16581106960766</v>
      </c>
      <c r="S189" s="346">
        <f t="shared" si="70"/>
        <v>74.834188930392344</v>
      </c>
      <c r="U189" s="319">
        <f t="shared" si="76"/>
        <v>1000000000</v>
      </c>
      <c r="V189" s="319">
        <f t="shared" si="77"/>
        <v>113507716</v>
      </c>
      <c r="X189" s="345">
        <f t="shared" si="71"/>
        <v>26.904015875840233</v>
      </c>
      <c r="Y189" s="346">
        <f t="shared" si="72"/>
        <v>-20.190240825456744</v>
      </c>
      <c r="AA189" s="345">
        <f t="shared" si="73"/>
        <v>46.234519378488898</v>
      </c>
      <c r="AB189" s="346">
        <f t="shared" si="74"/>
        <v>-84.975570244150887</v>
      </c>
      <c r="AD189">
        <f t="shared" si="78"/>
        <v>0</v>
      </c>
      <c r="AE189">
        <f t="shared" si="81"/>
        <v>0</v>
      </c>
    </row>
    <row r="190" spans="1:31" x14ac:dyDescent="0.25">
      <c r="A190" s="347">
        <v>10715</v>
      </c>
      <c r="B190" s="364">
        <f t="shared" si="75"/>
        <v>10.715</v>
      </c>
      <c r="C190" s="337">
        <f t="shared" si="54"/>
        <v>4.7530881605257322</v>
      </c>
      <c r="D190" s="338">
        <f t="shared" si="55"/>
        <v>1.3588229324829286</v>
      </c>
      <c r="E190" s="338">
        <f t="shared" si="56"/>
        <v>1.0003771833560446</v>
      </c>
      <c r="F190" s="339">
        <f t="shared" si="57"/>
        <v>2.746142159906988E-2</v>
      </c>
      <c r="G190" s="338">
        <f t="shared" si="58"/>
        <v>1</v>
      </c>
      <c r="H190" s="339">
        <f t="shared" si="59"/>
        <v>0</v>
      </c>
      <c r="I190" s="337">
        <f t="shared" si="60"/>
        <v>14222.89769976806</v>
      </c>
      <c r="J190" s="340">
        <f t="shared" si="61"/>
        <v>1.5707260176341382</v>
      </c>
      <c r="K190" s="348">
        <f t="shared" si="82"/>
        <v>4.1221987727914513</v>
      </c>
      <c r="L190" s="349">
        <f t="shared" si="83"/>
        <v>1.325762665164131</v>
      </c>
      <c r="M190" s="337">
        <f t="shared" si="64"/>
        <v>1.0057173096044454</v>
      </c>
      <c r="N190" s="340">
        <f t="shared" si="65"/>
        <v>0.10667897779429343</v>
      </c>
      <c r="O190" s="341">
        <f t="shared" si="66"/>
        <v>1.0023182779873101</v>
      </c>
      <c r="P190" s="342">
        <f t="shared" si="67"/>
        <v>0.15364048846659673</v>
      </c>
      <c r="Q190" s="343">
        <f t="shared" si="68"/>
        <v>9.4783432184919896</v>
      </c>
      <c r="R190" s="344">
        <f t="shared" si="69"/>
        <v>-105.23196867380501</v>
      </c>
      <c r="S190" s="346">
        <f t="shared" si="70"/>
        <v>74.768031326194986</v>
      </c>
      <c r="U190" s="319">
        <f t="shared" si="76"/>
        <v>1000000000</v>
      </c>
      <c r="V190" s="319">
        <f t="shared" si="77"/>
        <v>114811225</v>
      </c>
      <c r="X190" s="345">
        <f t="shared" si="71"/>
        <v>26.900522769013463</v>
      </c>
      <c r="Y190" s="346">
        <f t="shared" si="72"/>
        <v>-20.147621445311852</v>
      </c>
      <c r="AA190" s="345">
        <f t="shared" si="73"/>
        <v>46.186941738641153</v>
      </c>
      <c r="AB190" s="346">
        <f t="shared" si="74"/>
        <v>-85.084347228493158</v>
      </c>
      <c r="AD190">
        <f t="shared" si="78"/>
        <v>0</v>
      </c>
      <c r="AE190">
        <f t="shared" si="81"/>
        <v>0</v>
      </c>
    </row>
    <row r="191" spans="1:31" x14ac:dyDescent="0.25">
      <c r="A191" s="347">
        <v>10777.5</v>
      </c>
      <c r="B191" s="364">
        <f t="shared" si="75"/>
        <v>10.7775</v>
      </c>
      <c r="C191" s="337">
        <f t="shared" si="54"/>
        <v>4.7795888710429715</v>
      </c>
      <c r="D191" s="338">
        <f t="shared" si="55"/>
        <v>1.3600160038739644</v>
      </c>
      <c r="E191" s="338">
        <f t="shared" si="56"/>
        <v>1.0003815955265134</v>
      </c>
      <c r="F191" s="339">
        <f t="shared" si="57"/>
        <v>2.7621521321572414E-2</v>
      </c>
      <c r="G191" s="338">
        <f t="shared" si="58"/>
        <v>1</v>
      </c>
      <c r="H191" s="339">
        <f t="shared" si="59"/>
        <v>0</v>
      </c>
      <c r="I191" s="337">
        <f t="shared" si="60"/>
        <v>14305.85907184962</v>
      </c>
      <c r="J191" s="340">
        <f t="shared" si="61"/>
        <v>1.5707264253652942</v>
      </c>
      <c r="K191" s="348">
        <f t="shared" si="82"/>
        <v>4.1448321840362876</v>
      </c>
      <c r="L191" s="349">
        <f t="shared" si="83"/>
        <v>1.3271279101302822</v>
      </c>
      <c r="M191" s="337">
        <f t="shared" si="64"/>
        <v>1.0057840092788171</v>
      </c>
      <c r="N191" s="340">
        <f t="shared" si="65"/>
        <v>0.10729647917745963</v>
      </c>
      <c r="O191" s="341">
        <f t="shared" si="66"/>
        <v>1.0023459015024363</v>
      </c>
      <c r="P191" s="342">
        <f t="shared" si="67"/>
        <v>0.15453955368698341</v>
      </c>
      <c r="Q191" s="343">
        <f t="shared" si="68"/>
        <v>9.4263160011699867</v>
      </c>
      <c r="R191" s="344">
        <f t="shared" si="69"/>
        <v>-105.29984704329267</v>
      </c>
      <c r="S191" s="346">
        <f t="shared" si="70"/>
        <v>74.700152956707328</v>
      </c>
      <c r="U191" s="319">
        <f t="shared" si="76"/>
        <v>1000000000</v>
      </c>
      <c r="V191" s="319">
        <f t="shared" si="77"/>
        <v>116154506.25</v>
      </c>
      <c r="X191" s="345">
        <f t="shared" si="71"/>
        <v>26.896990050077385</v>
      </c>
      <c r="Y191" s="346">
        <f t="shared" si="72"/>
        <v>-20.104802255074308</v>
      </c>
      <c r="AA191" s="345">
        <f t="shared" si="73"/>
        <v>46.138447240255232</v>
      </c>
      <c r="AB191" s="346">
        <f t="shared" si="74"/>
        <v>-85.195044788218325</v>
      </c>
      <c r="AD191">
        <f t="shared" si="78"/>
        <v>0</v>
      </c>
      <c r="AE191">
        <f t="shared" si="81"/>
        <v>0</v>
      </c>
    </row>
    <row r="192" spans="1:31" x14ac:dyDescent="0.25">
      <c r="A192" s="347">
        <v>10840</v>
      </c>
      <c r="B192" s="364">
        <f t="shared" si="75"/>
        <v>10.84</v>
      </c>
      <c r="C192" s="337">
        <f t="shared" si="54"/>
        <v>4.806096309886704</v>
      </c>
      <c r="D192" s="338">
        <f t="shared" si="55"/>
        <v>1.3611959164492111</v>
      </c>
      <c r="E192" s="338">
        <f t="shared" si="56"/>
        <v>1.0003860333384578</v>
      </c>
      <c r="F192" s="339">
        <f t="shared" si="57"/>
        <v>2.7781619627741963E-2</v>
      </c>
      <c r="G192" s="338">
        <f t="shared" si="58"/>
        <v>1</v>
      </c>
      <c r="H192" s="339">
        <f t="shared" si="59"/>
        <v>0</v>
      </c>
      <c r="I192" s="337">
        <f t="shared" si="60"/>
        <v>14388.820443933533</v>
      </c>
      <c r="J192" s="340">
        <f t="shared" si="61"/>
        <v>1.5707268283947531</v>
      </c>
      <c r="K192" s="348">
        <f t="shared" si="82"/>
        <v>4.1674732368856864</v>
      </c>
      <c r="L192" s="349">
        <f t="shared" si="83"/>
        <v>1.328478323382235</v>
      </c>
      <c r="M192" s="337">
        <f t="shared" si="64"/>
        <v>1.0058510924156878</v>
      </c>
      <c r="N192" s="340">
        <f t="shared" si="65"/>
        <v>0.10791389843009766</v>
      </c>
      <c r="O192" s="341">
        <f t="shared" si="66"/>
        <v>1.0023736973101438</v>
      </c>
      <c r="P192" s="342">
        <f t="shared" si="67"/>
        <v>0.15543866834794884</v>
      </c>
      <c r="Q192" s="343">
        <f t="shared" si="68"/>
        <v>9.3745881456651574</v>
      </c>
      <c r="R192" s="344">
        <f t="shared" si="69"/>
        <v>-105.36781920156518</v>
      </c>
      <c r="S192" s="346">
        <f t="shared" si="70"/>
        <v>74.632180798434817</v>
      </c>
      <c r="U192" s="319">
        <f t="shared" si="76"/>
        <v>1000000000</v>
      </c>
      <c r="V192" s="319">
        <f t="shared" si="77"/>
        <v>117505600</v>
      </c>
      <c r="X192" s="345">
        <f t="shared" si="71"/>
        <v>26.893503089893311</v>
      </c>
      <c r="Y192" s="346">
        <f t="shared" si="72"/>
        <v>-20.062827884344205</v>
      </c>
      <c r="AA192" s="345">
        <f t="shared" si="73"/>
        <v>46.090206344934472</v>
      </c>
      <c r="AB192" s="346">
        <f t="shared" si="74"/>
        <v>-85.304991317220953</v>
      </c>
      <c r="AD192">
        <f t="shared" si="78"/>
        <v>0</v>
      </c>
      <c r="AE192">
        <f t="shared" si="81"/>
        <v>0</v>
      </c>
    </row>
    <row r="193" spans="1:31" x14ac:dyDescent="0.25">
      <c r="A193" s="347">
        <v>10902.5</v>
      </c>
      <c r="B193" s="364">
        <f t="shared" si="75"/>
        <v>10.9025</v>
      </c>
      <c r="C193" s="337">
        <f t="shared" si="54"/>
        <v>4.8326103663399333</v>
      </c>
      <c r="D193" s="338">
        <f t="shared" si="55"/>
        <v>1.3623628834830481</v>
      </c>
      <c r="E193" s="338">
        <f t="shared" si="56"/>
        <v>1.0003904967915365</v>
      </c>
      <c r="F193" s="339">
        <f t="shared" si="57"/>
        <v>2.7941716509390313E-2</v>
      </c>
      <c r="G193" s="338">
        <f t="shared" si="58"/>
        <v>1</v>
      </c>
      <c r="H193" s="339">
        <f t="shared" si="59"/>
        <v>0</v>
      </c>
      <c r="I193" s="337">
        <f t="shared" si="60"/>
        <v>14471.781816019755</v>
      </c>
      <c r="J193" s="340">
        <f t="shared" si="61"/>
        <v>1.5707272268033745</v>
      </c>
      <c r="K193" s="348">
        <f t="shared" si="82"/>
        <v>4.1901218074669018</v>
      </c>
      <c r="L193" s="349">
        <f t="shared" si="83"/>
        <v>1.3298141404608441</v>
      </c>
      <c r="M193" s="337">
        <f t="shared" si="64"/>
        <v>1.0059185589383397</v>
      </c>
      <c r="N193" s="340">
        <f t="shared" si="65"/>
        <v>0.10853123509795777</v>
      </c>
      <c r="O193" s="341">
        <f t="shared" si="66"/>
        <v>1.0024016656118666</v>
      </c>
      <c r="P193" s="342">
        <f t="shared" si="67"/>
        <v>0.15633783270831109</v>
      </c>
      <c r="Q193" s="343">
        <f t="shared" si="68"/>
        <v>9.3231560460415732</v>
      </c>
      <c r="R193" s="344">
        <f t="shared" si="69"/>
        <v>-105.43588386675216</v>
      </c>
      <c r="S193" s="346">
        <f t="shared" si="70"/>
        <v>74.564116133247836</v>
      </c>
      <c r="U193" s="319">
        <f t="shared" si="76"/>
        <v>1000000000</v>
      </c>
      <c r="V193" s="319">
        <f t="shared" si="77"/>
        <v>118864506.25</v>
      </c>
      <c r="X193" s="345">
        <f t="shared" si="71"/>
        <v>26.890060821750804</v>
      </c>
      <c r="Y193" s="346">
        <f t="shared" si="72"/>
        <v>-20.02168481623098</v>
      </c>
      <c r="AA193" s="345">
        <f t="shared" si="73"/>
        <v>46.042216513453397</v>
      </c>
      <c r="AB193" s="346">
        <f t="shared" si="74"/>
        <v>-85.414199050521205</v>
      </c>
      <c r="AD193">
        <f t="shared" si="78"/>
        <v>0</v>
      </c>
      <c r="AE193">
        <f t="shared" si="81"/>
        <v>0</v>
      </c>
    </row>
    <row r="194" spans="1:31" x14ac:dyDescent="0.25">
      <c r="A194" s="347">
        <v>10965</v>
      </c>
      <c r="B194" s="364">
        <f t="shared" si="75"/>
        <v>10.965</v>
      </c>
      <c r="C194" s="337">
        <f t="shared" si="54"/>
        <v>4.8591309320748515</v>
      </c>
      <c r="D194" s="338">
        <f t="shared" si="55"/>
        <v>1.3635171137365334</v>
      </c>
      <c r="E194" s="338">
        <f t="shared" si="56"/>
        <v>1.000394985885406</v>
      </c>
      <c r="F194" s="339">
        <f t="shared" si="57"/>
        <v>2.8101811958329701E-2</v>
      </c>
      <c r="G194" s="338">
        <f t="shared" si="58"/>
        <v>1</v>
      </c>
      <c r="H194" s="339">
        <f t="shared" si="59"/>
        <v>0</v>
      </c>
      <c r="I194" s="337">
        <f t="shared" si="60"/>
        <v>14554.743188108248</v>
      </c>
      <c r="J194" s="340">
        <f t="shared" si="61"/>
        <v>1.5707276206701741</v>
      </c>
      <c r="K194" s="348">
        <f t="shared" si="82"/>
        <v>4.2127777745303296</v>
      </c>
      <c r="L194" s="349">
        <f t="shared" si="83"/>
        <v>1.3311355920509842</v>
      </c>
      <c r="M194" s="337">
        <f t="shared" si="64"/>
        <v>1.0059864087696375</v>
      </c>
      <c r="N194" s="340">
        <f t="shared" si="65"/>
        <v>0.10914848872716357</v>
      </c>
      <c r="O194" s="341">
        <f t="shared" si="66"/>
        <v>1.0024298066101744</v>
      </c>
      <c r="P194" s="342">
        <f t="shared" si="67"/>
        <v>0.15723704702640506</v>
      </c>
      <c r="Q194" s="343">
        <f t="shared" si="68"/>
        <v>9.272016160262389</v>
      </c>
      <c r="R194" s="344">
        <f t="shared" si="69"/>
        <v>-105.50403977650419</v>
      </c>
      <c r="S194" s="346">
        <f t="shared" si="70"/>
        <v>74.495960223495814</v>
      </c>
      <c r="U194" s="319">
        <f t="shared" si="76"/>
        <v>1000000000</v>
      </c>
      <c r="V194" s="319">
        <f t="shared" si="77"/>
        <v>120231225</v>
      </c>
      <c r="X194" s="345">
        <f t="shared" si="71"/>
        <v>26.886662207598309</v>
      </c>
      <c r="Y194" s="346">
        <f t="shared" si="72"/>
        <v>-19.981359811986966</v>
      </c>
      <c r="AA194" s="345">
        <f t="shared" si="73"/>
        <v>45.994475241826706</v>
      </c>
      <c r="AB194" s="346">
        <f t="shared" si="74"/>
        <v>-85.522679964517224</v>
      </c>
      <c r="AD194">
        <f t="shared" si="78"/>
        <v>0</v>
      </c>
      <c r="AE194">
        <f t="shared" si="81"/>
        <v>0</v>
      </c>
    </row>
    <row r="195" spans="1:31" x14ac:dyDescent="0.25">
      <c r="A195" s="347">
        <v>11028.75</v>
      </c>
      <c r="B195" s="364">
        <f t="shared" si="75"/>
        <v>11.02875</v>
      </c>
      <c r="C195" s="337">
        <f t="shared" si="54"/>
        <v>4.8861885050669853</v>
      </c>
      <c r="D195" s="338">
        <f t="shared" si="55"/>
        <v>1.3646815190815933</v>
      </c>
      <c r="E195" s="338">
        <f t="shared" si="56"/>
        <v>1.0003995911759385</v>
      </c>
      <c r="F195" s="339">
        <f t="shared" si="57"/>
        <v>2.8265107831780295E-2</v>
      </c>
      <c r="G195" s="338">
        <f t="shared" si="58"/>
        <v>1</v>
      </c>
      <c r="H195" s="339">
        <f t="shared" si="59"/>
        <v>0</v>
      </c>
      <c r="I195" s="337">
        <f t="shared" si="60"/>
        <v>14639.363787640808</v>
      </c>
      <c r="J195" s="340">
        <f t="shared" si="61"/>
        <v>1.5707280178154024</v>
      </c>
      <c r="K195" s="348">
        <f t="shared" si="82"/>
        <v>4.2358943577097508</v>
      </c>
      <c r="L195" s="349">
        <f t="shared" si="83"/>
        <v>1.3324689076487239</v>
      </c>
      <c r="M195" s="337">
        <f t="shared" si="64"/>
        <v>1.0060560104016987</v>
      </c>
      <c r="N195" s="340">
        <f t="shared" si="65"/>
        <v>0.1097780014122221</v>
      </c>
      <c r="O195" s="341">
        <f t="shared" si="66"/>
        <v>1.0024586885517333</v>
      </c>
      <c r="P195" s="342">
        <f t="shared" si="67"/>
        <v>0.15815429736472095</v>
      </c>
      <c r="Q195" s="343">
        <f t="shared" si="68"/>
        <v>9.2201509071692929</v>
      </c>
      <c r="R195" s="344">
        <f t="shared" si="69"/>
        <v>-105.57365151551974</v>
      </c>
      <c r="S195" s="346">
        <f t="shared" si="70"/>
        <v>74.426348484480258</v>
      </c>
      <c r="U195" s="319">
        <f t="shared" si="76"/>
        <v>1000000000</v>
      </c>
      <c r="V195" s="319">
        <f t="shared" si="77"/>
        <v>121633326.5625</v>
      </c>
      <c r="X195" s="345">
        <f t="shared" si="71"/>
        <v>26.883239545892156</v>
      </c>
      <c r="Y195" s="346">
        <f t="shared" si="72"/>
        <v>-19.941057630180691</v>
      </c>
      <c r="AA195" s="345">
        <f t="shared" si="73"/>
        <v>45.946032650439761</v>
      </c>
      <c r="AB195" s="346">
        <f t="shared" si="74"/>
        <v>-85.632593885339034</v>
      </c>
      <c r="AD195">
        <f t="shared" si="78"/>
        <v>0</v>
      </c>
      <c r="AE195">
        <f t="shared" si="81"/>
        <v>0</v>
      </c>
    </row>
    <row r="196" spans="1:31" x14ac:dyDescent="0.25">
      <c r="A196" s="347">
        <v>11092.5</v>
      </c>
      <c r="B196" s="364">
        <f t="shared" si="75"/>
        <v>11.092499999999999</v>
      </c>
      <c r="C196" s="337">
        <f t="shared" si="54"/>
        <v>4.913252629975486</v>
      </c>
      <c r="D196" s="338">
        <f t="shared" si="55"/>
        <v>1.3658330979699089</v>
      </c>
      <c r="E196" s="338">
        <f t="shared" si="56"/>
        <v>1.0004042231424224</v>
      </c>
      <c r="F196" s="339">
        <f t="shared" si="57"/>
        <v>2.8428402197434408E-2</v>
      </c>
      <c r="G196" s="338">
        <f t="shared" si="58"/>
        <v>1</v>
      </c>
      <c r="H196" s="339">
        <f t="shared" si="59"/>
        <v>0</v>
      </c>
      <c r="I196" s="337">
        <f t="shared" si="60"/>
        <v>14723.984387175655</v>
      </c>
      <c r="J196" s="340">
        <f t="shared" si="61"/>
        <v>1.5707284103957431</v>
      </c>
      <c r="K196" s="348">
        <f t="shared" si="82"/>
        <v>4.2590183894160729</v>
      </c>
      <c r="L196" s="349">
        <f t="shared" si="83"/>
        <v>1.3337877472890056</v>
      </c>
      <c r="M196" s="337">
        <f t="shared" si="64"/>
        <v>1.0061260106646415</v>
      </c>
      <c r="N196" s="340">
        <f t="shared" si="65"/>
        <v>0.11040742675118836</v>
      </c>
      <c r="O196" s="341">
        <f t="shared" si="66"/>
        <v>1.00248775059615</v>
      </c>
      <c r="P196" s="342">
        <f t="shared" si="67"/>
        <v>0.15907160022043387</v>
      </c>
      <c r="Q196" s="343">
        <f t="shared" si="68"/>
        <v>9.1685824260537565</v>
      </c>
      <c r="R196" s="344">
        <f t="shared" si="69"/>
        <v>-105.64335559326895</v>
      </c>
      <c r="S196" s="346">
        <f t="shared" si="70"/>
        <v>74.35664440673105</v>
      </c>
      <c r="U196" s="319">
        <f t="shared" si="76"/>
        <v>1000000000</v>
      </c>
      <c r="V196" s="319">
        <f t="shared" si="77"/>
        <v>123043556.25</v>
      </c>
      <c r="X196" s="345">
        <f t="shared" si="71"/>
        <v>26.87986020742899</v>
      </c>
      <c r="Y196" s="346">
        <f t="shared" si="72"/>
        <v>-19.90157959353089</v>
      </c>
      <c r="AA196" s="345">
        <f t="shared" si="73"/>
        <v>45.8978435077874</v>
      </c>
      <c r="AB196" s="346">
        <f t="shared" si="74"/>
        <v>-85.741775999738053</v>
      </c>
      <c r="AD196">
        <f t="shared" si="78"/>
        <v>0</v>
      </c>
      <c r="AE196">
        <f t="shared" si="81"/>
        <v>0</v>
      </c>
    </row>
    <row r="197" spans="1:31" x14ac:dyDescent="0.25">
      <c r="A197" s="347">
        <v>11156.25</v>
      </c>
      <c r="B197" s="364">
        <f t="shared" si="75"/>
        <v>11.15625</v>
      </c>
      <c r="C197" s="337">
        <f t="shared" si="54"/>
        <v>4.9403231991220453</v>
      </c>
      <c r="D197" s="338">
        <f t="shared" si="55"/>
        <v>1.3669720581700555</v>
      </c>
      <c r="E197" s="338">
        <f t="shared" si="56"/>
        <v>1.0004088817844872</v>
      </c>
      <c r="F197" s="339">
        <f t="shared" si="57"/>
        <v>2.859169504660454E-2</v>
      </c>
      <c r="G197" s="338">
        <f t="shared" si="58"/>
        <v>1</v>
      </c>
      <c r="H197" s="339">
        <f t="shared" si="59"/>
        <v>0</v>
      </c>
      <c r="I197" s="337">
        <f t="shared" si="60"/>
        <v>14808.604986712742</v>
      </c>
      <c r="J197" s="340">
        <f t="shared" si="61"/>
        <v>1.5707287984894513</v>
      </c>
      <c r="K197" s="348">
        <f t="shared" si="82"/>
        <v>4.2821497489809524</v>
      </c>
      <c r="L197" s="349">
        <f t="shared" si="83"/>
        <v>1.335092340935579</v>
      </c>
      <c r="M197" s="337">
        <f t="shared" si="64"/>
        <v>1.0061964094752684</v>
      </c>
      <c r="N197" s="340">
        <f t="shared" si="65"/>
        <v>0.11103676426361768</v>
      </c>
      <c r="O197" s="341">
        <f t="shared" si="66"/>
        <v>1.0025169929620432</v>
      </c>
      <c r="P197" s="342">
        <f t="shared" si="67"/>
        <v>0.15998895586612044</v>
      </c>
      <c r="Q197" s="343">
        <f t="shared" si="68"/>
        <v>9.1173071540216988</v>
      </c>
      <c r="R197" s="344">
        <f t="shared" si="69"/>
        <v>-105.71315073113345</v>
      </c>
      <c r="S197" s="346">
        <f t="shared" si="70"/>
        <v>74.286849268866547</v>
      </c>
      <c r="U197" s="319">
        <f t="shared" si="76"/>
        <v>1000000000</v>
      </c>
      <c r="V197" s="319">
        <f t="shared" si="77"/>
        <v>124461914.0625</v>
      </c>
      <c r="X197" s="345">
        <f t="shared" si="71"/>
        <v>26.876523177022527</v>
      </c>
      <c r="Y197" s="346">
        <f t="shared" si="72"/>
        <v>-19.862912503041468</v>
      </c>
      <c r="AA197" s="345">
        <f t="shared" si="73"/>
        <v>45.849905266161798</v>
      </c>
      <c r="AB197" s="346">
        <f t="shared" si="74"/>
        <v>-85.850238228091996</v>
      </c>
      <c r="AD197">
        <f t="shared" si="78"/>
        <v>0</v>
      </c>
      <c r="AE197">
        <f t="shared" si="81"/>
        <v>0</v>
      </c>
    </row>
    <row r="198" spans="1:31" x14ac:dyDescent="0.25">
      <c r="A198" s="347">
        <v>11220</v>
      </c>
      <c r="B198" s="364">
        <f t="shared" si="75"/>
        <v>11.22</v>
      </c>
      <c r="C198" s="337">
        <f t="shared" si="54"/>
        <v>4.967400107150227</v>
      </c>
      <c r="D198" s="338">
        <f t="shared" si="55"/>
        <v>1.3680986030530655</v>
      </c>
      <c r="E198" s="338">
        <f t="shared" si="56"/>
        <v>1.0004135671017604</v>
      </c>
      <c r="F198" s="339">
        <f t="shared" si="57"/>
        <v>2.8754986370603676E-2</v>
      </c>
      <c r="G198" s="338">
        <f t="shared" si="58"/>
        <v>1</v>
      </c>
      <c r="H198" s="339">
        <f t="shared" si="59"/>
        <v>0</v>
      </c>
      <c r="I198" s="337">
        <f t="shared" si="60"/>
        <v>14893.225586252034</v>
      </c>
      <c r="J198" s="340">
        <f t="shared" si="61"/>
        <v>1.5707291821730038</v>
      </c>
      <c r="K198" s="348">
        <f t="shared" si="82"/>
        <v>4.305288318291514</v>
      </c>
      <c r="L198" s="349">
        <f t="shared" si="83"/>
        <v>1.3363829138048033</v>
      </c>
      <c r="M198" s="337">
        <f t="shared" si="64"/>
        <v>1.0062672067499319</v>
      </c>
      <c r="N198" s="340">
        <f t="shared" si="65"/>
        <v>0.11166601346947772</v>
      </c>
      <c r="O198" s="341">
        <f t="shared" si="66"/>
        <v>1.0025464158692599</v>
      </c>
      <c r="P198" s="342">
        <f t="shared" si="67"/>
        <v>0.16090636457382232</v>
      </c>
      <c r="Q198" s="343">
        <f t="shared" si="68"/>
        <v>9.0663215910787969</v>
      </c>
      <c r="R198" s="344">
        <f t="shared" si="69"/>
        <v>-105.78303567043079</v>
      </c>
      <c r="S198" s="346">
        <f t="shared" si="70"/>
        <v>74.216964329569208</v>
      </c>
      <c r="U198" s="319">
        <f t="shared" si="76"/>
        <v>1000000000</v>
      </c>
      <c r="V198" s="319">
        <f t="shared" si="77"/>
        <v>125888400</v>
      </c>
      <c r="X198" s="345">
        <f t="shared" si="71"/>
        <v>26.873227466747757</v>
      </c>
      <c r="Y198" s="346">
        <f t="shared" si="72"/>
        <v>-19.825043431643529</v>
      </c>
      <c r="AA198" s="345">
        <f t="shared" si="73"/>
        <v>45.80221541349367</v>
      </c>
      <c r="AB198" s="346">
        <f t="shared" si="74"/>
        <v>-85.95799223878727</v>
      </c>
      <c r="AD198">
        <f t="shared" si="78"/>
        <v>0</v>
      </c>
      <c r="AE198">
        <f t="shared" si="81"/>
        <v>0</v>
      </c>
    </row>
    <row r="199" spans="1:31" x14ac:dyDescent="0.25">
      <c r="A199" s="347">
        <v>11285.5</v>
      </c>
      <c r="B199" s="364">
        <f t="shared" si="75"/>
        <v>11.285500000000001</v>
      </c>
      <c r="C199" s="337">
        <f t="shared" si="54"/>
        <v>4.9952267967857917</v>
      </c>
      <c r="D199" s="338">
        <f t="shared" si="55"/>
        <v>1.3692433507109911</v>
      </c>
      <c r="E199" s="338">
        <f t="shared" si="56"/>
        <v>1.0004184088188424</v>
      </c>
      <c r="F199" s="339">
        <f t="shared" si="57"/>
        <v>2.8922758603859049E-2</v>
      </c>
      <c r="G199" s="338">
        <f t="shared" si="58"/>
        <v>1</v>
      </c>
      <c r="H199" s="339">
        <f t="shared" si="59"/>
        <v>0</v>
      </c>
      <c r="I199" s="337">
        <f t="shared" si="60"/>
        <v>14980.169104212311</v>
      </c>
      <c r="J199" s="340">
        <f t="shared" si="61"/>
        <v>1.5707295718741887</v>
      </c>
      <c r="K199" s="348">
        <f t="shared" si="82"/>
        <v>4.3290694518359301</v>
      </c>
      <c r="L199" s="349">
        <f t="shared" si="83"/>
        <v>1.3376945426023283</v>
      </c>
      <c r="M199" s="337">
        <f t="shared" si="64"/>
        <v>1.0063403624123091</v>
      </c>
      <c r="N199" s="340">
        <f t="shared" si="65"/>
        <v>0.11231244370283984</v>
      </c>
      <c r="O199" s="341">
        <f t="shared" si="66"/>
        <v>1.0025768347399027</v>
      </c>
      <c r="P199" s="342">
        <f t="shared" si="67"/>
        <v>0.16184901260225487</v>
      </c>
      <c r="Q199" s="343">
        <f t="shared" si="68"/>
        <v>9.0142345581062564</v>
      </c>
      <c r="R199" s="344">
        <f t="shared" si="69"/>
        <v>-105.85493125059854</v>
      </c>
      <c r="S199" s="346">
        <f t="shared" si="70"/>
        <v>74.14506874940146</v>
      </c>
      <c r="U199" s="319">
        <f t="shared" si="76"/>
        <v>1000000000</v>
      </c>
      <c r="V199" s="319">
        <f t="shared" si="77"/>
        <v>127362510.25</v>
      </c>
      <c r="X199" s="345">
        <f t="shared" si="71"/>
        <v>26.86988331265124</v>
      </c>
      <c r="Y199" s="346">
        <f t="shared" si="72"/>
        <v>-19.786952689568462</v>
      </c>
      <c r="AA199" s="345">
        <f t="shared" si="73"/>
        <v>45.753472534617643</v>
      </c>
      <c r="AB199" s="346">
        <f t="shared" si="74"/>
        <v>-86.067978561030074</v>
      </c>
      <c r="AD199">
        <f t="shared" si="78"/>
        <v>0</v>
      </c>
      <c r="AE199">
        <f t="shared" si="81"/>
        <v>0</v>
      </c>
    </row>
    <row r="200" spans="1:31" x14ac:dyDescent="0.25">
      <c r="A200" s="347">
        <v>11351</v>
      </c>
      <c r="B200" s="364">
        <f t="shared" si="75"/>
        <v>11.351000000000001</v>
      </c>
      <c r="C200" s="337">
        <f t="shared" si="54"/>
        <v>5.0230599598706558</v>
      </c>
      <c r="D200" s="338">
        <f t="shared" si="55"/>
        <v>1.3703754135684318</v>
      </c>
      <c r="E200" s="338">
        <f t="shared" si="56"/>
        <v>1.0004232786949507</v>
      </c>
      <c r="F200" s="339">
        <f t="shared" si="57"/>
        <v>2.9090529208468104E-2</v>
      </c>
      <c r="G200" s="338">
        <f t="shared" si="58"/>
        <v>1</v>
      </c>
      <c r="H200" s="339">
        <f t="shared" si="59"/>
        <v>0</v>
      </c>
      <c r="I200" s="337">
        <f t="shared" si="60"/>
        <v>15067.112622174836</v>
      </c>
      <c r="J200" s="340">
        <f t="shared" si="61"/>
        <v>1.570729957077897</v>
      </c>
      <c r="K200" s="348">
        <f t="shared" si="82"/>
        <v>4.3528579515970494</v>
      </c>
      <c r="L200" s="349">
        <f t="shared" si="83"/>
        <v>1.3389918374296617</v>
      </c>
      <c r="M200" s="337">
        <f t="shared" si="64"/>
        <v>1.0064139385349558</v>
      </c>
      <c r="N200" s="340">
        <f t="shared" si="65"/>
        <v>0.11295877968882363</v>
      </c>
      <c r="O200" s="341">
        <f t="shared" si="66"/>
        <v>1.0026074446745057</v>
      </c>
      <c r="P200" s="342">
        <f t="shared" si="67"/>
        <v>0.16279171722639646</v>
      </c>
      <c r="Q200" s="343">
        <f t="shared" si="68"/>
        <v>8.962446064856703</v>
      </c>
      <c r="R200" s="344">
        <f t="shared" si="69"/>
        <v>-105.92691899957669</v>
      </c>
      <c r="S200" s="346">
        <f t="shared" si="70"/>
        <v>74.073081000423315</v>
      </c>
      <c r="U200" s="319">
        <f t="shared" si="76"/>
        <v>1000000000</v>
      </c>
      <c r="V200" s="319">
        <f t="shared" si="77"/>
        <v>128845201</v>
      </c>
      <c r="X200" s="345">
        <f t="shared" si="71"/>
        <v>26.866580748652421</v>
      </c>
      <c r="Y200" s="346">
        <f t="shared" si="72"/>
        <v>-19.749677565826556</v>
      </c>
      <c r="AA200" s="345">
        <f t="shared" si="73"/>
        <v>45.704986605366919</v>
      </c>
      <c r="AB200" s="346">
        <f t="shared" si="74"/>
        <v>-86.177241433750112</v>
      </c>
      <c r="AD200">
        <f t="shared" si="78"/>
        <v>0</v>
      </c>
      <c r="AE200">
        <f t="shared" si="81"/>
        <v>0</v>
      </c>
    </row>
    <row r="201" spans="1:31" x14ac:dyDescent="0.25">
      <c r="A201" s="347">
        <v>11416.5</v>
      </c>
      <c r="B201" s="364">
        <f t="shared" si="75"/>
        <v>11.416499999999999</v>
      </c>
      <c r="C201" s="337">
        <f t="shared" si="54"/>
        <v>5.0508994893882964</v>
      </c>
      <c r="D201" s="338">
        <f t="shared" si="55"/>
        <v>1.3714949984476272</v>
      </c>
      <c r="E201" s="338">
        <f t="shared" si="56"/>
        <v>1.0004281767296741</v>
      </c>
      <c r="F201" s="339">
        <f t="shared" si="57"/>
        <v>2.9258298175010217E-2</v>
      </c>
      <c r="G201" s="338">
        <f t="shared" si="58"/>
        <v>1</v>
      </c>
      <c r="H201" s="339">
        <f t="shared" si="59"/>
        <v>0</v>
      </c>
      <c r="I201" s="337">
        <f t="shared" si="60"/>
        <v>15154.056140139572</v>
      </c>
      <c r="J201" s="340">
        <f t="shared" si="61"/>
        <v>1.5707303378615391</v>
      </c>
      <c r="K201" s="348">
        <f t="shared" si="82"/>
        <v>4.3766536974617054</v>
      </c>
      <c r="L201" s="349">
        <f t="shared" si="83"/>
        <v>1.340275027684404</v>
      </c>
      <c r="M201" s="337">
        <f t="shared" si="64"/>
        <v>1.0064879350256624</v>
      </c>
      <c r="N201" s="340">
        <f t="shared" si="65"/>
        <v>0.11360502090814355</v>
      </c>
      <c r="O201" s="341">
        <f t="shared" si="66"/>
        <v>1.0026382459155667</v>
      </c>
      <c r="P201" s="342">
        <f t="shared" si="67"/>
        <v>0.16373447873952865</v>
      </c>
      <c r="Q201" s="343">
        <f t="shared" si="68"/>
        <v>8.9109525129825649</v>
      </c>
      <c r="R201" s="344">
        <f t="shared" si="69"/>
        <v>-105.99899761591826</v>
      </c>
      <c r="S201" s="346">
        <f t="shared" si="70"/>
        <v>74.001002384081744</v>
      </c>
      <c r="U201" s="319">
        <f t="shared" si="76"/>
        <v>1000000000</v>
      </c>
      <c r="V201" s="319">
        <f t="shared" si="77"/>
        <v>130336472.25</v>
      </c>
      <c r="X201" s="345">
        <f t="shared" si="71"/>
        <v>26.863318787512092</v>
      </c>
      <c r="Y201" s="346">
        <f t="shared" si="72"/>
        <v>-19.713204891585857</v>
      </c>
      <c r="AA201" s="345">
        <f t="shared" si="73"/>
        <v>45.656755014633106</v>
      </c>
      <c r="AB201" s="346">
        <f t="shared" si="74"/>
        <v>-86.28579272433241</v>
      </c>
      <c r="AD201">
        <f t="shared" si="78"/>
        <v>0</v>
      </c>
      <c r="AE201">
        <f t="shared" si="81"/>
        <v>0</v>
      </c>
    </row>
    <row r="202" spans="1:31" x14ac:dyDescent="0.25">
      <c r="A202" s="347">
        <v>11482</v>
      </c>
      <c r="B202" s="364">
        <f t="shared" si="75"/>
        <v>11.481999999999999</v>
      </c>
      <c r="C202" s="337">
        <f t="shared" si="54"/>
        <v>5.0787452806444531</v>
      </c>
      <c r="D202" s="338">
        <f t="shared" si="55"/>
        <v>1.3726023077616369</v>
      </c>
      <c r="E202" s="338">
        <f t="shared" si="56"/>
        <v>1.000433102922599</v>
      </c>
      <c r="F202" s="339">
        <f t="shared" si="57"/>
        <v>2.9426065494065328E-2</v>
      </c>
      <c r="G202" s="338">
        <f t="shared" si="58"/>
        <v>1</v>
      </c>
      <c r="H202" s="339">
        <f t="shared" si="59"/>
        <v>0</v>
      </c>
      <c r="I202" s="337">
        <f t="shared" si="60"/>
        <v>15240.999658106479</v>
      </c>
      <c r="J202" s="340">
        <f t="shared" si="61"/>
        <v>1.5707307143007592</v>
      </c>
      <c r="K202" s="348">
        <f t="shared" si="82"/>
        <v>4.4004565718786184</v>
      </c>
      <c r="L202" s="349">
        <f t="shared" si="83"/>
        <v>1.3415443379888123</v>
      </c>
      <c r="M202" s="337">
        <f t="shared" si="64"/>
        <v>1.0065623517917204</v>
      </c>
      <c r="N202" s="340">
        <f t="shared" si="65"/>
        <v>0.11425116684198293</v>
      </c>
      <c r="O202" s="341">
        <f t="shared" si="66"/>
        <v>1.0026692387069498</v>
      </c>
      <c r="P202" s="342">
        <f t="shared" si="67"/>
        <v>0.16467729743432347</v>
      </c>
      <c r="Q202" s="343">
        <f t="shared" si="68"/>
        <v>8.8597503678791156</v>
      </c>
      <c r="R202" s="344">
        <f t="shared" si="69"/>
        <v>-106.07116581904674</v>
      </c>
      <c r="S202" s="346">
        <f t="shared" si="70"/>
        <v>73.92883418095326</v>
      </c>
      <c r="U202" s="319">
        <f t="shared" si="76"/>
        <v>1000000000</v>
      </c>
      <c r="V202" s="319">
        <f t="shared" si="77"/>
        <v>131836324</v>
      </c>
      <c r="X202" s="345">
        <f t="shared" si="71"/>
        <v>26.86009646867754</v>
      </c>
      <c r="Y202" s="346">
        <f t="shared" si="72"/>
        <v>-19.677521771547102</v>
      </c>
      <c r="AA202" s="345">
        <f t="shared" si="73"/>
        <v>45.608775188364206</v>
      </c>
      <c r="AB202" s="346">
        <f t="shared" si="74"/>
        <v>-86.39364404749962</v>
      </c>
      <c r="AD202">
        <f t="shared" si="78"/>
        <v>0</v>
      </c>
      <c r="AE202">
        <f t="shared" si="81"/>
        <v>0</v>
      </c>
    </row>
    <row r="203" spans="1:31" x14ac:dyDescent="0.25">
      <c r="A203" s="347">
        <v>11548.75</v>
      </c>
      <c r="B203" s="364">
        <f t="shared" si="75"/>
        <v>11.54875</v>
      </c>
      <c r="C203" s="337">
        <f t="shared" si="54"/>
        <v>5.1071288162133142</v>
      </c>
      <c r="D203" s="338">
        <f t="shared" si="55"/>
        <v>1.373718324834762</v>
      </c>
      <c r="E203" s="338">
        <f t="shared" si="56"/>
        <v>1.0004381520957935</v>
      </c>
      <c r="F203" s="339">
        <f t="shared" si="57"/>
        <v>2.9597032774814212E-2</v>
      </c>
      <c r="G203" s="338">
        <f t="shared" si="58"/>
        <v>1</v>
      </c>
      <c r="H203" s="339">
        <f t="shared" si="59"/>
        <v>0</v>
      </c>
      <c r="I203" s="337">
        <f t="shared" si="60"/>
        <v>15329.602403517698</v>
      </c>
      <c r="J203" s="340">
        <f t="shared" si="61"/>
        <v>1.5707310935308898</v>
      </c>
      <c r="K203" s="348">
        <f t="shared" si="82"/>
        <v>4.4247209144242028</v>
      </c>
      <c r="L203" s="349">
        <f t="shared" si="83"/>
        <v>1.3428238196895343</v>
      </c>
      <c r="M203" s="337">
        <f t="shared" si="64"/>
        <v>1.0066386210112297</v>
      </c>
      <c r="N203" s="340">
        <f t="shared" si="65"/>
        <v>0.11490954523795642</v>
      </c>
      <c r="O203" s="341">
        <f t="shared" si="66"/>
        <v>1.0027010202862363</v>
      </c>
      <c r="P203" s="342">
        <f t="shared" si="67"/>
        <v>0.16563816798363712</v>
      </c>
      <c r="Q203" s="343">
        <f t="shared" si="68"/>
        <v>8.8078672894224077</v>
      </c>
      <c r="R203" s="344">
        <f t="shared" si="69"/>
        <v>-106.14480214108008</v>
      </c>
      <c r="S203" s="346">
        <f t="shared" si="70"/>
        <v>73.855197858919922</v>
      </c>
      <c r="U203" s="319">
        <f t="shared" si="76"/>
        <v>1000000000</v>
      </c>
      <c r="V203" s="319">
        <f t="shared" si="77"/>
        <v>133373626.5625</v>
      </c>
      <c r="X203" s="345">
        <f t="shared" si="71"/>
        <v>26.856852471893802</v>
      </c>
      <c r="Y203" s="346">
        <f t="shared" si="72"/>
        <v>-19.641956901788696</v>
      </c>
      <c r="AA203" s="345">
        <f t="shared" si="73"/>
        <v>45.560136106691232</v>
      </c>
      <c r="AB203" s="346">
        <f t="shared" si="74"/>
        <v>-86.502845239291361</v>
      </c>
      <c r="AD203">
        <f t="shared" si="78"/>
        <v>0</v>
      </c>
      <c r="AE203">
        <f t="shared" si="81"/>
        <v>0</v>
      </c>
    </row>
    <row r="204" spans="1:31" x14ac:dyDescent="0.25">
      <c r="A204" s="347">
        <v>11615.5</v>
      </c>
      <c r="B204" s="364">
        <f t="shared" si="75"/>
        <v>11.615500000000001</v>
      </c>
      <c r="C204" s="337">
        <f t="shared" si="54"/>
        <v>5.1355186423642332</v>
      </c>
      <c r="D204" s="338">
        <f t="shared" si="55"/>
        <v>1.3748220042899637</v>
      </c>
      <c r="E204" s="338">
        <f t="shared" si="56"/>
        <v>1.0004432305113102</v>
      </c>
      <c r="F204" s="339">
        <f t="shared" si="57"/>
        <v>2.9767998324843885E-2</v>
      </c>
      <c r="G204" s="338">
        <f t="shared" si="58"/>
        <v>1</v>
      </c>
      <c r="H204" s="339">
        <f t="shared" si="59"/>
        <v>0</v>
      </c>
      <c r="I204" s="337">
        <f t="shared" si="60"/>
        <v>15418.205148931098</v>
      </c>
      <c r="J204" s="340">
        <f t="shared" si="61"/>
        <v>1.5707314684024287</v>
      </c>
      <c r="K204" s="348">
        <f t="shared" si="82"/>
        <v>4.4489924215443164</v>
      </c>
      <c r="L204" s="349">
        <f t="shared" si="83"/>
        <v>1.3440893430017209</v>
      </c>
      <c r="M204" s="337">
        <f t="shared" si="64"/>
        <v>1.0067153265042172</v>
      </c>
      <c r="N204" s="340">
        <f t="shared" si="65"/>
        <v>0.11556782359049385</v>
      </c>
      <c r="O204" s="341">
        <f t="shared" si="66"/>
        <v>1.0027330013123656</v>
      </c>
      <c r="P204" s="342">
        <f t="shared" si="67"/>
        <v>0.16659909852969748</v>
      </c>
      <c r="Q204" s="343">
        <f t="shared" si="68"/>
        <v>8.756279630280531</v>
      </c>
      <c r="R204" s="344">
        <f t="shared" si="69"/>
        <v>-106.21852888135685</v>
      </c>
      <c r="S204" s="346">
        <f t="shared" si="70"/>
        <v>73.781471118643154</v>
      </c>
      <c r="U204" s="319">
        <f t="shared" si="76"/>
        <v>1000000000</v>
      </c>
      <c r="V204" s="319">
        <f t="shared" si="77"/>
        <v>134919840.25</v>
      </c>
      <c r="X204" s="345">
        <f t="shared" si="71"/>
        <v>26.853647711725657</v>
      </c>
      <c r="Y204" s="346">
        <f t="shared" si="72"/>
        <v>-19.607185806987509</v>
      </c>
      <c r="AA204" s="345">
        <f t="shared" si="73"/>
        <v>45.511753207717504</v>
      </c>
      <c r="AB204" s="346">
        <f t="shared" si="74"/>
        <v>-86.61134307436933</v>
      </c>
      <c r="AD204">
        <f t="shared" si="78"/>
        <v>0</v>
      </c>
      <c r="AE204">
        <f t="shared" si="81"/>
        <v>0</v>
      </c>
    </row>
    <row r="205" spans="1:31" x14ac:dyDescent="0.25">
      <c r="A205" s="347">
        <v>11682.25</v>
      </c>
      <c r="B205" s="364">
        <f t="shared" si="75"/>
        <v>11.68225</v>
      </c>
      <c r="C205" s="337">
        <f t="shared" ref="C205:C268" si="84">SQRT(1+(A205/pole1)^2)</f>
        <v>5.1639146553453834</v>
      </c>
      <c r="D205" s="338">
        <f t="shared" ref="D205:D268" si="85">ATAN(A205/pole1)</f>
        <v>1.3759135469471722</v>
      </c>
      <c r="E205" s="338">
        <f t="shared" ref="E205:E268" si="86">SQRT(1+(A205/Zero1)^2)</f>
        <v>1.0004483381687044</v>
      </c>
      <c r="F205" s="339">
        <f t="shared" ref="F205:F268" si="87">ATAN(A205/Zero1)</f>
        <v>2.9938962134186398E-2</v>
      </c>
      <c r="G205" s="338">
        <f t="shared" ref="G205:G268" si="88">IF(VIN_nom&gt;Vout, 1, SQRT(1+(A205/z_RHP)^2))</f>
        <v>1</v>
      </c>
      <c r="H205" s="339">
        <f t="shared" ref="H205:H268" si="89">IF(VIN_nom&gt;Vout, 0, -ATAN(A205/z_RHP))</f>
        <v>0</v>
      </c>
      <c r="I205" s="337">
        <f t="shared" ref="I205:I268" si="90">SQRT(1+(A205/Pole2)^2)</f>
        <v>15506.807894346639</v>
      </c>
      <c r="J205" s="340">
        <f t="shared" ref="J205:J268" si="91">ATAN(A205/Pole2)</f>
        <v>1.5707318389900882</v>
      </c>
      <c r="K205" s="348">
        <f t="shared" si="82"/>
        <v>4.4732709766162335</v>
      </c>
      <c r="L205" s="349">
        <f t="shared" si="83"/>
        <v>1.3453411311147432</v>
      </c>
      <c r="M205" s="337">
        <f t="shared" ref="M205:M268" si="92">SQRT(1+(A205/pole4)^2)</f>
        <v>1.0067924681709663</v>
      </c>
      <c r="N205" s="340">
        <f t="shared" ref="N205:N268" si="93">ATAN(A205/pole4)</f>
        <v>0.11622600135202303</v>
      </c>
      <c r="O205" s="341">
        <f t="shared" ref="O205:O268" si="94">SQRT((1-(V205/pterm2))^2+(A205/pterm1)^2)</f>
        <v>1.0027651820478038</v>
      </c>
      <c r="P205" s="342">
        <f t="shared" ref="P205:P268" si="95">IF((ATAN((A205/pterm1)/(1-A205^2/pterm2))&gt;0),ATAN((A205/pterm1)/(1-A205^2/pterm2)),PI()+ATAN((A205/pterm1)/(1-A205^2/pterm2)))</f>
        <v>0.16756008938027767</v>
      </c>
      <c r="Q205" s="343">
        <f t="shared" ref="Q205:Q268" si="96">20*LOG10(((E205*K205*G205)/(C205*I205*O205*M205))*Adc)</f>
        <v>8.7049838444468097</v>
      </c>
      <c r="R205" s="344">
        <f t="shared" ref="R205:R268" si="97">((F205+L205+H205)-(D205+J205+P205+N205))*radconv</f>
        <v>-106.29234474931485</v>
      </c>
      <c r="S205" s="346">
        <f t="shared" ref="S205:S268" si="98">IF(R205&gt;0,R205,R205+180)</f>
        <v>73.70765525068515</v>
      </c>
      <c r="U205" s="319">
        <f t="shared" si="76"/>
        <v>1000000000</v>
      </c>
      <c r="V205" s="319">
        <f t="shared" si="77"/>
        <v>136474965.0625</v>
      </c>
      <c r="X205" s="345">
        <f t="shared" ref="X205:X268" si="99">20*LOG10((K205/(I205*M205))*AEA)</f>
        <v>26.850481251742245</v>
      </c>
      <c r="Y205" s="346">
        <f t="shared" ref="Y205:Y268" si="100">(L205-(J205+N205))*radconv</f>
        <v>-19.573195672241674</v>
      </c>
      <c r="AA205" s="345">
        <f t="shared" ref="AA205:AA268" si="101">20*LOG10((E205*G205/(C205*O205))*Acs*Am)</f>
        <v>45.463623881867193</v>
      </c>
      <c r="AB205" s="346">
        <f t="shared" ref="AB205:AB268" si="102">(F205+H205-(D205+P205))*radconv</f>
        <v>-86.719149077073183</v>
      </c>
      <c r="AD205">
        <f t="shared" si="78"/>
        <v>0</v>
      </c>
      <c r="AE205">
        <f t="shared" si="81"/>
        <v>0</v>
      </c>
    </row>
    <row r="206" spans="1:31" x14ac:dyDescent="0.25">
      <c r="A206" s="347">
        <v>11749</v>
      </c>
      <c r="B206" s="364">
        <f t="shared" ref="B206:B269" si="103">A206/1000</f>
        <v>11.749000000000001</v>
      </c>
      <c r="C206" s="337">
        <f t="shared" si="84"/>
        <v>5.1923167536521833</v>
      </c>
      <c r="D206" s="338">
        <f t="shared" si="85"/>
        <v>1.3769931493494847</v>
      </c>
      <c r="E206" s="338">
        <f t="shared" si="86"/>
        <v>1.0004534750675278</v>
      </c>
      <c r="F206" s="339">
        <f t="shared" si="87"/>
        <v>3.0109924192874418E-2</v>
      </c>
      <c r="G206" s="338">
        <f t="shared" si="88"/>
        <v>1</v>
      </c>
      <c r="H206" s="339">
        <f t="shared" si="89"/>
        <v>0</v>
      </c>
      <c r="I206" s="337">
        <f t="shared" si="90"/>
        <v>15595.410639764286</v>
      </c>
      <c r="J206" s="340">
        <f t="shared" si="91"/>
        <v>1.5707322053668826</v>
      </c>
      <c r="K206" s="348">
        <f t="shared" si="82"/>
        <v>4.49755646550192</v>
      </c>
      <c r="L206" s="349">
        <f t="shared" si="83"/>
        <v>1.3465794025716313</v>
      </c>
      <c r="M206" s="337">
        <f t="shared" si="92"/>
        <v>1.0068700459112243</v>
      </c>
      <c r="N206" s="340">
        <f t="shared" si="93"/>
        <v>0.11688407797548769</v>
      </c>
      <c r="O206" s="341">
        <f t="shared" si="94"/>
        <v>1.002797562756486</v>
      </c>
      <c r="P206" s="342">
        <f t="shared" si="95"/>
        <v>0.1685211408424783</v>
      </c>
      <c r="Q206" s="343">
        <f t="shared" si="96"/>
        <v>8.6539764484343458</v>
      </c>
      <c r="R206" s="344">
        <f t="shared" si="97"/>
        <v>-106.36624847545684</v>
      </c>
      <c r="S206" s="346">
        <f t="shared" si="98"/>
        <v>73.633751524543158</v>
      </c>
      <c r="U206" s="319">
        <f t="shared" ref="U206:U269" si="104">IF(Q206&lt;0,A206,1000000000)</f>
        <v>1000000000</v>
      </c>
      <c r="V206" s="319">
        <f t="shared" ref="V206:V269" si="105">A206^2</f>
        <v>138039001</v>
      </c>
      <c r="X206" s="345">
        <f t="shared" si="99"/>
        <v>26.847352180787183</v>
      </c>
      <c r="Y206" s="346">
        <f t="shared" si="100"/>
        <v>-19.539973948797275</v>
      </c>
      <c r="AA206" s="345">
        <f t="shared" si="101"/>
        <v>45.415745556809796</v>
      </c>
      <c r="AB206" s="346">
        <f t="shared" si="102"/>
        <v>-86.82627452665956</v>
      </c>
      <c r="AD206">
        <f t="shared" ref="AD206:AD269" si="106">SUM((Q207&lt;0)*(Q206&gt;0))*A206</f>
        <v>0</v>
      </c>
      <c r="AE206">
        <f t="shared" si="81"/>
        <v>0</v>
      </c>
    </row>
    <row r="207" spans="1:31" x14ac:dyDescent="0.25">
      <c r="A207" s="347">
        <v>11817.5</v>
      </c>
      <c r="B207" s="364">
        <f t="shared" si="103"/>
        <v>11.817500000000001</v>
      </c>
      <c r="C207" s="337">
        <f t="shared" si="84"/>
        <v>5.2214696988419451</v>
      </c>
      <c r="D207" s="338">
        <f t="shared" si="85"/>
        <v>1.378088843744959</v>
      </c>
      <c r="E207" s="338">
        <f t="shared" si="86"/>
        <v>1.0004587770425515</v>
      </c>
      <c r="F207" s="339">
        <f t="shared" si="87"/>
        <v>3.0285366572359054E-2</v>
      </c>
      <c r="G207" s="338">
        <f t="shared" si="88"/>
        <v>1</v>
      </c>
      <c r="H207" s="339">
        <f t="shared" si="89"/>
        <v>0</v>
      </c>
      <c r="I207" s="337">
        <f t="shared" si="90"/>
        <v>15686.336303603273</v>
      </c>
      <c r="J207" s="340">
        <f t="shared" si="91"/>
        <v>1.5707325770459863</v>
      </c>
      <c r="K207" s="348">
        <f t="shared" si="82"/>
        <v>4.5224857443240349</v>
      </c>
      <c r="L207" s="349">
        <f t="shared" si="83"/>
        <v>1.3478363096373547</v>
      </c>
      <c r="M207" s="337">
        <f t="shared" si="92"/>
        <v>1.0069501107914496</v>
      </c>
      <c r="N207" s="340">
        <f t="shared" si="93"/>
        <v>0.11755930182079362</v>
      </c>
      <c r="O207" s="341">
        <f t="shared" si="94"/>
        <v>1.0028310005820458</v>
      </c>
      <c r="P207" s="342">
        <f t="shared" si="95"/>
        <v>0.16950745174784254</v>
      </c>
      <c r="Q207" s="343">
        <f t="shared" si="96"/>
        <v>8.6019280210960467</v>
      </c>
      <c r="R207" s="344">
        <f t="shared" si="97"/>
        <v>-106.4421797864138</v>
      </c>
      <c r="S207" s="346">
        <f t="shared" si="98"/>
        <v>73.557820213586197</v>
      </c>
      <c r="U207" s="319">
        <f t="shared" si="104"/>
        <v>1000000000</v>
      </c>
      <c r="V207" s="319">
        <f t="shared" si="105"/>
        <v>139653306.25</v>
      </c>
      <c r="X207" s="345">
        <f t="shared" si="99"/>
        <v>26.844179016742771</v>
      </c>
      <c r="Y207" s="346">
        <f t="shared" si="100"/>
        <v>-19.506667250859703</v>
      </c>
      <c r="AA207" s="345">
        <f t="shared" si="101"/>
        <v>45.366870293515902</v>
      </c>
      <c r="AB207" s="346">
        <f t="shared" si="102"/>
        <v>-86.935512535554096</v>
      </c>
      <c r="AD207">
        <f t="shared" si="106"/>
        <v>0</v>
      </c>
      <c r="AE207">
        <f t="shared" si="81"/>
        <v>0</v>
      </c>
    </row>
    <row r="208" spans="1:31" x14ac:dyDescent="0.25">
      <c r="A208" s="347">
        <v>11886</v>
      </c>
      <c r="B208" s="364">
        <f t="shared" si="103"/>
        <v>11.885999999999999</v>
      </c>
      <c r="C208" s="337">
        <f t="shared" si="84"/>
        <v>5.2506288430328132</v>
      </c>
      <c r="D208" s="338">
        <f t="shared" si="85"/>
        <v>1.3791723696447011</v>
      </c>
      <c r="E208" s="338">
        <f t="shared" si="86"/>
        <v>1.0004641098113978</v>
      </c>
      <c r="F208" s="339">
        <f t="shared" si="87"/>
        <v>3.0460807086924425E-2</v>
      </c>
      <c r="G208" s="338">
        <f t="shared" si="88"/>
        <v>1</v>
      </c>
      <c r="H208" s="339">
        <f t="shared" si="89"/>
        <v>0</v>
      </c>
      <c r="I208" s="337">
        <f t="shared" si="90"/>
        <v>15777.261967444403</v>
      </c>
      <c r="J208" s="340">
        <f t="shared" si="91"/>
        <v>1.5707329444410552</v>
      </c>
      <c r="K208" s="348">
        <f t="shared" si="82"/>
        <v>4.5474220894967194</v>
      </c>
      <c r="L208" s="349">
        <f t="shared" si="83"/>
        <v>1.3490794338418512</v>
      </c>
      <c r="M208" s="337">
        <f t="shared" si="92"/>
        <v>1.007030634694537</v>
      </c>
      <c r="N208" s="340">
        <f t="shared" si="93"/>
        <v>0.11823441798974045</v>
      </c>
      <c r="O208" s="341">
        <f t="shared" si="94"/>
        <v>1.0028646495717368</v>
      </c>
      <c r="P208" s="342">
        <f t="shared" si="95"/>
        <v>0.1704938271377415</v>
      </c>
      <c r="Q208" s="343">
        <f t="shared" si="96"/>
        <v>8.5501760659675234</v>
      </c>
      <c r="R208" s="344">
        <f t="shared" si="97"/>
        <v>-106.51820098038591</v>
      </c>
      <c r="S208" s="346">
        <f t="shared" si="98"/>
        <v>73.481799019614087</v>
      </c>
      <c r="U208" s="319">
        <f t="shared" si="104"/>
        <v>1000000000</v>
      </c>
      <c r="V208" s="319">
        <f t="shared" si="105"/>
        <v>141276996</v>
      </c>
      <c r="X208" s="345">
        <f t="shared" si="99"/>
        <v>26.841043361879318</v>
      </c>
      <c r="Y208" s="346">
        <f t="shared" si="100"/>
        <v>-19.474143837842885</v>
      </c>
      <c r="AA208" s="345">
        <f t="shared" si="101"/>
        <v>45.318253993250835</v>
      </c>
      <c r="AB208" s="346">
        <f t="shared" si="102"/>
        <v>-87.044057142543053</v>
      </c>
      <c r="AD208">
        <f t="shared" si="106"/>
        <v>0</v>
      </c>
      <c r="AE208">
        <f t="shared" si="81"/>
        <v>0</v>
      </c>
    </row>
    <row r="209" spans="1:31" x14ac:dyDescent="0.25">
      <c r="A209" s="347">
        <v>11954.5</v>
      </c>
      <c r="B209" s="364">
        <f t="shared" si="103"/>
        <v>11.954499999999999</v>
      </c>
      <c r="C209" s="337">
        <f t="shared" si="84"/>
        <v>5.279794083517622</v>
      </c>
      <c r="D209" s="338">
        <f t="shared" si="85"/>
        <v>1.38024392613717</v>
      </c>
      <c r="E209" s="338">
        <f t="shared" si="86"/>
        <v>1.0004694733735746</v>
      </c>
      <c r="F209" s="339">
        <f t="shared" si="87"/>
        <v>3.0636245725800544E-2</v>
      </c>
      <c r="G209" s="338">
        <f t="shared" si="88"/>
        <v>1</v>
      </c>
      <c r="H209" s="339">
        <f t="shared" si="89"/>
        <v>0</v>
      </c>
      <c r="I209" s="337">
        <f t="shared" si="90"/>
        <v>15868.187631287637</v>
      </c>
      <c r="J209" s="340">
        <f t="shared" si="91"/>
        <v>1.5707333076257326</v>
      </c>
      <c r="K209" s="348">
        <f t="shared" si="82"/>
        <v>4.57236538540654</v>
      </c>
      <c r="L209" s="349">
        <f t="shared" si="83"/>
        <v>1.3503089968771638</v>
      </c>
      <c r="M209" s="337">
        <f t="shared" si="92"/>
        <v>1.0071116175103827</v>
      </c>
      <c r="N209" s="340">
        <f t="shared" si="93"/>
        <v>0.11890942589281882</v>
      </c>
      <c r="O209" s="341">
        <f t="shared" si="94"/>
        <v>1.0028985100156245</v>
      </c>
      <c r="P209" s="342">
        <f t="shared" si="95"/>
        <v>0.17148026734183372</v>
      </c>
      <c r="Q209" s="343">
        <f t="shared" si="96"/>
        <v>8.4987170141861554</v>
      </c>
      <c r="R209" s="344">
        <f t="shared" si="97"/>
        <v>-106.59431075223145</v>
      </c>
      <c r="S209" s="346">
        <f t="shared" si="98"/>
        <v>73.405689247768549</v>
      </c>
      <c r="U209" s="319">
        <f t="shared" si="104"/>
        <v>1000000000</v>
      </c>
      <c r="V209" s="319">
        <f t="shared" si="105"/>
        <v>142910070.25</v>
      </c>
      <c r="X209" s="345">
        <f t="shared" si="99"/>
        <v>26.837944309283234</v>
      </c>
      <c r="Y209" s="346">
        <f t="shared" si="100"/>
        <v>-19.442390978171453</v>
      </c>
      <c r="AA209" s="345">
        <f t="shared" si="101"/>
        <v>45.269893994065541</v>
      </c>
      <c r="AB209" s="346">
        <f t="shared" si="102"/>
        <v>-87.151919774059991</v>
      </c>
      <c r="AD209">
        <f t="shared" si="106"/>
        <v>0</v>
      </c>
      <c r="AE209">
        <f t="shared" si="81"/>
        <v>0</v>
      </c>
    </row>
    <row r="210" spans="1:31" x14ac:dyDescent="0.25">
      <c r="A210" s="347">
        <v>12023</v>
      </c>
      <c r="B210" s="364">
        <f t="shared" si="103"/>
        <v>12.023</v>
      </c>
      <c r="C210" s="337">
        <f t="shared" si="84"/>
        <v>5.3089653198248845</v>
      </c>
      <c r="D210" s="338">
        <f t="shared" si="85"/>
        <v>1.3813037080464157</v>
      </c>
      <c r="E210" s="338">
        <f t="shared" si="86"/>
        <v>1.0004748677285862</v>
      </c>
      <c r="F210" s="339">
        <f t="shared" si="87"/>
        <v>3.0811682478218114E-2</v>
      </c>
      <c r="G210" s="338">
        <f t="shared" si="88"/>
        <v>1</v>
      </c>
      <c r="H210" s="339">
        <f t="shared" si="89"/>
        <v>0</v>
      </c>
      <c r="I210" s="337">
        <f t="shared" si="90"/>
        <v>15959.113295132942</v>
      </c>
      <c r="J210" s="340">
        <f t="shared" si="91"/>
        <v>1.5707336666719838</v>
      </c>
      <c r="K210" s="348">
        <f t="shared" si="82"/>
        <v>4.5973155189172834</v>
      </c>
      <c r="L210" s="349">
        <f t="shared" si="83"/>
        <v>1.3515252157887849</v>
      </c>
      <c r="M210" s="337">
        <f t="shared" si="92"/>
        <v>1.0071930591282912</v>
      </c>
      <c r="N210" s="340">
        <f t="shared" si="93"/>
        <v>0.11958432494110306</v>
      </c>
      <c r="O210" s="341">
        <f t="shared" si="94"/>
        <v>1.0029325822054014</v>
      </c>
      <c r="P210" s="342">
        <f t="shared" si="95"/>
        <v>0.17246677268901447</v>
      </c>
      <c r="Q210" s="343">
        <f t="shared" si="96"/>
        <v>8.4475473599493149</v>
      </c>
      <c r="R210" s="344">
        <f t="shared" si="97"/>
        <v>-106.67050781859719</v>
      </c>
      <c r="S210" s="346">
        <f t="shared" si="98"/>
        <v>73.329492181402813</v>
      </c>
      <c r="U210" s="319">
        <f t="shared" si="104"/>
        <v>1000000000</v>
      </c>
      <c r="V210" s="319">
        <f t="shared" si="105"/>
        <v>144552529</v>
      </c>
      <c r="X210" s="345">
        <f t="shared" si="99"/>
        <v>26.834880976649057</v>
      </c>
      <c r="Y210" s="346">
        <f t="shared" si="100"/>
        <v>-19.411396206435082</v>
      </c>
      <c r="AA210" s="345">
        <f t="shared" si="101"/>
        <v>45.221787672462888</v>
      </c>
      <c r="AB210" s="346">
        <f t="shared" si="102"/>
        <v>-87.259111612162116</v>
      </c>
      <c r="AD210">
        <f t="shared" si="106"/>
        <v>0</v>
      </c>
      <c r="AE210">
        <f t="shared" si="81"/>
        <v>0</v>
      </c>
    </row>
    <row r="211" spans="1:31" x14ac:dyDescent="0.25">
      <c r="A211" s="347">
        <v>12093</v>
      </c>
      <c r="B211" s="364">
        <f t="shared" si="103"/>
        <v>12.093</v>
      </c>
      <c r="C211" s="337">
        <f t="shared" si="84"/>
        <v>5.3387814342546287</v>
      </c>
      <c r="D211" s="338">
        <f t="shared" si="85"/>
        <v>1.3823747310911492</v>
      </c>
      <c r="E211" s="338">
        <f t="shared" si="86"/>
        <v>1.0004804120193036</v>
      </c>
      <c r="F211" s="339">
        <f t="shared" si="87"/>
        <v>3.0990958951264653E-2</v>
      </c>
      <c r="G211" s="338">
        <f t="shared" si="88"/>
        <v>1</v>
      </c>
      <c r="H211" s="339">
        <f t="shared" si="89"/>
        <v>0</v>
      </c>
      <c r="I211" s="337">
        <f t="shared" si="90"/>
        <v>16052.030031911265</v>
      </c>
      <c r="J211" s="340">
        <f t="shared" si="91"/>
        <v>1.5707340293783918</v>
      </c>
      <c r="K211" s="348">
        <f t="shared" si="82"/>
        <v>4.6228189543404854</v>
      </c>
      <c r="L211" s="349">
        <f t="shared" si="83"/>
        <v>1.3527545027241883</v>
      </c>
      <c r="M211" s="337">
        <f t="shared" si="92"/>
        <v>1.0072767580056849</v>
      </c>
      <c r="N211" s="340">
        <f t="shared" si="93"/>
        <v>0.12027388973201004</v>
      </c>
      <c r="O211" s="341">
        <f t="shared" si="94"/>
        <v>1.0029676195585813</v>
      </c>
      <c r="P211" s="342">
        <f t="shared" si="95"/>
        <v>0.17347494798296575</v>
      </c>
      <c r="Q211" s="343">
        <f t="shared" si="96"/>
        <v>8.395552591219543</v>
      </c>
      <c r="R211" s="344">
        <f t="shared" si="97"/>
        <v>-106.74846230354893</v>
      </c>
      <c r="S211" s="346">
        <f t="shared" si="98"/>
        <v>73.251537696451066</v>
      </c>
      <c r="U211" s="319">
        <f t="shared" si="104"/>
        <v>1000000000</v>
      </c>
      <c r="V211" s="319">
        <f t="shared" si="105"/>
        <v>146240649</v>
      </c>
      <c r="X211" s="345">
        <f t="shared" si="99"/>
        <v>26.831786572316183</v>
      </c>
      <c r="Y211" s="346">
        <f t="shared" si="100"/>
        <v>-19.380493186956766</v>
      </c>
      <c r="AA211" s="345">
        <f t="shared" si="101"/>
        <v>45.172887308065988</v>
      </c>
      <c r="AB211" s="346">
        <f t="shared" si="102"/>
        <v>-87.367969116592192</v>
      </c>
      <c r="AD211">
        <f t="shared" si="106"/>
        <v>0</v>
      </c>
      <c r="AE211">
        <f t="shared" si="81"/>
        <v>0</v>
      </c>
    </row>
    <row r="212" spans="1:31" x14ac:dyDescent="0.25">
      <c r="A212" s="347">
        <v>12163</v>
      </c>
      <c r="B212" s="364">
        <f t="shared" si="103"/>
        <v>12.163</v>
      </c>
      <c r="C212" s="337">
        <f t="shared" si="84"/>
        <v>5.3686036047214518</v>
      </c>
      <c r="D212" s="338">
        <f t="shared" si="85"/>
        <v>1.3834338564421444</v>
      </c>
      <c r="E212" s="338">
        <f t="shared" si="86"/>
        <v>1.0004859884651578</v>
      </c>
      <c r="F212" s="339">
        <f t="shared" si="87"/>
        <v>3.1170233431593183E-2</v>
      </c>
      <c r="G212" s="338">
        <f t="shared" si="88"/>
        <v>1</v>
      </c>
      <c r="H212" s="339">
        <f t="shared" si="89"/>
        <v>0</v>
      </c>
      <c r="I212" s="337">
        <f t="shared" si="90"/>
        <v>16144.946768691678</v>
      </c>
      <c r="J212" s="340">
        <f t="shared" si="91"/>
        <v>1.5707343879099336</v>
      </c>
      <c r="K212" s="348">
        <f t="shared" si="82"/>
        <v>4.6483292988578144</v>
      </c>
      <c r="L212" s="349">
        <f t="shared" si="83"/>
        <v>1.3539702986609456</v>
      </c>
      <c r="M212" s="337">
        <f t="shared" si="92"/>
        <v>1.0073609357630513</v>
      </c>
      <c r="N212" s="340">
        <f t="shared" si="93"/>
        <v>0.12096333960697103</v>
      </c>
      <c r="O212" s="341">
        <f t="shared" si="94"/>
        <v>1.0030028786538034</v>
      </c>
      <c r="P212" s="342">
        <f t="shared" si="95"/>
        <v>0.17448319199620388</v>
      </c>
      <c r="Q212" s="343">
        <f t="shared" si="96"/>
        <v>8.3438528260716431</v>
      </c>
      <c r="R212" s="344">
        <f t="shared" si="97"/>
        <v>-106.82650530624603</v>
      </c>
      <c r="S212" s="346">
        <f t="shared" si="98"/>
        <v>73.173494693753966</v>
      </c>
      <c r="U212" s="319">
        <f t="shared" si="104"/>
        <v>1000000000</v>
      </c>
      <c r="V212" s="319">
        <f t="shared" si="105"/>
        <v>147938569</v>
      </c>
      <c r="X212" s="345">
        <f t="shared" si="99"/>
        <v>26.828727681787676</v>
      </c>
      <c r="Y212" s="346">
        <f t="shared" si="100"/>
        <v>-19.35035632136222</v>
      </c>
      <c r="AA212" s="345">
        <f t="shared" si="101"/>
        <v>45.124246433446594</v>
      </c>
      <c r="AB212" s="346">
        <f t="shared" si="102"/>
        <v>-87.476148984883793</v>
      </c>
      <c r="AD212">
        <f t="shared" si="106"/>
        <v>0</v>
      </c>
      <c r="AE212">
        <f t="shared" si="81"/>
        <v>0</v>
      </c>
    </row>
    <row r="213" spans="1:31" x14ac:dyDescent="0.25">
      <c r="A213" s="347">
        <v>12233</v>
      </c>
      <c r="B213" s="364">
        <f t="shared" si="103"/>
        <v>12.233000000000001</v>
      </c>
      <c r="C213" s="337">
        <f t="shared" si="84"/>
        <v>5.3984317308605583</v>
      </c>
      <c r="D213" s="338">
        <f t="shared" si="85"/>
        <v>1.3844812789194698</v>
      </c>
      <c r="E213" s="338">
        <f t="shared" si="86"/>
        <v>1.0004915970656119</v>
      </c>
      <c r="F213" s="339">
        <f t="shared" si="87"/>
        <v>3.1349505907713578E-2</v>
      </c>
      <c r="G213" s="338">
        <f t="shared" si="88"/>
        <v>1</v>
      </c>
      <c r="H213" s="339">
        <f t="shared" si="89"/>
        <v>0</v>
      </c>
      <c r="I213" s="337">
        <f t="shared" si="90"/>
        <v>16237.863505474141</v>
      </c>
      <c r="J213" s="340">
        <f t="shared" si="91"/>
        <v>1.570734742338278</v>
      </c>
      <c r="K213" s="348">
        <f t="shared" si="82"/>
        <v>4.6738464393375887</v>
      </c>
      <c r="L213" s="349">
        <f t="shared" si="83"/>
        <v>1.3551728209397433</v>
      </c>
      <c r="M213" s="337">
        <f t="shared" si="92"/>
        <v>1.0074455922803511</v>
      </c>
      <c r="N213" s="340">
        <f t="shared" si="93"/>
        <v>0.12165267393942641</v>
      </c>
      <c r="O213" s="341">
        <f t="shared" si="94"/>
        <v>1.0030383598076034</v>
      </c>
      <c r="P213" s="342">
        <f t="shared" si="95"/>
        <v>0.17549150507720884</v>
      </c>
      <c r="Q213" s="343">
        <f t="shared" si="96"/>
        <v>8.2924445179518145</v>
      </c>
      <c r="R213" s="344">
        <f t="shared" si="97"/>
        <v>-106.90463552518392</v>
      </c>
      <c r="S213" s="346">
        <f t="shared" si="98"/>
        <v>73.09536447481608</v>
      </c>
      <c r="U213" s="319">
        <f t="shared" si="104"/>
        <v>1000000000</v>
      </c>
      <c r="V213" s="319">
        <f t="shared" si="105"/>
        <v>149646289</v>
      </c>
      <c r="X213" s="345">
        <f t="shared" si="99"/>
        <v>26.825703438139357</v>
      </c>
      <c r="Y213" s="346">
        <f t="shared" si="100"/>
        <v>-19.320973125154524</v>
      </c>
      <c r="AA213" s="345">
        <f t="shared" si="101"/>
        <v>45.075862368975088</v>
      </c>
      <c r="AB213" s="346">
        <f t="shared" si="102"/>
        <v>-87.583662400029382</v>
      </c>
      <c r="AD213">
        <f t="shared" si="106"/>
        <v>0</v>
      </c>
      <c r="AE213">
        <f t="shared" si="81"/>
        <v>0</v>
      </c>
    </row>
    <row r="214" spans="1:31" x14ac:dyDescent="0.25">
      <c r="A214" s="347">
        <v>12303</v>
      </c>
      <c r="B214" s="364">
        <f t="shared" si="103"/>
        <v>12.303000000000001</v>
      </c>
      <c r="C214" s="337">
        <f t="shared" si="84"/>
        <v>5.4282657144933291</v>
      </c>
      <c r="D214" s="338">
        <f t="shared" si="85"/>
        <v>1.3855171891642362</v>
      </c>
      <c r="E214" s="338">
        <f t="shared" si="86"/>
        <v>1.0004972378201247</v>
      </c>
      <c r="F214" s="339">
        <f t="shared" si="87"/>
        <v>3.1528776368136523E-2</v>
      </c>
      <c r="G214" s="338">
        <f t="shared" si="88"/>
        <v>1</v>
      </c>
      <c r="H214" s="339">
        <f t="shared" si="89"/>
        <v>0</v>
      </c>
      <c r="I214" s="337">
        <f t="shared" si="90"/>
        <v>16330.780242258623</v>
      </c>
      <c r="J214" s="340">
        <f t="shared" si="91"/>
        <v>1.5707350927334622</v>
      </c>
      <c r="K214" s="348">
        <f t="shared" si="82"/>
        <v>4.6993702650754914</v>
      </c>
      <c r="L214" s="349">
        <f t="shared" si="83"/>
        <v>1.3563622823349226</v>
      </c>
      <c r="M214" s="337">
        <f t="shared" si="92"/>
        <v>1.0075307274369023</v>
      </c>
      <c r="N214" s="340">
        <f t="shared" si="93"/>
        <v>0.1223418921034658</v>
      </c>
      <c r="O214" s="341">
        <f t="shared" si="94"/>
        <v>1.003074063338286</v>
      </c>
      <c r="P214" s="342">
        <f t="shared" si="95"/>
        <v>0.17649988757360918</v>
      </c>
      <c r="Q214" s="343">
        <f t="shared" si="96"/>
        <v>8.2413241828442629</v>
      </c>
      <c r="R214" s="344">
        <f t="shared" si="97"/>
        <v>-106.98285168094867</v>
      </c>
      <c r="S214" s="346">
        <f t="shared" si="98"/>
        <v>73.01714831905133</v>
      </c>
      <c r="U214" s="319">
        <f t="shared" si="104"/>
        <v>1000000000</v>
      </c>
      <c r="V214" s="319">
        <f t="shared" si="105"/>
        <v>151363809</v>
      </c>
      <c r="X214" s="345">
        <f t="shared" si="99"/>
        <v>26.822712997995652</v>
      </c>
      <c r="Y214" s="346">
        <f t="shared" si="100"/>
        <v>-19.292331375412711</v>
      </c>
      <c r="AA214" s="345">
        <f t="shared" si="101"/>
        <v>45.027732474011238</v>
      </c>
      <c r="AB214" s="346">
        <f t="shared" si="102"/>
        <v>-87.690520305535983</v>
      </c>
      <c r="AD214">
        <f t="shared" si="106"/>
        <v>0</v>
      </c>
      <c r="AE214">
        <f t="shared" si="81"/>
        <v>0</v>
      </c>
    </row>
    <row r="215" spans="1:31" x14ac:dyDescent="0.25">
      <c r="A215" s="347">
        <v>12374.5</v>
      </c>
      <c r="B215" s="364">
        <f t="shared" si="103"/>
        <v>12.374499999999999</v>
      </c>
      <c r="C215" s="337">
        <f t="shared" si="84"/>
        <v>5.458744945033235</v>
      </c>
      <c r="D215" s="338">
        <f t="shared" si="85"/>
        <v>1.3865636065395663</v>
      </c>
      <c r="E215" s="338">
        <f t="shared" si="86"/>
        <v>1.0005030326423476</v>
      </c>
      <c r="F215" s="339">
        <f t="shared" si="87"/>
        <v>3.1711886245529959E-2</v>
      </c>
      <c r="G215" s="338">
        <f t="shared" si="88"/>
        <v>1</v>
      </c>
      <c r="H215" s="339">
        <f t="shared" si="89"/>
        <v>0</v>
      </c>
      <c r="I215" s="337">
        <f t="shared" si="90"/>
        <v>16425.688051976245</v>
      </c>
      <c r="J215" s="340">
        <f t="shared" si="91"/>
        <v>1.5707354465445562</v>
      </c>
      <c r="K215" s="348">
        <f t="shared" ref="K215:K278" si="107">SQRT(1+(A215/Zero2)^2)</f>
        <v>4.7254478189784441</v>
      </c>
      <c r="L215" s="349">
        <f t="shared" ref="L215:L278" si="108">ATAN(A215/Zero2)</f>
        <v>1.3575639650732854</v>
      </c>
      <c r="M215" s="337">
        <f t="shared" si="92"/>
        <v>1.0076181809260645</v>
      </c>
      <c r="N215" s="340">
        <f t="shared" si="93"/>
        <v>0.12304575864898483</v>
      </c>
      <c r="O215" s="341">
        <f t="shared" si="94"/>
        <v>1.0031107618531994</v>
      </c>
      <c r="P215" s="342">
        <f t="shared" si="95"/>
        <v>0.17752995028945354</v>
      </c>
      <c r="Q215" s="343">
        <f t="shared" si="96"/>
        <v>8.189402148732567</v>
      </c>
      <c r="R215" s="344">
        <f t="shared" si="97"/>
        <v>-107.06283130840474</v>
      </c>
      <c r="S215" s="346">
        <f t="shared" si="98"/>
        <v>72.937168691595261</v>
      </c>
      <c r="U215" s="319">
        <f t="shared" si="104"/>
        <v>1000000000</v>
      </c>
      <c r="V215" s="319">
        <f t="shared" si="105"/>
        <v>153128250.25</v>
      </c>
      <c r="X215" s="345">
        <f t="shared" si="99"/>
        <v>26.819692521724733</v>
      </c>
      <c r="Y215" s="346">
        <f t="shared" si="100"/>
        <v>-19.263828880439355</v>
      </c>
      <c r="AA215" s="345">
        <f t="shared" si="101"/>
        <v>44.978830916170466</v>
      </c>
      <c r="AB215" s="346">
        <f t="shared" si="102"/>
        <v>-87.799002427965377</v>
      </c>
      <c r="AD215">
        <f t="shared" si="106"/>
        <v>0</v>
      </c>
      <c r="AE215">
        <f t="shared" si="81"/>
        <v>0</v>
      </c>
    </row>
    <row r="216" spans="1:31" x14ac:dyDescent="0.25">
      <c r="A216" s="347">
        <v>12446</v>
      </c>
      <c r="B216" s="364">
        <f t="shared" si="103"/>
        <v>12.446</v>
      </c>
      <c r="C216" s="337">
        <f t="shared" si="84"/>
        <v>5.4892300864586154</v>
      </c>
      <c r="D216" s="338">
        <f t="shared" si="85"/>
        <v>1.3875984022120358</v>
      </c>
      <c r="E216" s="338">
        <f t="shared" si="86"/>
        <v>1.0005088610102748</v>
      </c>
      <c r="F216" s="339">
        <f t="shared" si="87"/>
        <v>3.1894993995684927E-2</v>
      </c>
      <c r="G216" s="338">
        <f t="shared" si="88"/>
        <v>1</v>
      </c>
      <c r="H216" s="339">
        <f t="shared" si="89"/>
        <v>0</v>
      </c>
      <c r="I216" s="337">
        <f t="shared" si="90"/>
        <v>16520.595861695896</v>
      </c>
      <c r="J216" s="340">
        <f t="shared" si="91"/>
        <v>1.5707357962904898</v>
      </c>
      <c r="K216" s="348">
        <f t="shared" si="107"/>
        <v>4.7515321217173003</v>
      </c>
      <c r="L216" s="349">
        <f t="shared" si="108"/>
        <v>1.3587524558493929</v>
      </c>
      <c r="M216" s="337">
        <f t="shared" si="92"/>
        <v>1.0077061335308111</v>
      </c>
      <c r="N216" s="340">
        <f t="shared" si="93"/>
        <v>0.12374950267614496</v>
      </c>
      <c r="O216" s="341">
        <f t="shared" si="94"/>
        <v>1.003147693054488</v>
      </c>
      <c r="P216" s="342">
        <f t="shared" si="95"/>
        <v>0.17856008615792229</v>
      </c>
      <c r="Q216" s="343">
        <f t="shared" si="96"/>
        <v>8.1377734070872876</v>
      </c>
      <c r="R216" s="344">
        <f t="shared" si="97"/>
        <v>-107.1428979656139</v>
      </c>
      <c r="S216" s="346">
        <f t="shared" si="98"/>
        <v>72.857102034386102</v>
      </c>
      <c r="U216" s="319">
        <f t="shared" si="104"/>
        <v>1000000000</v>
      </c>
      <c r="V216" s="319">
        <f t="shared" si="105"/>
        <v>154902916</v>
      </c>
      <c r="X216" s="345">
        <f t="shared" si="99"/>
        <v>26.81670560644487</v>
      </c>
      <c r="Y216" s="346">
        <f t="shared" si="100"/>
        <v>-19.236074976526172</v>
      </c>
      <c r="AA216" s="345">
        <f t="shared" si="101"/>
        <v>44.93018908980504</v>
      </c>
      <c r="AB216" s="346">
        <f t="shared" si="102"/>
        <v>-87.906822989087757</v>
      </c>
      <c r="AD216">
        <f t="shared" si="106"/>
        <v>0</v>
      </c>
      <c r="AE216">
        <f t="shared" si="81"/>
        <v>0</v>
      </c>
    </row>
    <row r="217" spans="1:31" x14ac:dyDescent="0.25">
      <c r="A217" s="347">
        <v>12517.5</v>
      </c>
      <c r="B217" s="364">
        <f t="shared" si="103"/>
        <v>12.5175</v>
      </c>
      <c r="C217" s="337">
        <f t="shared" si="84"/>
        <v>5.5197210408329038</v>
      </c>
      <c r="D217" s="338">
        <f t="shared" si="85"/>
        <v>1.3886217665419174</v>
      </c>
      <c r="E217" s="338">
        <f t="shared" si="86"/>
        <v>1.0005147229233198</v>
      </c>
      <c r="F217" s="339">
        <f t="shared" si="87"/>
        <v>3.2078099606360051E-2</v>
      </c>
      <c r="G217" s="338">
        <f t="shared" si="88"/>
        <v>1</v>
      </c>
      <c r="H217" s="339">
        <f t="shared" si="89"/>
        <v>0</v>
      </c>
      <c r="I217" s="337">
        <f t="shared" si="90"/>
        <v>16615.503671417551</v>
      </c>
      <c r="J217" s="340">
        <f t="shared" si="91"/>
        <v>1.5707361420409236</v>
      </c>
      <c r="K217" s="348">
        <f t="shared" si="107"/>
        <v>4.7776230627525687</v>
      </c>
      <c r="L217" s="349">
        <f t="shared" si="108"/>
        <v>1.3599279674046885</v>
      </c>
      <c r="M217" s="337">
        <f t="shared" si="92"/>
        <v>1.007794585120465</v>
      </c>
      <c r="N217" s="340">
        <f t="shared" si="93"/>
        <v>0.12445312352004878</v>
      </c>
      <c r="O217" s="341">
        <f t="shared" si="94"/>
        <v>1.0031848572870734</v>
      </c>
      <c r="P217" s="342">
        <f t="shared" si="95"/>
        <v>0.17959029554669162</v>
      </c>
      <c r="Q217" s="343">
        <f t="shared" si="96"/>
        <v>8.0864344378186743</v>
      </c>
      <c r="R217" s="344">
        <f t="shared" si="97"/>
        <v>-107.22305035789279</v>
      </c>
      <c r="S217" s="346">
        <f t="shared" si="98"/>
        <v>72.776949642107212</v>
      </c>
      <c r="U217" s="319">
        <f t="shared" si="104"/>
        <v>1000000000</v>
      </c>
      <c r="V217" s="319">
        <f t="shared" si="105"/>
        <v>156687806.25</v>
      </c>
      <c r="X217" s="345">
        <f t="shared" si="99"/>
        <v>26.813751424683193</v>
      </c>
      <c r="Y217" s="346">
        <f t="shared" si="100"/>
        <v>-19.209057440381741</v>
      </c>
      <c r="AA217" s="345">
        <f t="shared" si="101"/>
        <v>44.881804302298107</v>
      </c>
      <c r="AB217" s="346">
        <f t="shared" si="102"/>
        <v>-88.013992917511047</v>
      </c>
      <c r="AD217">
        <f t="shared" si="106"/>
        <v>0</v>
      </c>
      <c r="AE217">
        <f t="shared" si="81"/>
        <v>0</v>
      </c>
    </row>
    <row r="218" spans="1:31" x14ac:dyDescent="0.25">
      <c r="A218" s="347">
        <v>12589</v>
      </c>
      <c r="B218" s="364">
        <f t="shared" si="103"/>
        <v>12.589</v>
      </c>
      <c r="C218" s="337">
        <f t="shared" si="84"/>
        <v>5.5502177123531764</v>
      </c>
      <c r="D218" s="338">
        <f t="shared" si="85"/>
        <v>1.3896338858025838</v>
      </c>
      <c r="E218" s="338">
        <f t="shared" si="86"/>
        <v>1.0005206183808932</v>
      </c>
      <c r="F218" s="339">
        <f t="shared" si="87"/>
        <v>3.2261203065314846E-2</v>
      </c>
      <c r="G218" s="338">
        <f t="shared" si="88"/>
        <v>1</v>
      </c>
      <c r="H218" s="339">
        <f t="shared" si="89"/>
        <v>0</v>
      </c>
      <c r="I218" s="337">
        <f t="shared" si="90"/>
        <v>16710.411481141167</v>
      </c>
      <c r="J218" s="340">
        <f t="shared" si="91"/>
        <v>1.5707364838639355</v>
      </c>
      <c r="K218" s="348">
        <f t="shared" si="107"/>
        <v>4.8037205339184634</v>
      </c>
      <c r="L218" s="349">
        <f t="shared" si="108"/>
        <v>1.361090708002773</v>
      </c>
      <c r="M218" s="337">
        <f t="shared" si="92"/>
        <v>1.007883535563654</v>
      </c>
      <c r="N218" s="340">
        <f t="shared" si="93"/>
        <v>0.1251566205165196</v>
      </c>
      <c r="O218" s="341">
        <f t="shared" si="94"/>
        <v>1.0032222548977989</v>
      </c>
      <c r="P218" s="342">
        <f t="shared" si="95"/>
        <v>0.18062057882248989</v>
      </c>
      <c r="Q218" s="343">
        <f t="shared" si="96"/>
        <v>8.0353817827545662</v>
      </c>
      <c r="R218" s="344">
        <f t="shared" si="97"/>
        <v>-107.30328721285342</v>
      </c>
      <c r="S218" s="346">
        <f t="shared" si="98"/>
        <v>72.696712787146581</v>
      </c>
      <c r="U218" s="319">
        <f t="shared" si="104"/>
        <v>1000000000</v>
      </c>
      <c r="V218" s="319">
        <f t="shared" si="105"/>
        <v>158482921</v>
      </c>
      <c r="X218" s="345">
        <f t="shared" si="99"/>
        <v>26.810829171457861</v>
      </c>
      <c r="Y218" s="346">
        <f t="shared" si="100"/>
        <v>-19.182764305226765</v>
      </c>
      <c r="AA218" s="345">
        <f t="shared" si="101"/>
        <v>44.833673900459338</v>
      </c>
      <c r="AB218" s="346">
        <f t="shared" si="102"/>
        <v>-88.120522907626665</v>
      </c>
      <c r="AD218">
        <f t="shared" si="106"/>
        <v>0</v>
      </c>
      <c r="AE218">
        <f t="shared" ref="AE218:AE281" si="109">IF(AD218&gt;0,S218,0)</f>
        <v>0</v>
      </c>
    </row>
    <row r="219" spans="1:31" x14ac:dyDescent="0.25">
      <c r="A219" s="347">
        <v>12662.25</v>
      </c>
      <c r="B219" s="364">
        <f t="shared" si="103"/>
        <v>12.66225</v>
      </c>
      <c r="C219" s="337">
        <f t="shared" si="84"/>
        <v>5.581466636681669</v>
      </c>
      <c r="D219" s="338">
        <f t="shared" si="85"/>
        <v>1.3906593064909918</v>
      </c>
      <c r="E219" s="338">
        <f t="shared" si="86"/>
        <v>1.0005266929183687</v>
      </c>
      <c r="F219" s="339">
        <f t="shared" si="87"/>
        <v>3.2448785833303108E-2</v>
      </c>
      <c r="G219" s="338">
        <f t="shared" si="88"/>
        <v>1</v>
      </c>
      <c r="H219" s="339">
        <f t="shared" si="89"/>
        <v>0</v>
      </c>
      <c r="I219" s="337">
        <f t="shared" si="90"/>
        <v>16807.642209286591</v>
      </c>
      <c r="J219" s="340">
        <f t="shared" si="91"/>
        <v>1.5707368300500149</v>
      </c>
      <c r="K219" s="348">
        <f t="shared" si="107"/>
        <v>4.8304634155539521</v>
      </c>
      <c r="L219" s="349">
        <f t="shared" si="108"/>
        <v>1.3622688767862794</v>
      </c>
      <c r="M219" s="337">
        <f t="shared" si="92"/>
        <v>1.0079751802950232</v>
      </c>
      <c r="N219" s="340">
        <f t="shared" si="93"/>
        <v>0.12587720684595385</v>
      </c>
      <c r="O219" s="341">
        <f t="shared" si="94"/>
        <v>1.0032608102154175</v>
      </c>
      <c r="P219" s="342">
        <f t="shared" si="95"/>
        <v>0.18167615582601948</v>
      </c>
      <c r="Q219" s="343">
        <f t="shared" si="96"/>
        <v>7.9833729468566297</v>
      </c>
      <c r="R219" s="344">
        <f t="shared" si="97"/>
        <v>-107.38557418856054</v>
      </c>
      <c r="S219" s="346">
        <f t="shared" si="98"/>
        <v>72.61442581143946</v>
      </c>
      <c r="U219" s="319">
        <f t="shared" si="104"/>
        <v>1000000000</v>
      </c>
      <c r="V219" s="319">
        <f t="shared" si="105"/>
        <v>160332575.0625</v>
      </c>
      <c r="X219" s="345">
        <f t="shared" si="99"/>
        <v>26.807867686161323</v>
      </c>
      <c r="Y219" s="346">
        <f t="shared" si="100"/>
        <v>-19.156566596800538</v>
      </c>
      <c r="AA219" s="345">
        <f t="shared" si="101"/>
        <v>44.784626549857933</v>
      </c>
      <c r="AB219" s="346">
        <f t="shared" si="102"/>
        <v>-88.229007591759995</v>
      </c>
      <c r="AD219">
        <f t="shared" si="106"/>
        <v>0</v>
      </c>
      <c r="AE219">
        <f t="shared" si="109"/>
        <v>0</v>
      </c>
    </row>
    <row r="220" spans="1:31" x14ac:dyDescent="0.25">
      <c r="A220" s="347">
        <v>12735.5</v>
      </c>
      <c r="B220" s="364">
        <f t="shared" si="103"/>
        <v>12.7355</v>
      </c>
      <c r="C220" s="337">
        <f t="shared" si="84"/>
        <v>5.6127213644997056</v>
      </c>
      <c r="D220" s="338">
        <f t="shared" si="85"/>
        <v>1.391673308019969</v>
      </c>
      <c r="E220" s="338">
        <f t="shared" si="86"/>
        <v>1.0005328026612437</v>
      </c>
      <c r="F220" s="339">
        <f t="shared" si="87"/>
        <v>3.2636366316947406E-2</v>
      </c>
      <c r="G220" s="338">
        <f t="shared" si="88"/>
        <v>1</v>
      </c>
      <c r="H220" s="339">
        <f t="shared" si="89"/>
        <v>0</v>
      </c>
      <c r="I220" s="337">
        <f t="shared" si="90"/>
        <v>16904.872937434011</v>
      </c>
      <c r="J220" s="340">
        <f t="shared" si="91"/>
        <v>1.5707371722538193</v>
      </c>
      <c r="K220" s="348">
        <f t="shared" si="107"/>
        <v>4.8572129284280887</v>
      </c>
      <c r="L220" s="349">
        <f t="shared" si="108"/>
        <v>1.3634340704132557</v>
      </c>
      <c r="M220" s="337">
        <f t="shared" si="92"/>
        <v>1.0080673483167983</v>
      </c>
      <c r="N220" s="340">
        <f t="shared" si="93"/>
        <v>0.12659766178240112</v>
      </c>
      <c r="O220" s="341">
        <f t="shared" si="94"/>
        <v>1.0032996112182324</v>
      </c>
      <c r="P220" s="342">
        <f t="shared" si="95"/>
        <v>0.18273181115383499</v>
      </c>
      <c r="Q220" s="343">
        <f t="shared" si="96"/>
        <v>7.9316574571998935</v>
      </c>
      <c r="R220" s="344">
        <f t="shared" si="97"/>
        <v>-107.4679471784376</v>
      </c>
      <c r="S220" s="346">
        <f t="shared" si="98"/>
        <v>72.532052821562402</v>
      </c>
      <c r="U220" s="319">
        <f t="shared" si="104"/>
        <v>1000000000</v>
      </c>
      <c r="V220" s="319">
        <f t="shared" si="105"/>
        <v>162192960.25</v>
      </c>
      <c r="X220" s="345">
        <f t="shared" si="99"/>
        <v>26.804938070321889</v>
      </c>
      <c r="Y220" s="346">
        <f t="shared" si="100"/>
        <v>-19.131104553651678</v>
      </c>
      <c r="AA220" s="345">
        <f t="shared" si="101"/>
        <v>44.735840676040638</v>
      </c>
      <c r="AB220" s="346">
        <f t="shared" si="102"/>
        <v>-88.33684262478593</v>
      </c>
      <c r="AD220">
        <f t="shared" si="106"/>
        <v>0</v>
      </c>
      <c r="AE220">
        <f t="shared" si="109"/>
        <v>0</v>
      </c>
    </row>
    <row r="221" spans="1:31" x14ac:dyDescent="0.25">
      <c r="A221" s="347">
        <v>12808.75</v>
      </c>
      <c r="B221" s="364">
        <f t="shared" si="103"/>
        <v>12.80875</v>
      </c>
      <c r="C221" s="337">
        <f t="shared" si="84"/>
        <v>5.6439817993931838</v>
      </c>
      <c r="D221" s="338">
        <f t="shared" si="85"/>
        <v>1.3926760780293925</v>
      </c>
      <c r="E221" s="338">
        <f t="shared" si="86"/>
        <v>1.0005389476088731</v>
      </c>
      <c r="F221" s="339">
        <f t="shared" si="87"/>
        <v>3.2823944503089141E-2</v>
      </c>
      <c r="G221" s="338">
        <f t="shared" si="88"/>
        <v>1</v>
      </c>
      <c r="H221" s="339">
        <f t="shared" si="89"/>
        <v>0</v>
      </c>
      <c r="I221" s="337">
        <f t="shared" si="90"/>
        <v>17002.103665583385</v>
      </c>
      <c r="J221" s="340">
        <f t="shared" si="91"/>
        <v>1.5707375105436701</v>
      </c>
      <c r="K221" s="348">
        <f t="shared" si="107"/>
        <v>4.883968963582932</v>
      </c>
      <c r="L221" s="349">
        <f t="shared" si="108"/>
        <v>1.3645864989404148</v>
      </c>
      <c r="M221" s="337">
        <f t="shared" si="92"/>
        <v>1.0081600394854586</v>
      </c>
      <c r="N221" s="340">
        <f t="shared" si="93"/>
        <v>0.12731798461408908</v>
      </c>
      <c r="O221" s="341">
        <f t="shared" si="94"/>
        <v>1.0033386582854502</v>
      </c>
      <c r="P221" s="342">
        <f t="shared" si="95"/>
        <v>0.18378754519712667</v>
      </c>
      <c r="Q221" s="343">
        <f t="shared" si="96"/>
        <v>7.8802317882562392</v>
      </c>
      <c r="R221" s="344">
        <f t="shared" si="97"/>
        <v>-107.55040488439496</v>
      </c>
      <c r="S221" s="346">
        <f t="shared" si="98"/>
        <v>72.449595115605035</v>
      </c>
      <c r="U221" s="319">
        <f t="shared" si="104"/>
        <v>1000000000</v>
      </c>
      <c r="V221" s="319">
        <f t="shared" si="105"/>
        <v>164064076.5625</v>
      </c>
      <c r="X221" s="345">
        <f t="shared" si="99"/>
        <v>26.802039527187219</v>
      </c>
      <c r="Y221" s="346">
        <f t="shared" si="100"/>
        <v>-19.106366103550044</v>
      </c>
      <c r="AA221" s="345">
        <f t="shared" si="101"/>
        <v>44.68731355023165</v>
      </c>
      <c r="AB221" s="346">
        <f t="shared" si="102"/>
        <v>-88.444038780844934</v>
      </c>
      <c r="AD221">
        <f t="shared" si="106"/>
        <v>0</v>
      </c>
      <c r="AE221">
        <f t="shared" si="109"/>
        <v>0</v>
      </c>
    </row>
    <row r="222" spans="1:31" x14ac:dyDescent="0.25">
      <c r="A222" s="347">
        <v>12882</v>
      </c>
      <c r="B222" s="364">
        <f t="shared" si="103"/>
        <v>12.882</v>
      </c>
      <c r="C222" s="337">
        <f t="shared" si="84"/>
        <v>5.675247847054858</v>
      </c>
      <c r="D222" s="338">
        <f t="shared" si="85"/>
        <v>1.3936678001156486</v>
      </c>
      <c r="E222" s="338">
        <f t="shared" si="86"/>
        <v>1.0005451277606086</v>
      </c>
      <c r="F222" s="339">
        <f t="shared" si="87"/>
        <v>3.301152037857067E-2</v>
      </c>
      <c r="G222" s="338">
        <f t="shared" si="88"/>
        <v>1</v>
      </c>
      <c r="H222" s="339">
        <f t="shared" si="89"/>
        <v>0</v>
      </c>
      <c r="I222" s="337">
        <f t="shared" si="90"/>
        <v>17099.334393734684</v>
      </c>
      <c r="J222" s="340">
        <f t="shared" si="91"/>
        <v>1.5707378449863336</v>
      </c>
      <c r="K222" s="348">
        <f t="shared" si="107"/>
        <v>4.9107314144088843</v>
      </c>
      <c r="L222" s="349">
        <f t="shared" si="108"/>
        <v>1.3657263679827176</v>
      </c>
      <c r="M222" s="337">
        <f t="shared" si="92"/>
        <v>1.0082532536567217</v>
      </c>
      <c r="N222" s="340">
        <f t="shared" si="93"/>
        <v>0.12803817463005485</v>
      </c>
      <c r="O222" s="341">
        <f t="shared" si="94"/>
        <v>1.0033779517983894</v>
      </c>
      <c r="P222" s="342">
        <f t="shared" si="95"/>
        <v>0.18484335834601659</v>
      </c>
      <c r="Q222" s="343">
        <f t="shared" si="96"/>
        <v>7.829092476539512</v>
      </c>
      <c r="R222" s="344">
        <f t="shared" si="97"/>
        <v>-107.63294603105778</v>
      </c>
      <c r="S222" s="346">
        <f t="shared" si="98"/>
        <v>72.367053968942216</v>
      </c>
      <c r="U222" s="319">
        <f t="shared" si="104"/>
        <v>1000000000</v>
      </c>
      <c r="V222" s="319">
        <f t="shared" si="105"/>
        <v>165945924</v>
      </c>
      <c r="X222" s="345">
        <f t="shared" si="99"/>
        <v>26.799171281737792</v>
      </c>
      <c r="Y222" s="346">
        <f t="shared" si="100"/>
        <v>-19.082339428716438</v>
      </c>
      <c r="AA222" s="345">
        <f t="shared" si="101"/>
        <v>44.639042483964346</v>
      </c>
      <c r="AB222" s="346">
        <f t="shared" si="102"/>
        <v>-88.550606602341333</v>
      </c>
      <c r="AD222">
        <f t="shared" si="106"/>
        <v>0</v>
      </c>
      <c r="AE222">
        <f t="shared" si="109"/>
        <v>0</v>
      </c>
    </row>
    <row r="223" spans="1:31" x14ac:dyDescent="0.25">
      <c r="A223" s="347">
        <v>12957.25</v>
      </c>
      <c r="B223" s="364">
        <f t="shared" si="103"/>
        <v>12.95725</v>
      </c>
      <c r="C223" s="337">
        <f t="shared" si="84"/>
        <v>5.7073733230036092</v>
      </c>
      <c r="D223" s="338">
        <f t="shared" si="85"/>
        <v>1.3946752841822456</v>
      </c>
      <c r="E223" s="338">
        <f t="shared" si="86"/>
        <v>1.0005515133120373</v>
      </c>
      <c r="F223" s="339">
        <f t="shared" si="87"/>
        <v>3.3204215359681488E-2</v>
      </c>
      <c r="G223" s="338">
        <f t="shared" si="88"/>
        <v>1</v>
      </c>
      <c r="H223" s="339">
        <f t="shared" si="89"/>
        <v>0</v>
      </c>
      <c r="I223" s="337">
        <f t="shared" si="90"/>
        <v>17199.21988579652</v>
      </c>
      <c r="J223" s="340">
        <f t="shared" si="91"/>
        <v>1.5707381846229143</v>
      </c>
      <c r="K223" s="348">
        <f t="shared" si="107"/>
        <v>4.9382311518284681</v>
      </c>
      <c r="L223" s="349">
        <f t="shared" si="108"/>
        <v>1.3668844926655872</v>
      </c>
      <c r="M223" s="337">
        <f t="shared" si="92"/>
        <v>1.008349557389846</v>
      </c>
      <c r="N223" s="340">
        <f t="shared" si="93"/>
        <v>0.12877788948623739</v>
      </c>
      <c r="O223" s="341">
        <f t="shared" si="94"/>
        <v>1.0034185752055975</v>
      </c>
      <c r="P223" s="342">
        <f t="shared" si="95"/>
        <v>0.18592808194138558</v>
      </c>
      <c r="Q223" s="343">
        <f t="shared" si="96"/>
        <v>7.7768514861766667</v>
      </c>
      <c r="R223" s="344">
        <f t="shared" si="97"/>
        <v>-107.71782643346602</v>
      </c>
      <c r="S223" s="346">
        <f t="shared" si="98"/>
        <v>72.282173566533984</v>
      </c>
      <c r="U223" s="319">
        <f t="shared" si="104"/>
        <v>1000000000</v>
      </c>
      <c r="V223" s="319">
        <f t="shared" si="105"/>
        <v>167890327.5625</v>
      </c>
      <c r="X223" s="345">
        <f t="shared" si="99"/>
        <v>26.796255480112549</v>
      </c>
      <c r="Y223" s="346">
        <f t="shared" si="100"/>
        <v>-19.05838577125574</v>
      </c>
      <c r="AA223" s="345">
        <f t="shared" si="101"/>
        <v>44.589717295226741</v>
      </c>
      <c r="AB223" s="346">
        <f t="shared" si="102"/>
        <v>-88.659440662210272</v>
      </c>
      <c r="AD223">
        <f t="shared" si="106"/>
        <v>0</v>
      </c>
      <c r="AE223">
        <f t="shared" si="109"/>
        <v>0</v>
      </c>
    </row>
    <row r="224" spans="1:31" x14ac:dyDescent="0.25">
      <c r="A224" s="347">
        <v>13032.5</v>
      </c>
      <c r="B224" s="364">
        <f t="shared" si="103"/>
        <v>13.032500000000001</v>
      </c>
      <c r="C224" s="337">
        <f t="shared" si="84"/>
        <v>5.7395045272195064</v>
      </c>
      <c r="D224" s="338">
        <f t="shared" si="85"/>
        <v>1.3956714889471766</v>
      </c>
      <c r="E224" s="338">
        <f t="shared" si="86"/>
        <v>1.0005579360148253</v>
      </c>
      <c r="F224" s="339">
        <f t="shared" si="87"/>
        <v>3.339690787408222E-2</v>
      </c>
      <c r="G224" s="338">
        <f t="shared" si="88"/>
        <v>1</v>
      </c>
      <c r="H224" s="339">
        <f t="shared" si="89"/>
        <v>0</v>
      </c>
      <c r="I224" s="337">
        <f t="shared" si="90"/>
        <v>17299.105377860316</v>
      </c>
      <c r="J224" s="340">
        <f t="shared" si="91"/>
        <v>1.5707385203373536</v>
      </c>
      <c r="K224" s="348">
        <f t="shared" si="107"/>
        <v>4.9657374392995877</v>
      </c>
      <c r="L224" s="349">
        <f t="shared" si="108"/>
        <v>1.368029788667134</v>
      </c>
      <c r="M224" s="337">
        <f t="shared" si="92"/>
        <v>1.008446412764177</v>
      </c>
      <c r="N224" s="340">
        <f t="shared" si="93"/>
        <v>0.12951746265647049</v>
      </c>
      <c r="O224" s="341">
        <f t="shared" si="94"/>
        <v>1.0034594595227195</v>
      </c>
      <c r="P224" s="342">
        <f t="shared" si="95"/>
        <v>0.18701288985226963</v>
      </c>
      <c r="Q224" s="343">
        <f t="shared" si="96"/>
        <v>7.72490548852576</v>
      </c>
      <c r="R224" s="344">
        <f t="shared" si="97"/>
        <v>-107.80279223831573</v>
      </c>
      <c r="S224" s="346">
        <f t="shared" si="98"/>
        <v>72.197207761684268</v>
      </c>
      <c r="U224" s="319">
        <f t="shared" si="104"/>
        <v>1000000000</v>
      </c>
      <c r="V224" s="319">
        <f t="shared" si="105"/>
        <v>169846056.25</v>
      </c>
      <c r="X224" s="345">
        <f t="shared" si="99"/>
        <v>26.793370062534166</v>
      </c>
      <c r="Y224" s="346">
        <f t="shared" si="100"/>
        <v>-19.035158800363323</v>
      </c>
      <c r="AA224" s="345">
        <f t="shared" si="101"/>
        <v>44.540656715154221</v>
      </c>
      <c r="AB224" s="346">
        <f t="shared" si="102"/>
        <v>-88.767633437952412</v>
      </c>
      <c r="AD224">
        <f t="shared" si="106"/>
        <v>0</v>
      </c>
      <c r="AE224">
        <f t="shared" si="109"/>
        <v>0</v>
      </c>
    </row>
    <row r="225" spans="1:31" x14ac:dyDescent="0.25">
      <c r="A225" s="347">
        <v>13107.75</v>
      </c>
      <c r="B225" s="364">
        <f t="shared" si="103"/>
        <v>13.107749999999999</v>
      </c>
      <c r="C225" s="337">
        <f t="shared" si="84"/>
        <v>5.7716413640333419</v>
      </c>
      <c r="D225" s="338">
        <f t="shared" si="85"/>
        <v>1.3966566008278665</v>
      </c>
      <c r="E225" s="338">
        <f t="shared" si="86"/>
        <v>1.0005643958682571</v>
      </c>
      <c r="F225" s="339">
        <f t="shared" si="87"/>
        <v>3.3589597907511037E-2</v>
      </c>
      <c r="G225" s="338">
        <f t="shared" si="88"/>
        <v>1</v>
      </c>
      <c r="H225" s="339">
        <f t="shared" si="89"/>
        <v>0</v>
      </c>
      <c r="I225" s="337">
        <f t="shared" si="90"/>
        <v>17398.990869926041</v>
      </c>
      <c r="J225" s="340">
        <f t="shared" si="91"/>
        <v>1.5707388521972014</v>
      </c>
      <c r="K225" s="348">
        <f t="shared" si="107"/>
        <v>4.9932501685755559</v>
      </c>
      <c r="L225" s="349">
        <f t="shared" si="108"/>
        <v>1.3691624650151764</v>
      </c>
      <c r="M225" s="337">
        <f t="shared" si="92"/>
        <v>1.0085438196207841</v>
      </c>
      <c r="N225" s="340">
        <f t="shared" si="93"/>
        <v>0.13025689337264518</v>
      </c>
      <c r="O225" s="341">
        <f t="shared" si="94"/>
        <v>1.0035006051701216</v>
      </c>
      <c r="P225" s="342">
        <f t="shared" si="95"/>
        <v>0.18809778249806566</v>
      </c>
      <c r="Q225" s="343">
        <f t="shared" si="96"/>
        <v>7.6732509236632502</v>
      </c>
      <c r="R225" s="344">
        <f t="shared" si="97"/>
        <v>-107.88784213483453</v>
      </c>
      <c r="S225" s="346">
        <f t="shared" si="98"/>
        <v>72.112157865165472</v>
      </c>
      <c r="U225" s="319">
        <f t="shared" si="104"/>
        <v>1000000000</v>
      </c>
      <c r="V225" s="319">
        <f t="shared" si="105"/>
        <v>171813110.0625</v>
      </c>
      <c r="X225" s="345">
        <f t="shared" si="99"/>
        <v>26.790514255853051</v>
      </c>
      <c r="Y225" s="346">
        <f t="shared" si="100"/>
        <v>-19.012646499488287</v>
      </c>
      <c r="AA225" s="345">
        <f t="shared" si="101"/>
        <v>44.491857956972829</v>
      </c>
      <c r="AB225" s="346">
        <f t="shared" si="102"/>
        <v>-88.875195635346216</v>
      </c>
      <c r="AD225">
        <f t="shared" si="106"/>
        <v>0</v>
      </c>
      <c r="AE225">
        <f t="shared" si="109"/>
        <v>0</v>
      </c>
    </row>
    <row r="226" spans="1:31" x14ac:dyDescent="0.25">
      <c r="A226" s="347">
        <v>13183</v>
      </c>
      <c r="B226" s="364">
        <f t="shared" si="103"/>
        <v>13.183</v>
      </c>
      <c r="C226" s="337">
        <f t="shared" si="84"/>
        <v>5.8037837398782868</v>
      </c>
      <c r="D226" s="338">
        <f t="shared" si="85"/>
        <v>1.3976308021992998</v>
      </c>
      <c r="E226" s="338">
        <f t="shared" si="86"/>
        <v>1.000570892871613</v>
      </c>
      <c r="F226" s="339">
        <f t="shared" si="87"/>
        <v>3.3782285445707154E-2</v>
      </c>
      <c r="G226" s="338">
        <f t="shared" si="88"/>
        <v>1</v>
      </c>
      <c r="H226" s="339">
        <f t="shared" si="89"/>
        <v>0</v>
      </c>
      <c r="I226" s="337">
        <f t="shared" si="90"/>
        <v>17498.876361993658</v>
      </c>
      <c r="J226" s="340">
        <f t="shared" si="91"/>
        <v>1.5707391802684649</v>
      </c>
      <c r="K226" s="348">
        <f t="shared" si="107"/>
        <v>5.0207692337572816</v>
      </c>
      <c r="L226" s="349">
        <f t="shared" si="108"/>
        <v>1.370282726285909</v>
      </c>
      <c r="M226" s="337">
        <f t="shared" si="92"/>
        <v>1.0086417777998939</v>
      </c>
      <c r="N226" s="340">
        <f t="shared" si="93"/>
        <v>0.13099618086757148</v>
      </c>
      <c r="O226" s="341">
        <f t="shared" si="94"/>
        <v>1.0035420125705166</v>
      </c>
      <c r="P226" s="342">
        <f t="shared" si="95"/>
        <v>0.18918276029695361</v>
      </c>
      <c r="Q226" s="343">
        <f t="shared" si="96"/>
        <v>7.6218842945087157</v>
      </c>
      <c r="R226" s="344">
        <f t="shared" si="97"/>
        <v>-107.97297483558899</v>
      </c>
      <c r="S226" s="346">
        <f t="shared" si="98"/>
        <v>72.027025164411015</v>
      </c>
      <c r="U226" s="319">
        <f t="shared" si="104"/>
        <v>1000000000</v>
      </c>
      <c r="V226" s="319">
        <f t="shared" si="105"/>
        <v>173791489</v>
      </c>
      <c r="X226" s="345">
        <f t="shared" si="99"/>
        <v>26.787687308139443</v>
      </c>
      <c r="Y226" s="346">
        <f t="shared" si="100"/>
        <v>-18.990837107103282</v>
      </c>
      <c r="AA226" s="345">
        <f t="shared" si="101"/>
        <v>44.443318275531894</v>
      </c>
      <c r="AB226" s="346">
        <f t="shared" si="102"/>
        <v>-88.982137728485682</v>
      </c>
      <c r="AD226">
        <f t="shared" si="106"/>
        <v>0</v>
      </c>
      <c r="AE226">
        <f t="shared" si="109"/>
        <v>0</v>
      </c>
    </row>
    <row r="227" spans="1:31" x14ac:dyDescent="0.25">
      <c r="A227" s="347">
        <v>13259.75</v>
      </c>
      <c r="B227" s="364">
        <f t="shared" si="103"/>
        <v>13.25975</v>
      </c>
      <c r="C227" s="337">
        <f t="shared" si="84"/>
        <v>5.8365724383923077</v>
      </c>
      <c r="D227" s="338">
        <f t="shared" si="85"/>
        <v>1.3986133689750984</v>
      </c>
      <c r="E227" s="338">
        <f t="shared" si="86"/>
        <v>1.000577557650691</v>
      </c>
      <c r="F227" s="339">
        <f t="shared" si="87"/>
        <v>3.3978811346385362E-2</v>
      </c>
      <c r="G227" s="338">
        <f t="shared" si="88"/>
        <v>1</v>
      </c>
      <c r="H227" s="339">
        <f t="shared" si="89"/>
        <v>0</v>
      </c>
      <c r="I227" s="337">
        <f t="shared" si="90"/>
        <v>17600.752926994774</v>
      </c>
      <c r="J227" s="340">
        <f t="shared" si="91"/>
        <v>1.5707395110436224</v>
      </c>
      <c r="K227" s="348">
        <f t="shared" si="107"/>
        <v>5.0488432709131104</v>
      </c>
      <c r="L227" s="349">
        <f t="shared" si="108"/>
        <v>1.3714127372036271</v>
      </c>
      <c r="M227" s="337">
        <f t="shared" si="92"/>
        <v>1.0087422563839443</v>
      </c>
      <c r="N227" s="340">
        <f t="shared" si="93"/>
        <v>0.13175005666366765</v>
      </c>
      <c r="O227" s="341">
        <f t="shared" si="94"/>
        <v>1.0035845154398662</v>
      </c>
      <c r="P227" s="342">
        <f t="shared" si="95"/>
        <v>0.19028945370874045</v>
      </c>
      <c r="Q227" s="343">
        <f t="shared" si="96"/>
        <v>7.5697867857973318</v>
      </c>
      <c r="R227" s="344">
        <f t="shared" si="97"/>
        <v>-108.05988851909267</v>
      </c>
      <c r="S227" s="346">
        <f t="shared" si="98"/>
        <v>71.940111480907333</v>
      </c>
      <c r="U227" s="319">
        <f t="shared" si="104"/>
        <v>1000000000</v>
      </c>
      <c r="V227" s="319">
        <f t="shared" si="105"/>
        <v>175820970.0625</v>
      </c>
      <c r="X227" s="345">
        <f t="shared" si="99"/>
        <v>26.784832978588256</v>
      </c>
      <c r="Y227" s="346">
        <f t="shared" si="100"/>
        <v>-18.969305104103587</v>
      </c>
      <c r="AA227" s="345">
        <f t="shared" si="101"/>
        <v>44.394075096371708</v>
      </c>
      <c r="AB227" s="346">
        <f t="shared" si="102"/>
        <v>-89.090583414989069</v>
      </c>
      <c r="AD227">
        <f t="shared" si="106"/>
        <v>0</v>
      </c>
      <c r="AE227">
        <f t="shared" si="109"/>
        <v>0</v>
      </c>
    </row>
    <row r="228" spans="1:31" x14ac:dyDescent="0.25">
      <c r="A228" s="347">
        <v>13336.5</v>
      </c>
      <c r="B228" s="364">
        <f t="shared" si="103"/>
        <v>13.336499999999999</v>
      </c>
      <c r="C228" s="337">
        <f t="shared" si="84"/>
        <v>5.8693667087917616</v>
      </c>
      <c r="D228" s="338">
        <f t="shared" si="85"/>
        <v>1.399584956769705</v>
      </c>
      <c r="E228" s="338">
        <f t="shared" si="86"/>
        <v>1.0005842610739897</v>
      </c>
      <c r="F228" s="339">
        <f t="shared" si="87"/>
        <v>3.41753346213996E-2</v>
      </c>
      <c r="G228" s="338">
        <f t="shared" si="88"/>
        <v>1</v>
      </c>
      <c r="H228" s="339">
        <f t="shared" si="89"/>
        <v>0</v>
      </c>
      <c r="I228" s="337">
        <f t="shared" si="90"/>
        <v>17702.629491997792</v>
      </c>
      <c r="J228" s="340">
        <f t="shared" si="91"/>
        <v>1.5707398380116351</v>
      </c>
      <c r="K228" s="348">
        <f t="shared" si="107"/>
        <v>5.0769236837564096</v>
      </c>
      <c r="L228" s="349">
        <f t="shared" si="108"/>
        <v>1.3725302493775997</v>
      </c>
      <c r="M228" s="337">
        <f t="shared" si="92"/>
        <v>1.0088433081507975</v>
      </c>
      <c r="N228" s="340">
        <f t="shared" si="93"/>
        <v>0.13250378186265799</v>
      </c>
      <c r="O228" s="341">
        <f t="shared" si="94"/>
        <v>1.0036272914972255</v>
      </c>
      <c r="P228" s="342">
        <f t="shared" si="95"/>
        <v>0.19139623657707527</v>
      </c>
      <c r="Q228" s="343">
        <f t="shared" si="96"/>
        <v>7.5179816514594497</v>
      </c>
      <c r="R228" s="344">
        <f t="shared" si="97"/>
        <v>-108.14688570778688</v>
      </c>
      <c r="S228" s="346">
        <f t="shared" si="98"/>
        <v>71.853114292213121</v>
      </c>
      <c r="U228" s="319">
        <f t="shared" si="104"/>
        <v>1000000000</v>
      </c>
      <c r="V228" s="319">
        <f t="shared" si="105"/>
        <v>177862232.25</v>
      </c>
      <c r="X228" s="345">
        <f t="shared" si="99"/>
        <v>26.782007154492</v>
      </c>
      <c r="Y228" s="346">
        <f t="shared" si="100"/>
        <v>-18.948480379658641</v>
      </c>
      <c r="AA228" s="345">
        <f t="shared" si="101"/>
        <v>44.345095786130088</v>
      </c>
      <c r="AB228" s="346">
        <f t="shared" si="102"/>
        <v>-89.198405328128231</v>
      </c>
      <c r="AD228">
        <f t="shared" si="106"/>
        <v>0</v>
      </c>
      <c r="AE228">
        <f t="shared" si="109"/>
        <v>0</v>
      </c>
    </row>
    <row r="229" spans="1:31" x14ac:dyDescent="0.25">
      <c r="A229" s="347">
        <v>13413.25</v>
      </c>
      <c r="B229" s="364">
        <f t="shared" si="103"/>
        <v>13.41325</v>
      </c>
      <c r="C229" s="337">
        <f t="shared" si="84"/>
        <v>5.9021664581992708</v>
      </c>
      <c r="D229" s="338">
        <f t="shared" si="85"/>
        <v>1.4005457467718034</v>
      </c>
      <c r="E229" s="338">
        <f t="shared" si="86"/>
        <v>1.0005910031407323</v>
      </c>
      <c r="F229" s="339">
        <f t="shared" si="87"/>
        <v>3.437185525562278E-2</v>
      </c>
      <c r="G229" s="338">
        <f t="shared" si="88"/>
        <v>1</v>
      </c>
      <c r="H229" s="339">
        <f t="shared" si="89"/>
        <v>0</v>
      </c>
      <c r="I229" s="337">
        <f t="shared" si="90"/>
        <v>17804.50605700268</v>
      </c>
      <c r="J229" s="340">
        <f t="shared" si="91"/>
        <v>1.570740161237856</v>
      </c>
      <c r="K229" s="348">
        <f t="shared" si="107"/>
        <v>5.1050103670776368</v>
      </c>
      <c r="L229" s="349">
        <f t="shared" si="108"/>
        <v>1.3736354662896773</v>
      </c>
      <c r="M229" s="337">
        <f t="shared" si="92"/>
        <v>1.008944932928231</v>
      </c>
      <c r="N229" s="340">
        <f t="shared" si="93"/>
        <v>0.13325735565353611</v>
      </c>
      <c r="O229" s="341">
        <f t="shared" si="94"/>
        <v>1.0036703411986241</v>
      </c>
      <c r="P229" s="342">
        <f t="shared" si="95"/>
        <v>0.19250310934169129</v>
      </c>
      <c r="Q229" s="343">
        <f t="shared" si="96"/>
        <v>7.4664653737579902</v>
      </c>
      <c r="R229" s="344">
        <f t="shared" si="97"/>
        <v>-108.23396510770597</v>
      </c>
      <c r="S229" s="346">
        <f t="shared" si="98"/>
        <v>71.76603489229403</v>
      </c>
      <c r="U229" s="319">
        <f t="shared" si="104"/>
        <v>1000000000</v>
      </c>
      <c r="V229" s="319">
        <f t="shared" si="105"/>
        <v>179915275.5625</v>
      </c>
      <c r="X229" s="345">
        <f t="shared" si="99"/>
        <v>26.779209101925421</v>
      </c>
      <c r="Y229" s="346">
        <f t="shared" si="100"/>
        <v>-18.928351232394395</v>
      </c>
      <c r="AA229" s="345">
        <f t="shared" si="101"/>
        <v>44.296377560995197</v>
      </c>
      <c r="AB229" s="346">
        <f t="shared" si="102"/>
        <v>-89.305613875311607</v>
      </c>
      <c r="AD229">
        <f t="shared" si="106"/>
        <v>0</v>
      </c>
      <c r="AE229">
        <f t="shared" si="109"/>
        <v>0</v>
      </c>
    </row>
    <row r="230" spans="1:31" x14ac:dyDescent="0.25">
      <c r="A230" s="347">
        <v>13490</v>
      </c>
      <c r="B230" s="364">
        <f t="shared" si="103"/>
        <v>13.49</v>
      </c>
      <c r="C230" s="337">
        <f t="shared" si="84"/>
        <v>5.9349715957752665</v>
      </c>
      <c r="D230" s="338">
        <f t="shared" si="85"/>
        <v>1.4014959162447955</v>
      </c>
      <c r="E230" s="338">
        <f t="shared" si="86"/>
        <v>1.0005977838501376</v>
      </c>
      <c r="F230" s="339">
        <f t="shared" si="87"/>
        <v>3.4568373233929042E-2</v>
      </c>
      <c r="G230" s="338">
        <f t="shared" si="88"/>
        <v>1</v>
      </c>
      <c r="H230" s="339">
        <f t="shared" si="89"/>
        <v>0</v>
      </c>
      <c r="I230" s="337">
        <f t="shared" si="90"/>
        <v>17906.382622009412</v>
      </c>
      <c r="J230" s="340">
        <f t="shared" si="91"/>
        <v>1.5707404807861505</v>
      </c>
      <c r="K230" s="348">
        <f t="shared" si="107"/>
        <v>5.1331032179467018</v>
      </c>
      <c r="L230" s="349">
        <f t="shared" si="108"/>
        <v>1.3747285870888322</v>
      </c>
      <c r="M230" s="337">
        <f t="shared" si="92"/>
        <v>1.0090471305431146</v>
      </c>
      <c r="N230" s="340">
        <f t="shared" si="93"/>
        <v>0.13401077722630939</v>
      </c>
      <c r="O230" s="341">
        <f t="shared" si="94"/>
        <v>1.0037136650026224</v>
      </c>
      <c r="P230" s="342">
        <f t="shared" si="95"/>
        <v>0.19361007244097506</v>
      </c>
      <c r="Q230" s="343">
        <f t="shared" si="96"/>
        <v>7.4152344968044357</v>
      </c>
      <c r="R230" s="344">
        <f t="shared" si="97"/>
        <v>-108.32112544813359</v>
      </c>
      <c r="S230" s="346">
        <f t="shared" si="98"/>
        <v>71.678874551866414</v>
      </c>
      <c r="U230" s="319">
        <f t="shared" si="104"/>
        <v>1000000000</v>
      </c>
      <c r="V230" s="319">
        <f t="shared" si="105"/>
        <v>181980100</v>
      </c>
      <c r="X230" s="345">
        <f t="shared" si="99"/>
        <v>26.776438107087941</v>
      </c>
      <c r="Y230" s="346">
        <f t="shared" si="100"/>
        <v>-18.908906209165263</v>
      </c>
      <c r="AA230" s="345">
        <f t="shared" si="101"/>
        <v>44.247917678879119</v>
      </c>
      <c r="AB230" s="346">
        <f t="shared" si="102"/>
        <v>-89.412219238968319</v>
      </c>
      <c r="AD230">
        <f t="shared" si="106"/>
        <v>0</v>
      </c>
      <c r="AE230">
        <f t="shared" si="109"/>
        <v>0</v>
      </c>
    </row>
    <row r="231" spans="1:31" x14ac:dyDescent="0.25">
      <c r="A231" s="347">
        <v>13568.5</v>
      </c>
      <c r="B231" s="364">
        <f t="shared" si="103"/>
        <v>13.5685</v>
      </c>
      <c r="C231" s="337">
        <f t="shared" si="84"/>
        <v>5.9685302144796575</v>
      </c>
      <c r="D231" s="338">
        <f t="shared" si="85"/>
        <v>1.4024569450483868</v>
      </c>
      <c r="E231" s="338">
        <f t="shared" si="86"/>
        <v>1.0006047591420961</v>
      </c>
      <c r="F231" s="339">
        <f t="shared" si="87"/>
        <v>3.4769369314980543E-2</v>
      </c>
      <c r="G231" s="338">
        <f t="shared" si="88"/>
        <v>1</v>
      </c>
      <c r="H231" s="339">
        <f t="shared" si="89"/>
        <v>0</v>
      </c>
      <c r="I231" s="337">
        <f t="shared" si="90"/>
        <v>18010.58210543836</v>
      </c>
      <c r="J231" s="340">
        <f t="shared" si="91"/>
        <v>1.5707408038809418</v>
      </c>
      <c r="K231" s="348">
        <f t="shared" si="107"/>
        <v>5.1618428975508666</v>
      </c>
      <c r="L231" s="349">
        <f t="shared" si="108"/>
        <v>1.3758343226533136</v>
      </c>
      <c r="M231" s="337">
        <f t="shared" si="92"/>
        <v>1.0091522507938866</v>
      </c>
      <c r="N231" s="340">
        <f t="shared" si="93"/>
        <v>0.13478121948556068</v>
      </c>
      <c r="O231" s="341">
        <f t="shared" si="94"/>
        <v>1.0037582606751181</v>
      </c>
      <c r="P231" s="342">
        <f t="shared" si="95"/>
        <v>0.19474236964451325</v>
      </c>
      <c r="Q231" s="343">
        <f t="shared" si="96"/>
        <v>7.363127186464772</v>
      </c>
      <c r="R231" s="344">
        <f t="shared" si="97"/>
        <v>-108.41035558712537</v>
      </c>
      <c r="S231" s="346">
        <f t="shared" si="98"/>
        <v>71.589644412874634</v>
      </c>
      <c r="U231" s="319">
        <f t="shared" si="104"/>
        <v>1000000000</v>
      </c>
      <c r="V231" s="319">
        <f t="shared" si="105"/>
        <v>184104192.25</v>
      </c>
      <c r="X231" s="345">
        <f t="shared" si="99"/>
        <v>26.773631196546731</v>
      </c>
      <c r="Y231" s="346">
        <f t="shared" si="100"/>
        <v>-18.889713829822586</v>
      </c>
      <c r="AA231" s="345">
        <f t="shared" si="101"/>
        <v>44.198617279080672</v>
      </c>
      <c r="AB231" s="346">
        <f t="shared" si="102"/>
        <v>-89.520641757302769</v>
      </c>
      <c r="AD231">
        <f t="shared" si="106"/>
        <v>0</v>
      </c>
      <c r="AE231">
        <f t="shared" si="109"/>
        <v>0</v>
      </c>
    </row>
    <row r="232" spans="1:31" x14ac:dyDescent="0.25">
      <c r="A232" s="347">
        <v>13647</v>
      </c>
      <c r="B232" s="364">
        <f t="shared" si="103"/>
        <v>13.647</v>
      </c>
      <c r="C232" s="337">
        <f t="shared" si="84"/>
        <v>6.0020942839332632</v>
      </c>
      <c r="D232" s="338">
        <f t="shared" si="85"/>
        <v>1.4034072264606228</v>
      </c>
      <c r="E232" s="338">
        <f t="shared" si="86"/>
        <v>1.0006117748573464</v>
      </c>
      <c r="F232" s="339">
        <f t="shared" si="87"/>
        <v>3.4970362585613729E-2</v>
      </c>
      <c r="G232" s="338">
        <f t="shared" si="88"/>
        <v>1</v>
      </c>
      <c r="H232" s="339">
        <f t="shared" si="89"/>
        <v>0</v>
      </c>
      <c r="I232" s="337">
        <f t="shared" si="90"/>
        <v>18114.781588869166</v>
      </c>
      <c r="J232" s="340">
        <f t="shared" si="91"/>
        <v>1.5707411232587347</v>
      </c>
      <c r="K232" s="348">
        <f t="shared" si="107"/>
        <v>5.1905888183956526</v>
      </c>
      <c r="L232" s="349">
        <f t="shared" si="108"/>
        <v>1.376927812227877</v>
      </c>
      <c r="M232" s="337">
        <f t="shared" si="92"/>
        <v>1.0092579699335491</v>
      </c>
      <c r="N232" s="340">
        <f t="shared" si="93"/>
        <v>0.13555150079526962</v>
      </c>
      <c r="O232" s="341">
        <f t="shared" si="94"/>
        <v>1.0038031440709714</v>
      </c>
      <c r="P232" s="342">
        <f t="shared" si="95"/>
        <v>0.19587476227250386</v>
      </c>
      <c r="Q232" s="343">
        <f t="shared" si="96"/>
        <v>7.3113113191681673</v>
      </c>
      <c r="R232" s="344">
        <f t="shared" si="97"/>
        <v>-108.49966778323574</v>
      </c>
      <c r="S232" s="346">
        <f t="shared" si="98"/>
        <v>71.500332216764264</v>
      </c>
      <c r="U232" s="319">
        <f t="shared" si="104"/>
        <v>1000000000</v>
      </c>
      <c r="V232" s="319">
        <f t="shared" si="105"/>
        <v>186240609</v>
      </c>
      <c r="X232" s="345">
        <f t="shared" si="99"/>
        <v>26.770851142905506</v>
      </c>
      <c r="Y232" s="346">
        <f t="shared" si="100"/>
        <v>-18.87121365932115</v>
      </c>
      <c r="AA232" s="345">
        <f t="shared" si="101"/>
        <v>44.149581465425285</v>
      </c>
      <c r="AB232" s="346">
        <f t="shared" si="102"/>
        <v>-89.628454123914594</v>
      </c>
      <c r="AD232">
        <f t="shared" si="106"/>
        <v>0</v>
      </c>
      <c r="AE232">
        <f t="shared" si="109"/>
        <v>0</v>
      </c>
    </row>
    <row r="233" spans="1:31" x14ac:dyDescent="0.25">
      <c r="A233" s="347">
        <v>13725.5</v>
      </c>
      <c r="B233" s="364">
        <f t="shared" si="103"/>
        <v>13.7255</v>
      </c>
      <c r="C233" s="337">
        <f t="shared" si="84"/>
        <v>6.0356637132019282</v>
      </c>
      <c r="D233" s="338">
        <f t="shared" si="85"/>
        <v>1.404346938076745</v>
      </c>
      <c r="E233" s="338">
        <f t="shared" si="86"/>
        <v>1.0006188309950383</v>
      </c>
      <c r="F233" s="339">
        <f t="shared" si="87"/>
        <v>3.5171353029648314E-2</v>
      </c>
      <c r="G233" s="338">
        <f t="shared" si="88"/>
        <v>1</v>
      </c>
      <c r="H233" s="339">
        <f t="shared" si="89"/>
        <v>0</v>
      </c>
      <c r="I233" s="337">
        <f t="shared" si="90"/>
        <v>18218.981072301802</v>
      </c>
      <c r="J233" s="340">
        <f t="shared" si="91"/>
        <v>1.5707414389833043</v>
      </c>
      <c r="K233" s="348">
        <f t="shared" si="107"/>
        <v>5.2193408773587233</v>
      </c>
      <c r="L233" s="349">
        <f t="shared" si="108"/>
        <v>1.378009255556065</v>
      </c>
      <c r="M233" s="337">
        <f t="shared" si="92"/>
        <v>1.0093642877739224</v>
      </c>
      <c r="N233" s="340">
        <f t="shared" si="93"/>
        <v>0.13632162029208603</v>
      </c>
      <c r="O233" s="341">
        <f t="shared" si="94"/>
        <v>1.0038483156890381</v>
      </c>
      <c r="P233" s="342">
        <f t="shared" si="95"/>
        <v>0.19700725078958781</v>
      </c>
      <c r="Q233" s="343">
        <f t="shared" si="96"/>
        <v>7.2597833887159098</v>
      </c>
      <c r="R233" s="344">
        <f t="shared" si="97"/>
        <v>-108.5890607491973</v>
      </c>
      <c r="S233" s="346">
        <f t="shared" si="98"/>
        <v>71.410939250802699</v>
      </c>
      <c r="U233" s="319">
        <f t="shared" si="104"/>
        <v>1000000000</v>
      </c>
      <c r="V233" s="319">
        <f t="shared" si="105"/>
        <v>188389350.25</v>
      </c>
      <c r="X233" s="345">
        <f t="shared" si="99"/>
        <v>26.768097243590962</v>
      </c>
      <c r="Y233" s="346">
        <f t="shared" si="100"/>
        <v>-18.853394207386675</v>
      </c>
      <c r="AA233" s="345">
        <f t="shared" si="101"/>
        <v>44.100807434287574</v>
      </c>
      <c r="AB233" s="346">
        <f t="shared" si="102"/>
        <v>-89.73566654181063</v>
      </c>
      <c r="AD233">
        <f t="shared" si="106"/>
        <v>0</v>
      </c>
      <c r="AE233">
        <f t="shared" si="109"/>
        <v>0</v>
      </c>
    </row>
    <row r="234" spans="1:31" x14ac:dyDescent="0.25">
      <c r="A234" s="347">
        <v>13804</v>
      </c>
      <c r="B234" s="364">
        <f t="shared" si="103"/>
        <v>13.804</v>
      </c>
      <c r="C234" s="337">
        <f t="shared" si="84"/>
        <v>6.0692384133489936</v>
      </c>
      <c r="D234" s="338">
        <f t="shared" si="85"/>
        <v>1.4052762536378216</v>
      </c>
      <c r="E234" s="338">
        <f t="shared" si="86"/>
        <v>1.0006259275543168</v>
      </c>
      <c r="F234" s="339">
        <f t="shared" si="87"/>
        <v>3.5372340630905386E-2</v>
      </c>
      <c r="G234" s="338">
        <f t="shared" si="88"/>
        <v>1</v>
      </c>
      <c r="H234" s="339">
        <f t="shared" si="89"/>
        <v>0</v>
      </c>
      <c r="I234" s="337">
        <f t="shared" si="90"/>
        <v>18323.180555736228</v>
      </c>
      <c r="J234" s="340">
        <f t="shared" si="91"/>
        <v>1.5707417511169757</v>
      </c>
      <c r="K234" s="348">
        <f t="shared" si="107"/>
        <v>5.2480989735558135</v>
      </c>
      <c r="L234" s="349">
        <f t="shared" si="108"/>
        <v>1.3790788481173826</v>
      </c>
      <c r="M234" s="337">
        <f t="shared" si="92"/>
        <v>1.0094712041258398</v>
      </c>
      <c r="N234" s="340">
        <f t="shared" si="93"/>
        <v>0.13709157711379033</v>
      </c>
      <c r="O234" s="341">
        <f t="shared" si="94"/>
        <v>1.003893776030937</v>
      </c>
      <c r="P234" s="342">
        <f t="shared" si="95"/>
        <v>0.19813983565889851</v>
      </c>
      <c r="Q234" s="343">
        <f t="shared" si="96"/>
        <v>7.2085399504803105</v>
      </c>
      <c r="R234" s="344">
        <f t="shared" si="97"/>
        <v>-108.67853322112133</v>
      </c>
      <c r="S234" s="346">
        <f t="shared" si="98"/>
        <v>71.321466778878673</v>
      </c>
      <c r="U234" s="319">
        <f t="shared" si="104"/>
        <v>1000000000</v>
      </c>
      <c r="V234" s="319">
        <f t="shared" si="105"/>
        <v>190550416</v>
      </c>
      <c r="X234" s="345">
        <f t="shared" si="99"/>
        <v>26.765368815331186</v>
      </c>
      <c r="Y234" s="346">
        <f t="shared" si="100"/>
        <v>-18.836244228037973</v>
      </c>
      <c r="AA234" s="345">
        <f t="shared" si="101"/>
        <v>44.052292424311759</v>
      </c>
      <c r="AB234" s="346">
        <f t="shared" si="102"/>
        <v>-89.842288993083372</v>
      </c>
      <c r="AD234">
        <f t="shared" si="106"/>
        <v>0</v>
      </c>
      <c r="AE234">
        <f t="shared" si="109"/>
        <v>0</v>
      </c>
    </row>
    <row r="235" spans="1:31" x14ac:dyDescent="0.25">
      <c r="A235" s="347">
        <v>13884.25</v>
      </c>
      <c r="B235" s="364">
        <f t="shared" si="103"/>
        <v>13.88425</v>
      </c>
      <c r="C235" s="337">
        <f t="shared" si="84"/>
        <v>6.1035669519350764</v>
      </c>
      <c r="D235" s="338">
        <f t="shared" si="85"/>
        <v>1.4062157171485667</v>
      </c>
      <c r="E235" s="338">
        <f t="shared" si="86"/>
        <v>1.0006332240995588</v>
      </c>
      <c r="F235" s="339">
        <f t="shared" si="87"/>
        <v>3.5577805892085389E-2</v>
      </c>
      <c r="G235" s="338">
        <f t="shared" si="88"/>
        <v>1</v>
      </c>
      <c r="H235" s="339">
        <f t="shared" si="89"/>
        <v>0</v>
      </c>
      <c r="I235" s="337">
        <f t="shared" si="90"/>
        <v>18429.702957592992</v>
      </c>
      <c r="J235" s="340">
        <f t="shared" si="91"/>
        <v>1.5707420665606002</v>
      </c>
      <c r="K235" s="348">
        <f t="shared" si="107"/>
        <v>5.2775043116474523</v>
      </c>
      <c r="L235" s="349">
        <f t="shared" si="108"/>
        <v>1.3801602343221759</v>
      </c>
      <c r="M235" s="337">
        <f t="shared" si="92"/>
        <v>1.0095811224394757</v>
      </c>
      <c r="N235" s="340">
        <f t="shared" si="93"/>
        <v>0.13787852952600901</v>
      </c>
      <c r="O235" s="341">
        <f t="shared" si="94"/>
        <v>1.0039405487955635</v>
      </c>
      <c r="P235" s="342">
        <f t="shared" si="95"/>
        <v>0.19929776931433094</v>
      </c>
      <c r="Q235" s="343">
        <f t="shared" si="96"/>
        <v>7.1564446946233229</v>
      </c>
      <c r="R235" s="344">
        <f t="shared" si="97"/>
        <v>-108.77008119443626</v>
      </c>
      <c r="S235" s="346">
        <f t="shared" si="98"/>
        <v>71.229918805563742</v>
      </c>
      <c r="U235" s="319">
        <f t="shared" si="104"/>
        <v>1000000000</v>
      </c>
      <c r="V235" s="319">
        <f t="shared" si="105"/>
        <v>192772398.0625</v>
      </c>
      <c r="X235" s="345">
        <f t="shared" si="99"/>
        <v>26.762605199376708</v>
      </c>
      <c r="Y235" s="346">
        <f t="shared" si="100"/>
        <v>-18.819392487946512</v>
      </c>
      <c r="AA235" s="345">
        <f t="shared" si="101"/>
        <v>44.00296078440924</v>
      </c>
      <c r="AB235" s="346">
        <f t="shared" si="102"/>
        <v>-89.950688706489743</v>
      </c>
      <c r="AD235">
        <f t="shared" si="106"/>
        <v>0</v>
      </c>
      <c r="AE235">
        <f t="shared" si="109"/>
        <v>0</v>
      </c>
    </row>
    <row r="236" spans="1:31" x14ac:dyDescent="0.25">
      <c r="A236" s="347">
        <v>13964.5</v>
      </c>
      <c r="B236" s="364">
        <f t="shared" si="103"/>
        <v>13.964499999999999</v>
      </c>
      <c r="C236" s="337">
        <f t="shared" si="84"/>
        <v>6.1379008172186582</v>
      </c>
      <c r="D236" s="338">
        <f t="shared" si="85"/>
        <v>1.4071446712288767</v>
      </c>
      <c r="E236" s="338">
        <f t="shared" si="86"/>
        <v>1.0006405628868891</v>
      </c>
      <c r="F236" s="339">
        <f t="shared" si="87"/>
        <v>3.5783268148137877E-2</v>
      </c>
      <c r="G236" s="338">
        <f t="shared" si="88"/>
        <v>1</v>
      </c>
      <c r="H236" s="339">
        <f t="shared" si="89"/>
        <v>0</v>
      </c>
      <c r="I236" s="337">
        <f t="shared" si="90"/>
        <v>18536.225359451571</v>
      </c>
      <c r="J236" s="340">
        <f t="shared" si="91"/>
        <v>1.5707423783786958</v>
      </c>
      <c r="K236" s="348">
        <f t="shared" si="107"/>
        <v>5.3069157528361641</v>
      </c>
      <c r="L236" s="349">
        <f t="shared" si="108"/>
        <v>1.3812296354717946</v>
      </c>
      <c r="M236" s="337">
        <f t="shared" si="92"/>
        <v>1.0096916658443891</v>
      </c>
      <c r="N236" s="340">
        <f t="shared" si="93"/>
        <v>0.13866531011060657</v>
      </c>
      <c r="O236" s="341">
        <f t="shared" si="94"/>
        <v>1.0039876243695265</v>
      </c>
      <c r="P236" s="342">
        <f t="shared" si="95"/>
        <v>0.20045580463979351</v>
      </c>
      <c r="Q236" s="343">
        <f t="shared" si="96"/>
        <v>7.1046396674058236</v>
      </c>
      <c r="R236" s="344">
        <f t="shared" si="97"/>
        <v>-108.86170965954074</v>
      </c>
      <c r="S236" s="346">
        <f t="shared" si="98"/>
        <v>71.138290340459264</v>
      </c>
      <c r="U236" s="319">
        <f t="shared" si="104"/>
        <v>1000000000</v>
      </c>
      <c r="V236" s="319">
        <f t="shared" si="105"/>
        <v>195007260.25</v>
      </c>
      <c r="X236" s="345">
        <f t="shared" si="99"/>
        <v>26.75986681777815</v>
      </c>
      <c r="Y236" s="346">
        <f t="shared" si="100"/>
        <v>-18.803217388209575</v>
      </c>
      <c r="AA236" s="345">
        <f t="shared" si="101"/>
        <v>43.953894138790297</v>
      </c>
      <c r="AB236" s="346">
        <f t="shared" si="102"/>
        <v>-90.058492271331161</v>
      </c>
      <c r="AD236">
        <f t="shared" si="106"/>
        <v>0</v>
      </c>
      <c r="AE236">
        <f t="shared" si="109"/>
        <v>0</v>
      </c>
    </row>
    <row r="237" spans="1:31" x14ac:dyDescent="0.25">
      <c r="A237" s="347">
        <v>14044.75</v>
      </c>
      <c r="B237" s="364">
        <f t="shared" si="103"/>
        <v>14.044750000000001</v>
      </c>
      <c r="C237" s="337">
        <f t="shared" si="84"/>
        <v>6.1722399203084519</v>
      </c>
      <c r="D237" s="338">
        <f t="shared" si="85"/>
        <v>1.4080632896687957</v>
      </c>
      <c r="E237" s="338">
        <f t="shared" si="86"/>
        <v>1.0006479439153788</v>
      </c>
      <c r="F237" s="339">
        <f t="shared" si="87"/>
        <v>3.5988727381782111E-2</v>
      </c>
      <c r="G237" s="338">
        <f t="shared" si="88"/>
        <v>1</v>
      </c>
      <c r="H237" s="339">
        <f t="shared" si="89"/>
        <v>0</v>
      </c>
      <c r="I237" s="337">
        <f t="shared" si="90"/>
        <v>18642.747761311934</v>
      </c>
      <c r="J237" s="340">
        <f t="shared" si="91"/>
        <v>1.5707426866334095</v>
      </c>
      <c r="K237" s="348">
        <f t="shared" si="107"/>
        <v>5.3363331962094653</v>
      </c>
      <c r="L237" s="349">
        <f t="shared" si="108"/>
        <v>1.3822872473087793</v>
      </c>
      <c r="M237" s="337">
        <f t="shared" si="92"/>
        <v>1.0098028341352927</v>
      </c>
      <c r="N237" s="340">
        <f t="shared" si="93"/>
        <v>0.13945191795010209</v>
      </c>
      <c r="O237" s="341">
        <f t="shared" si="94"/>
        <v>1.0040350032976846</v>
      </c>
      <c r="P237" s="342">
        <f t="shared" si="95"/>
        <v>0.20161394212514844</v>
      </c>
      <c r="Q237" s="343">
        <f t="shared" si="96"/>
        <v>7.0531213789893688</v>
      </c>
      <c r="R237" s="344">
        <f t="shared" si="97"/>
        <v>-108.95341733869951</v>
      </c>
      <c r="S237" s="346">
        <f t="shared" si="98"/>
        <v>71.046582661300491</v>
      </c>
      <c r="U237" s="319">
        <f t="shared" si="104"/>
        <v>1000000000</v>
      </c>
      <c r="V237" s="319">
        <f t="shared" si="105"/>
        <v>197255002.5625</v>
      </c>
      <c r="X237" s="345">
        <f t="shared" si="99"/>
        <v>26.757152999107099</v>
      </c>
      <c r="Y237" s="346">
        <f t="shared" si="100"/>
        <v>-18.787707664598663</v>
      </c>
      <c r="AA237" s="345">
        <f t="shared" si="101"/>
        <v>43.905089669044898</v>
      </c>
      <c r="AB237" s="346">
        <f t="shared" si="102"/>
        <v>-90.165709674100853</v>
      </c>
      <c r="AD237">
        <f t="shared" si="106"/>
        <v>0</v>
      </c>
      <c r="AE237">
        <f t="shared" si="109"/>
        <v>0</v>
      </c>
    </row>
    <row r="238" spans="1:31" x14ac:dyDescent="0.25">
      <c r="A238" s="347">
        <v>14125</v>
      </c>
      <c r="B238" s="364">
        <f t="shared" si="103"/>
        <v>14.125</v>
      </c>
      <c r="C238" s="337">
        <f t="shared" si="84"/>
        <v>6.2065841742669914</v>
      </c>
      <c r="D238" s="338">
        <f t="shared" si="85"/>
        <v>1.408971742482344</v>
      </c>
      <c r="E238" s="338">
        <f t="shared" si="86"/>
        <v>1.000655367184093</v>
      </c>
      <c r="F238" s="339">
        <f t="shared" si="87"/>
        <v>3.6194183575738857E-2</v>
      </c>
      <c r="G238" s="338">
        <f t="shared" si="88"/>
        <v>1</v>
      </c>
      <c r="H238" s="339">
        <f t="shared" si="89"/>
        <v>0</v>
      </c>
      <c r="I238" s="337">
        <f t="shared" si="90"/>
        <v>18749.270163174042</v>
      </c>
      <c r="J238" s="340">
        <f t="shared" si="91"/>
        <v>1.5707429913854769</v>
      </c>
      <c r="K238" s="348">
        <f t="shared" si="107"/>
        <v>5.3657565430474889</v>
      </c>
      <c r="L238" s="349">
        <f t="shared" si="108"/>
        <v>1.3833332613890361</v>
      </c>
      <c r="M238" s="337">
        <f t="shared" si="92"/>
        <v>1.0099146271058301</v>
      </c>
      <c r="N238" s="340">
        <f t="shared" si="93"/>
        <v>0.14023835212827257</v>
      </c>
      <c r="O238" s="341">
        <f t="shared" si="94"/>
        <v>1.0040826861279053</v>
      </c>
      <c r="P238" s="342">
        <f t="shared" si="95"/>
        <v>0.20277218225857421</v>
      </c>
      <c r="Q238" s="343">
        <f t="shared" si="96"/>
        <v>7.0018864007154926</v>
      </c>
      <c r="R238" s="344">
        <f t="shared" si="97"/>
        <v>-109.04520297759822</v>
      </c>
      <c r="S238" s="346">
        <f t="shared" si="98"/>
        <v>70.954797022401777</v>
      </c>
      <c r="U238" s="319">
        <f t="shared" si="104"/>
        <v>1000000000</v>
      </c>
      <c r="V238" s="319">
        <f t="shared" si="105"/>
        <v>199515625</v>
      </c>
      <c r="X238" s="345">
        <f t="shared" si="99"/>
        <v>26.754463090407302</v>
      </c>
      <c r="Y238" s="346">
        <f t="shared" si="100"/>
        <v>-18.77285229275298</v>
      </c>
      <c r="AA238" s="345">
        <f t="shared" si="101"/>
        <v>43.856544599470823</v>
      </c>
      <c r="AB238" s="346">
        <f t="shared" si="102"/>
        <v>-90.272350684845236</v>
      </c>
      <c r="AD238">
        <f t="shared" si="106"/>
        <v>0</v>
      </c>
      <c r="AE238">
        <f t="shared" si="109"/>
        <v>0</v>
      </c>
    </row>
    <row r="239" spans="1:31" x14ac:dyDescent="0.25">
      <c r="A239" s="347">
        <v>14207.25</v>
      </c>
      <c r="B239" s="364">
        <f t="shared" si="103"/>
        <v>14.20725</v>
      </c>
      <c r="C239" s="337">
        <f t="shared" si="84"/>
        <v>6.2417896158496191</v>
      </c>
      <c r="D239" s="338">
        <f t="shared" si="85"/>
        <v>1.4098924610771351</v>
      </c>
      <c r="E239" s="338">
        <f t="shared" si="86"/>
        <v>1.0006630192878214</v>
      </c>
      <c r="F239" s="339">
        <f t="shared" si="87"/>
        <v>3.6404757000940764E-2</v>
      </c>
      <c r="G239" s="338">
        <f t="shared" si="88"/>
        <v>1</v>
      </c>
      <c r="H239" s="339">
        <f t="shared" si="89"/>
        <v>0</v>
      </c>
      <c r="I239" s="337">
        <f t="shared" si="90"/>
        <v>18858.447328947273</v>
      </c>
      <c r="J239" s="340">
        <f t="shared" si="91"/>
        <v>1.5707433001600404</v>
      </c>
      <c r="K239" s="348">
        <f t="shared" si="107"/>
        <v>5.3959192069612669</v>
      </c>
      <c r="L239" s="349">
        <f t="shared" si="108"/>
        <v>1.3843935055726497</v>
      </c>
      <c r="M239" s="337">
        <f t="shared" si="92"/>
        <v>1.010029854203117</v>
      </c>
      <c r="N239" s="340">
        <f t="shared" si="93"/>
        <v>0.14104420474753418</v>
      </c>
      <c r="O239" s="341">
        <f t="shared" si="94"/>
        <v>1.0041318732489375</v>
      </c>
      <c r="P239" s="342">
        <f t="shared" si="95"/>
        <v>0.203959395215983</v>
      </c>
      <c r="Q239" s="343">
        <f t="shared" si="96"/>
        <v>6.9496650028588558</v>
      </c>
      <c r="R239" s="344">
        <f t="shared" si="97"/>
        <v>-109.13935571910581</v>
      </c>
      <c r="S239" s="346">
        <f t="shared" si="98"/>
        <v>70.860644280894192</v>
      </c>
      <c r="U239" s="319">
        <f t="shared" si="104"/>
        <v>1000000000</v>
      </c>
      <c r="V239" s="319">
        <f t="shared" si="105"/>
        <v>201845952.5625</v>
      </c>
      <c r="X239" s="345">
        <f t="shared" si="99"/>
        <v>26.751730290329021</v>
      </c>
      <c r="Y239" s="346">
        <f t="shared" si="100"/>
        <v>-18.758294421234549</v>
      </c>
      <c r="AA239" s="345">
        <f t="shared" si="101"/>
        <v>43.807056001692459</v>
      </c>
      <c r="AB239" s="346">
        <f t="shared" si="102"/>
        <v>-90.381061297871284</v>
      </c>
      <c r="AD239">
        <f t="shared" si="106"/>
        <v>0</v>
      </c>
      <c r="AE239">
        <f t="shared" si="109"/>
        <v>0</v>
      </c>
    </row>
    <row r="240" spans="1:31" x14ac:dyDescent="0.25">
      <c r="A240" s="347">
        <v>14289.5</v>
      </c>
      <c r="B240" s="364">
        <f t="shared" si="103"/>
        <v>14.2895</v>
      </c>
      <c r="C240" s="337">
        <f t="shared" si="84"/>
        <v>6.277000289382503</v>
      </c>
      <c r="D240" s="338">
        <f t="shared" si="85"/>
        <v>1.4108028509413886</v>
      </c>
      <c r="E240" s="338">
        <f t="shared" si="86"/>
        <v>1.0006707157614367</v>
      </c>
      <c r="F240" s="339">
        <f t="shared" si="87"/>
        <v>3.6615327196306426E-2</v>
      </c>
      <c r="G240" s="338">
        <f t="shared" si="88"/>
        <v>1</v>
      </c>
      <c r="H240" s="339">
        <f t="shared" si="89"/>
        <v>0</v>
      </c>
      <c r="I240" s="337">
        <f t="shared" si="90"/>
        <v>18967.624494722288</v>
      </c>
      <c r="J240" s="340">
        <f t="shared" si="91"/>
        <v>1.5707436053800066</v>
      </c>
      <c r="K240" s="348">
        <f t="shared" si="107"/>
        <v>5.4260878690837995</v>
      </c>
      <c r="L240" s="349">
        <f t="shared" si="108"/>
        <v>1.3854419611596476</v>
      </c>
      <c r="M240" s="337">
        <f t="shared" si="92"/>
        <v>1.0101457370623317</v>
      </c>
      <c r="N240" s="340">
        <f t="shared" si="93"/>
        <v>0.14184987299676158</v>
      </c>
      <c r="O240" s="341">
        <f t="shared" si="94"/>
        <v>1.0041813807836104</v>
      </c>
      <c r="P240" s="342">
        <f t="shared" si="95"/>
        <v>0.20514671703457762</v>
      </c>
      <c r="Q240" s="343">
        <f t="shared" si="96"/>
        <v>6.8977341103308989</v>
      </c>
      <c r="R240" s="344">
        <f t="shared" si="97"/>
        <v>-109.23358775983272</v>
      </c>
      <c r="S240" s="346">
        <f t="shared" si="98"/>
        <v>70.766412240167284</v>
      </c>
      <c r="U240" s="319">
        <f t="shared" si="104"/>
        <v>1000000000</v>
      </c>
      <c r="V240" s="319">
        <f t="shared" si="105"/>
        <v>204189810.25</v>
      </c>
      <c r="X240" s="345">
        <f t="shared" si="99"/>
        <v>26.749021274879183</v>
      </c>
      <c r="Y240" s="346">
        <f t="shared" si="100"/>
        <v>-18.7444012192611</v>
      </c>
      <c r="AA240" s="345">
        <f t="shared" si="101"/>
        <v>43.757834124614341</v>
      </c>
      <c r="AB240" s="346">
        <f t="shared" si="102"/>
        <v>-90.489186540571623</v>
      </c>
      <c r="AD240">
        <f t="shared" si="106"/>
        <v>0</v>
      </c>
      <c r="AE240">
        <f t="shared" si="109"/>
        <v>0</v>
      </c>
    </row>
    <row r="241" spans="1:31" x14ac:dyDescent="0.25">
      <c r="A241" s="347">
        <v>14371.75</v>
      </c>
      <c r="B241" s="364">
        <f t="shared" si="103"/>
        <v>14.37175</v>
      </c>
      <c r="C241" s="337">
        <f t="shared" si="84"/>
        <v>6.3122161073113725</v>
      </c>
      <c r="D241" s="338">
        <f t="shared" si="85"/>
        <v>1.4117030834250439</v>
      </c>
      <c r="E241" s="338">
        <f t="shared" si="86"/>
        <v>1.0006784566039146</v>
      </c>
      <c r="F241" s="339">
        <f t="shared" si="87"/>
        <v>3.6825894143237295E-2</v>
      </c>
      <c r="G241" s="338">
        <f t="shared" si="88"/>
        <v>1</v>
      </c>
      <c r="H241" s="339">
        <f t="shared" si="89"/>
        <v>0</v>
      </c>
      <c r="I241" s="337">
        <f t="shared" si="90"/>
        <v>19076.801660499044</v>
      </c>
      <c r="J241" s="340">
        <f t="shared" si="91"/>
        <v>1.5707439071064051</v>
      </c>
      <c r="K241" s="348">
        <f t="shared" si="107"/>
        <v>5.4562624299195459</v>
      </c>
      <c r="L241" s="349">
        <f t="shared" si="108"/>
        <v>1.3864788214077373</v>
      </c>
      <c r="M241" s="337">
        <f t="shared" si="92"/>
        <v>1.010262275457815</v>
      </c>
      <c r="N241" s="340">
        <f t="shared" si="93"/>
        <v>0.1426553558936598</v>
      </c>
      <c r="O241" s="341">
        <f t="shared" si="94"/>
        <v>1.0042312093316035</v>
      </c>
      <c r="P241" s="342">
        <f t="shared" si="95"/>
        <v>0.20633414823438434</v>
      </c>
      <c r="Q241" s="343">
        <f t="shared" si="96"/>
        <v>6.8460902225249018</v>
      </c>
      <c r="R241" s="344">
        <f t="shared" si="97"/>
        <v>-109.32789782263252</v>
      </c>
      <c r="S241" s="346">
        <f t="shared" si="98"/>
        <v>70.672102177367478</v>
      </c>
      <c r="U241" s="319">
        <f t="shared" si="104"/>
        <v>1000000000</v>
      </c>
      <c r="V241" s="319">
        <f t="shared" si="105"/>
        <v>206547198.0625</v>
      </c>
      <c r="X241" s="345">
        <f t="shared" si="99"/>
        <v>26.746335397605794</v>
      </c>
      <c r="Y241" s="346">
        <f t="shared" si="100"/>
        <v>-18.731161561196988</v>
      </c>
      <c r="AA241" s="345">
        <f t="shared" si="101"/>
        <v>43.708876114081733</v>
      </c>
      <c r="AB241" s="346">
        <f t="shared" si="102"/>
        <v>-90.596736261435524</v>
      </c>
      <c r="AD241">
        <f t="shared" si="106"/>
        <v>0</v>
      </c>
      <c r="AE241">
        <f t="shared" si="109"/>
        <v>0</v>
      </c>
    </row>
    <row r="242" spans="1:31" x14ac:dyDescent="0.25">
      <c r="A242" s="347">
        <v>14454</v>
      </c>
      <c r="B242" s="364">
        <f t="shared" si="103"/>
        <v>14.454000000000001</v>
      </c>
      <c r="C242" s="337">
        <f t="shared" si="84"/>
        <v>6.3474369840123241</v>
      </c>
      <c r="D242" s="338">
        <f t="shared" si="85"/>
        <v>1.4125933261415615</v>
      </c>
      <c r="E242" s="338">
        <f t="shared" si="86"/>
        <v>1.0006862418142259</v>
      </c>
      <c r="F242" s="339">
        <f t="shared" si="87"/>
        <v>3.7036457823136554E-2</v>
      </c>
      <c r="G242" s="338">
        <f t="shared" si="88"/>
        <v>1</v>
      </c>
      <c r="H242" s="339">
        <f t="shared" si="89"/>
        <v>0</v>
      </c>
      <c r="I242" s="337">
        <f t="shared" si="90"/>
        <v>19185.978826277518</v>
      </c>
      <c r="J242" s="340">
        <f t="shared" si="91"/>
        <v>1.5707442053988758</v>
      </c>
      <c r="K242" s="348">
        <f t="shared" si="107"/>
        <v>5.486442792142558</v>
      </c>
      <c r="L242" s="349">
        <f t="shared" si="108"/>
        <v>1.3875042754232416</v>
      </c>
      <c r="M242" s="337">
        <f t="shared" si="92"/>
        <v>1.0103794691627364</v>
      </c>
      <c r="N242" s="340">
        <f t="shared" si="93"/>
        <v>0.14346065245734782</v>
      </c>
      <c r="O242" s="341">
        <f t="shared" si="94"/>
        <v>1.0042813594959057</v>
      </c>
      <c r="P242" s="342">
        <f t="shared" si="95"/>
        <v>0.20752168933352941</v>
      </c>
      <c r="Q242" s="343">
        <f t="shared" si="96"/>
        <v>6.7947299002544801</v>
      </c>
      <c r="R242" s="344">
        <f t="shared" si="97"/>
        <v>-109.42228465402363</v>
      </c>
      <c r="S242" s="346">
        <f t="shared" si="98"/>
        <v>70.577715345976372</v>
      </c>
      <c r="U242" s="319">
        <f t="shared" si="104"/>
        <v>1000000000</v>
      </c>
      <c r="V242" s="319">
        <f t="shared" si="105"/>
        <v>208918116</v>
      </c>
      <c r="X242" s="345">
        <f t="shared" si="99"/>
        <v>26.74367202991305</v>
      </c>
      <c r="Y242" s="346">
        <f t="shared" si="100"/>
        <v>-18.718564559264792</v>
      </c>
      <c r="AA242" s="345">
        <f t="shared" si="101"/>
        <v>43.660179159504068</v>
      </c>
      <c r="AB242" s="346">
        <f t="shared" si="102"/>
        <v>-90.703720094758864</v>
      </c>
      <c r="AD242">
        <f t="shared" si="106"/>
        <v>0</v>
      </c>
      <c r="AE242">
        <f t="shared" si="109"/>
        <v>0</v>
      </c>
    </row>
    <row r="243" spans="1:31" x14ac:dyDescent="0.25">
      <c r="A243" s="347">
        <v>14622.5</v>
      </c>
      <c r="B243" s="364">
        <f t="shared" si="103"/>
        <v>14.6225</v>
      </c>
      <c r="C243" s="337">
        <f t="shared" si="84"/>
        <v>6.419607053230747</v>
      </c>
      <c r="D243" s="338">
        <f t="shared" si="85"/>
        <v>1.414386597519167</v>
      </c>
      <c r="E243" s="338">
        <f t="shared" si="86"/>
        <v>1.0007023293927622</v>
      </c>
      <c r="F243" s="339">
        <f t="shared" si="87"/>
        <v>3.746781508136756E-2</v>
      </c>
      <c r="G243" s="338">
        <f t="shared" si="88"/>
        <v>1</v>
      </c>
      <c r="H243" s="339">
        <f t="shared" si="89"/>
        <v>0</v>
      </c>
      <c r="I243" s="337">
        <f t="shared" si="90"/>
        <v>19409.642685658724</v>
      </c>
      <c r="J243" s="340">
        <f t="shared" si="91"/>
        <v>1.5707448060113027</v>
      </c>
      <c r="K243" s="348">
        <f t="shared" si="107"/>
        <v>5.548288971932986</v>
      </c>
      <c r="L243" s="349">
        <f t="shared" si="108"/>
        <v>1.389570210167272</v>
      </c>
      <c r="M243" s="337">
        <f t="shared" si="92"/>
        <v>1.0106216013764548</v>
      </c>
      <c r="N243" s="340">
        <f t="shared" si="93"/>
        <v>0.14510982294280181</v>
      </c>
      <c r="O243" s="341">
        <f t="shared" si="94"/>
        <v>1.0043851056285735</v>
      </c>
      <c r="P243" s="342">
        <f t="shared" si="95"/>
        <v>0.20995486965340501</v>
      </c>
      <c r="Q243" s="343">
        <f t="shared" si="96"/>
        <v>6.6903828210236167</v>
      </c>
      <c r="R243" s="344">
        <f t="shared" si="97"/>
        <v>-109.61588312795629</v>
      </c>
      <c r="S243" s="346">
        <f t="shared" si="98"/>
        <v>70.384116872043705</v>
      </c>
      <c r="U243" s="319">
        <f t="shared" si="104"/>
        <v>1000000000</v>
      </c>
      <c r="V243" s="319">
        <f t="shared" si="105"/>
        <v>213817506.25</v>
      </c>
      <c r="X243" s="345">
        <f t="shared" si="99"/>
        <v>26.738283503306498</v>
      </c>
      <c r="Y243" s="346">
        <f t="shared" si="100"/>
        <v>-18.694720138726407</v>
      </c>
      <c r="AA243" s="345">
        <f t="shared" si="101"/>
        <v>43.561220606879743</v>
      </c>
      <c r="AB243" s="346">
        <f t="shared" si="102"/>
        <v>-90.921162989229927</v>
      </c>
      <c r="AD243">
        <f t="shared" si="106"/>
        <v>0</v>
      </c>
      <c r="AE243">
        <f t="shared" si="109"/>
        <v>0</v>
      </c>
    </row>
    <row r="244" spans="1:31" x14ac:dyDescent="0.25">
      <c r="A244" s="347">
        <v>14706.75</v>
      </c>
      <c r="B244" s="364">
        <f t="shared" si="103"/>
        <v>14.70675</v>
      </c>
      <c r="C244" s="337">
        <f t="shared" si="84"/>
        <v>6.4556996996328717</v>
      </c>
      <c r="D244" s="338">
        <f t="shared" si="85"/>
        <v>1.4152681961814251</v>
      </c>
      <c r="E244" s="338">
        <f t="shared" si="86"/>
        <v>1.0007104430052551</v>
      </c>
      <c r="F244" s="339">
        <f t="shared" si="87"/>
        <v>3.7683488489492663E-2</v>
      </c>
      <c r="G244" s="338">
        <f t="shared" si="88"/>
        <v>1</v>
      </c>
      <c r="H244" s="339">
        <f t="shared" si="89"/>
        <v>0</v>
      </c>
      <c r="I244" s="337">
        <f t="shared" si="90"/>
        <v>19521.474615351905</v>
      </c>
      <c r="J244" s="340">
        <f t="shared" si="91"/>
        <v>1.5707451011564579</v>
      </c>
      <c r="K244" s="348">
        <f t="shared" si="107"/>
        <v>5.5792207943771936</v>
      </c>
      <c r="L244" s="349">
        <f t="shared" si="108"/>
        <v>1.3905859995659646</v>
      </c>
      <c r="M244" s="337">
        <f t="shared" si="92"/>
        <v>1.0107436978564941</v>
      </c>
      <c r="N244" s="340">
        <f t="shared" si="93"/>
        <v>0.14593411076005994</v>
      </c>
      <c r="O244" s="341">
        <f t="shared" si="94"/>
        <v>1.004437487461848</v>
      </c>
      <c r="P244" s="342">
        <f t="shared" si="95"/>
        <v>0.2111716349688553</v>
      </c>
      <c r="Q244" s="343">
        <f t="shared" si="96"/>
        <v>6.6386413918564271</v>
      </c>
      <c r="R244" s="344">
        <f t="shared" si="97"/>
        <v>-109.71279803001873</v>
      </c>
      <c r="S244" s="346">
        <f t="shared" si="98"/>
        <v>70.287201969981268</v>
      </c>
      <c r="U244" s="319">
        <f t="shared" si="104"/>
        <v>1000000000</v>
      </c>
      <c r="V244" s="319">
        <f t="shared" si="105"/>
        <v>216288495.5625</v>
      </c>
      <c r="X244" s="345">
        <f t="shared" si="99"/>
        <v>26.735622125083658</v>
      </c>
      <c r="Y244" s="346">
        <f t="shared" si="100"/>
        <v>-18.683764816899348</v>
      </c>
      <c r="AA244" s="345">
        <f t="shared" si="101"/>
        <v>43.512140555935389</v>
      </c>
      <c r="AB244" s="346">
        <f t="shared" si="102"/>
        <v>-91.029033213119376</v>
      </c>
      <c r="AD244">
        <f t="shared" si="106"/>
        <v>0</v>
      </c>
      <c r="AE244">
        <f t="shared" si="109"/>
        <v>0</v>
      </c>
    </row>
    <row r="245" spans="1:31" x14ac:dyDescent="0.25">
      <c r="A245" s="347">
        <v>14791</v>
      </c>
      <c r="B245" s="364">
        <f t="shared" si="103"/>
        <v>14.791</v>
      </c>
      <c r="C245" s="337">
        <f t="shared" si="84"/>
        <v>6.491797307715518</v>
      </c>
      <c r="D245" s="338">
        <f t="shared" si="85"/>
        <v>1.4161399912646466</v>
      </c>
      <c r="E245" s="338">
        <f t="shared" si="86"/>
        <v>1.0007186031650572</v>
      </c>
      <c r="F245" s="339">
        <f t="shared" si="87"/>
        <v>3.7899158390318134E-2</v>
      </c>
      <c r="G245" s="338">
        <f t="shared" si="88"/>
        <v>1</v>
      </c>
      <c r="H245" s="339">
        <f t="shared" si="89"/>
        <v>0</v>
      </c>
      <c r="I245" s="337">
        <f t="shared" si="90"/>
        <v>19633.306545046769</v>
      </c>
      <c r="J245" s="340">
        <f t="shared" si="91"/>
        <v>1.5707453929393009</v>
      </c>
      <c r="K245" s="348">
        <f t="shared" si="107"/>
        <v>5.6101583101341257</v>
      </c>
      <c r="L245" s="349">
        <f t="shared" si="108"/>
        <v>1.3915905867426106</v>
      </c>
      <c r="M245" s="337">
        <f t="shared" si="92"/>
        <v>1.0108664809205798</v>
      </c>
      <c r="N245" s="340">
        <f t="shared" si="93"/>
        <v>0.14675819889588199</v>
      </c>
      <c r="O245" s="341">
        <f t="shared" si="94"/>
        <v>1.0044902093551564</v>
      </c>
      <c r="P245" s="342">
        <f t="shared" si="95"/>
        <v>0.21238851778661189</v>
      </c>
      <c r="Q245" s="343">
        <f t="shared" si="96"/>
        <v>6.5871834244573888</v>
      </c>
      <c r="R245" s="344">
        <f t="shared" si="97"/>
        <v>-109.80978836821265</v>
      </c>
      <c r="S245" s="346">
        <f t="shared" si="98"/>
        <v>70.190211631787349</v>
      </c>
      <c r="U245" s="319">
        <f t="shared" si="104"/>
        <v>1000000000</v>
      </c>
      <c r="V245" s="319">
        <f t="shared" si="105"/>
        <v>218773681</v>
      </c>
      <c r="X245" s="345">
        <f t="shared" si="99"/>
        <v>26.732981859414867</v>
      </c>
      <c r="Y245" s="346">
        <f t="shared" si="100"/>
        <v>-18.673439701567609</v>
      </c>
      <c r="AA245" s="345">
        <f t="shared" si="101"/>
        <v>43.463322854205153</v>
      </c>
      <c r="AB245" s="346">
        <f t="shared" si="102"/>
        <v>-91.136348666645006</v>
      </c>
      <c r="AD245">
        <f t="shared" si="106"/>
        <v>0</v>
      </c>
      <c r="AE245">
        <f t="shared" si="109"/>
        <v>0</v>
      </c>
    </row>
    <row r="246" spans="1:31" x14ac:dyDescent="0.25">
      <c r="A246" s="347">
        <v>14877.25</v>
      </c>
      <c r="B246" s="364">
        <f t="shared" si="103"/>
        <v>14.87725</v>
      </c>
      <c r="C246" s="337">
        <f t="shared" si="84"/>
        <v>6.5287568861380576</v>
      </c>
      <c r="D246" s="338">
        <f t="shared" si="85"/>
        <v>1.4170224947597421</v>
      </c>
      <c r="E246" s="338">
        <f t="shared" si="86"/>
        <v>1.0007270052545585</v>
      </c>
      <c r="F246" s="339">
        <f t="shared" si="87"/>
        <v>3.8119944397365914E-2</v>
      </c>
      <c r="G246" s="338">
        <f t="shared" si="88"/>
        <v>1</v>
      </c>
      <c r="H246" s="339">
        <f t="shared" si="89"/>
        <v>0</v>
      </c>
      <c r="I246" s="337">
        <f t="shared" si="90"/>
        <v>19747.793238653012</v>
      </c>
      <c r="J246" s="340">
        <f t="shared" si="91"/>
        <v>1.5707456882253945</v>
      </c>
      <c r="K246" s="348">
        <f t="shared" si="107"/>
        <v>5.6418360474875939</v>
      </c>
      <c r="L246" s="349">
        <f t="shared" si="108"/>
        <v>1.3926076077261886</v>
      </c>
      <c r="M246" s="337">
        <f t="shared" si="92"/>
        <v>1.0109928896805673</v>
      </c>
      <c r="N246" s="340">
        <f t="shared" si="93"/>
        <v>0.14760164201431708</v>
      </c>
      <c r="O246" s="341">
        <f t="shared" si="94"/>
        <v>1.004544535767055</v>
      </c>
      <c r="P246" s="342">
        <f t="shared" si="95"/>
        <v>0.21363441032014044</v>
      </c>
      <c r="Q246" s="343">
        <f t="shared" si="96"/>
        <v>6.5347940059253959</v>
      </c>
      <c r="R246" s="344">
        <f t="shared" si="97"/>
        <v>-109.90915801107666</v>
      </c>
      <c r="S246" s="346">
        <f t="shared" si="98"/>
        <v>70.090841988923344</v>
      </c>
      <c r="U246" s="319">
        <f t="shared" si="104"/>
        <v>1000000000</v>
      </c>
      <c r="V246" s="319">
        <f t="shared" si="105"/>
        <v>221332567.5625</v>
      </c>
      <c r="X246" s="345">
        <f t="shared" si="99"/>
        <v>26.730300174145928</v>
      </c>
      <c r="Y246" s="346">
        <f t="shared" si="100"/>
        <v>-18.663511341113601</v>
      </c>
      <c r="AA246" s="345">
        <f t="shared" si="101"/>
        <v>43.413615120942097</v>
      </c>
      <c r="AB246" s="346">
        <f t="shared" si="102"/>
        <v>-91.245646669963065</v>
      </c>
      <c r="AD246">
        <f t="shared" si="106"/>
        <v>0</v>
      </c>
      <c r="AE246">
        <f t="shared" si="109"/>
        <v>0</v>
      </c>
    </row>
    <row r="247" spans="1:31" x14ac:dyDescent="0.25">
      <c r="A247" s="347">
        <v>14963.5</v>
      </c>
      <c r="B247" s="364">
        <f t="shared" si="103"/>
        <v>14.9635</v>
      </c>
      <c r="C247" s="337">
        <f t="shared" si="84"/>
        <v>6.5657214919901987</v>
      </c>
      <c r="D247" s="338">
        <f t="shared" si="85"/>
        <v>1.4178950620478687</v>
      </c>
      <c r="E247" s="338">
        <f t="shared" si="86"/>
        <v>1.0007354561251389</v>
      </c>
      <c r="F247" s="339">
        <f t="shared" si="87"/>
        <v>3.8340726686250409E-2</v>
      </c>
      <c r="G247" s="338">
        <f t="shared" si="88"/>
        <v>1</v>
      </c>
      <c r="H247" s="339">
        <f t="shared" si="89"/>
        <v>0</v>
      </c>
      <c r="I247" s="337">
        <f t="shared" si="90"/>
        <v>19862.279932260961</v>
      </c>
      <c r="J247" s="340">
        <f t="shared" si="91"/>
        <v>1.5707459801074151</v>
      </c>
      <c r="K247" s="348">
        <f t="shared" si="107"/>
        <v>5.6735195552027058</v>
      </c>
      <c r="L247" s="349">
        <f t="shared" si="108"/>
        <v>1.3936132707269484</v>
      </c>
      <c r="M247" s="337">
        <f t="shared" si="92"/>
        <v>1.0111200174770205</v>
      </c>
      <c r="N247" s="340">
        <f t="shared" si="93"/>
        <v>0.14844487364083159</v>
      </c>
      <c r="O247" s="341">
        <f t="shared" si="94"/>
        <v>1.0045992199926062</v>
      </c>
      <c r="P247" s="342">
        <f t="shared" si="95"/>
        <v>0.21488042715723332</v>
      </c>
      <c r="Q247" s="343">
        <f t="shared" si="96"/>
        <v>6.4826945548152457</v>
      </c>
      <c r="R247" s="344">
        <f t="shared" si="97"/>
        <v>-110.00860413816761</v>
      </c>
      <c r="S247" s="346">
        <f t="shared" si="98"/>
        <v>69.991395861832387</v>
      </c>
      <c r="U247" s="319">
        <f t="shared" si="104"/>
        <v>1000000000</v>
      </c>
      <c r="V247" s="319">
        <f t="shared" si="105"/>
        <v>223906332.25</v>
      </c>
      <c r="X247" s="345">
        <f t="shared" si="99"/>
        <v>26.72763938789387</v>
      </c>
      <c r="Y247" s="346">
        <f t="shared" si="100"/>
        <v>-18.654221432506105</v>
      </c>
      <c r="AA247" s="345">
        <f t="shared" si="101"/>
        <v>43.364176456084003</v>
      </c>
      <c r="AB247" s="346">
        <f t="shared" si="102"/>
        <v>-91.354382705661493</v>
      </c>
      <c r="AD247">
        <f t="shared" si="106"/>
        <v>0</v>
      </c>
      <c r="AE247">
        <f t="shared" si="109"/>
        <v>0</v>
      </c>
    </row>
    <row r="248" spans="1:31" x14ac:dyDescent="0.25">
      <c r="A248" s="347">
        <v>15049.75</v>
      </c>
      <c r="B248" s="364">
        <f t="shared" si="103"/>
        <v>15.04975</v>
      </c>
      <c r="C248" s="337">
        <f t="shared" si="84"/>
        <v>6.6026910408350279</v>
      </c>
      <c r="D248" s="338">
        <f t="shared" si="85"/>
        <v>1.418757858692395</v>
      </c>
      <c r="E248" s="338">
        <f t="shared" si="86"/>
        <v>1.0007439557755631</v>
      </c>
      <c r="F248" s="339">
        <f t="shared" si="87"/>
        <v>3.856150523554211E-2</v>
      </c>
      <c r="G248" s="338">
        <f t="shared" si="88"/>
        <v>1</v>
      </c>
      <c r="H248" s="339">
        <f t="shared" si="89"/>
        <v>0</v>
      </c>
      <c r="I248" s="337">
        <f t="shared" si="90"/>
        <v>19976.766625870579</v>
      </c>
      <c r="J248" s="340">
        <f t="shared" si="91"/>
        <v>1.5707462686438882</v>
      </c>
      <c r="K248" s="348">
        <f t="shared" si="107"/>
        <v>5.7052087371434714</v>
      </c>
      <c r="L248" s="349">
        <f t="shared" si="108"/>
        <v>1.3946077629549443</v>
      </c>
      <c r="M248" s="337">
        <f t="shared" si="92"/>
        <v>1.011247864038761</v>
      </c>
      <c r="N248" s="340">
        <f t="shared" si="93"/>
        <v>0.14928789265627282</v>
      </c>
      <c r="O248" s="341">
        <f t="shared" si="94"/>
        <v>1.0046542627543806</v>
      </c>
      <c r="P248" s="342">
        <f t="shared" si="95"/>
        <v>0.21612656887927548</v>
      </c>
      <c r="Q248" s="343">
        <f t="shared" si="96"/>
        <v>6.4308815675952342</v>
      </c>
      <c r="R248" s="344">
        <f t="shared" si="97"/>
        <v>-110.10812548299091</v>
      </c>
      <c r="S248" s="346">
        <f t="shared" si="98"/>
        <v>69.891874517009086</v>
      </c>
      <c r="U248" s="319">
        <f t="shared" si="104"/>
        <v>1000000000</v>
      </c>
      <c r="V248" s="319">
        <f t="shared" si="105"/>
        <v>226494975.0625</v>
      </c>
      <c r="X248" s="345">
        <f t="shared" si="99"/>
        <v>26.724998905270606</v>
      </c>
      <c r="Y248" s="346">
        <f t="shared" si="100"/>
        <v>-18.645559188629697</v>
      </c>
      <c r="AA248" s="345">
        <f t="shared" si="101"/>
        <v>43.315003951487256</v>
      </c>
      <c r="AB248" s="346">
        <f t="shared" si="102"/>
        <v>-91.462566294361267</v>
      </c>
      <c r="AD248">
        <f t="shared" si="106"/>
        <v>0</v>
      </c>
      <c r="AE248">
        <f t="shared" si="109"/>
        <v>0</v>
      </c>
    </row>
    <row r="249" spans="1:31" x14ac:dyDescent="0.25">
      <c r="A249" s="347">
        <v>15136</v>
      </c>
      <c r="B249" s="364">
        <f t="shared" si="103"/>
        <v>15.135999999999999</v>
      </c>
      <c r="C249" s="337">
        <f t="shared" si="84"/>
        <v>6.6396654501050349</v>
      </c>
      <c r="D249" s="338">
        <f t="shared" si="85"/>
        <v>1.4196110466277188</v>
      </c>
      <c r="E249" s="338">
        <f t="shared" si="86"/>
        <v>1.0007525042045877</v>
      </c>
      <c r="F249" s="339">
        <f t="shared" si="87"/>
        <v>3.8782280023813683E-2</v>
      </c>
      <c r="G249" s="338">
        <f t="shared" si="88"/>
        <v>1</v>
      </c>
      <c r="H249" s="339">
        <f t="shared" si="89"/>
        <v>0</v>
      </c>
      <c r="I249" s="337">
        <f t="shared" si="90"/>
        <v>20091.253319481846</v>
      </c>
      <c r="J249" s="340">
        <f t="shared" si="91"/>
        <v>1.5707465538920065</v>
      </c>
      <c r="K249" s="348">
        <f t="shared" si="107"/>
        <v>5.7369034992809942</v>
      </c>
      <c r="L249" s="349">
        <f t="shared" si="108"/>
        <v>1.3955912675726008</v>
      </c>
      <c r="M249" s="337">
        <f t="shared" si="92"/>
        <v>1.0113764290932148</v>
      </c>
      <c r="N249" s="340">
        <f t="shared" si="93"/>
        <v>0.15013069794326123</v>
      </c>
      <c r="O249" s="341">
        <f t="shared" si="94"/>
        <v>1.0047096647789235</v>
      </c>
      <c r="P249" s="342">
        <f t="shared" si="95"/>
        <v>0.21737283606524876</v>
      </c>
      <c r="Q249" s="343">
        <f t="shared" si="96"/>
        <v>6.3793516021971843</v>
      </c>
      <c r="R249" s="344">
        <f t="shared" si="97"/>
        <v>-110.20772080292703</v>
      </c>
      <c r="S249" s="346">
        <f t="shared" si="98"/>
        <v>69.792279197072972</v>
      </c>
      <c r="U249" s="319">
        <f t="shared" si="104"/>
        <v>1000000000</v>
      </c>
      <c r="V249" s="319">
        <f t="shared" si="105"/>
        <v>229098496</v>
      </c>
      <c r="X249" s="345">
        <f t="shared" si="99"/>
        <v>26.722378147438995</v>
      </c>
      <c r="Y249" s="346">
        <f t="shared" si="100"/>
        <v>-18.637514054306198</v>
      </c>
      <c r="AA249" s="345">
        <f t="shared" si="101"/>
        <v>43.266094743920817</v>
      </c>
      <c r="AB249" s="346">
        <f t="shared" si="102"/>
        <v>-91.570206748620834</v>
      </c>
      <c r="AD249">
        <f t="shared" si="106"/>
        <v>0</v>
      </c>
      <c r="AE249">
        <f t="shared" si="109"/>
        <v>0</v>
      </c>
    </row>
    <row r="250" spans="1:31" x14ac:dyDescent="0.25">
      <c r="A250" s="347">
        <v>15224</v>
      </c>
      <c r="B250" s="364">
        <f t="shared" si="103"/>
        <v>15.224</v>
      </c>
      <c r="C250" s="337">
        <f t="shared" si="84"/>
        <v>6.6773949903551886</v>
      </c>
      <c r="D250" s="338">
        <f t="shared" si="85"/>
        <v>1.4204718068396416</v>
      </c>
      <c r="E250" s="338">
        <f t="shared" si="86"/>
        <v>1.0007612763519085</v>
      </c>
      <c r="F250" s="339">
        <f t="shared" si="87"/>
        <v>3.9007530402051876E-2</v>
      </c>
      <c r="G250" s="338">
        <f t="shared" si="88"/>
        <v>1</v>
      </c>
      <c r="H250" s="339">
        <f t="shared" si="89"/>
        <v>0</v>
      </c>
      <c r="I250" s="337">
        <f t="shared" si="90"/>
        <v>20208.062931515873</v>
      </c>
      <c r="J250" s="340">
        <f t="shared" si="91"/>
        <v>1.570746841596647</v>
      </c>
      <c r="K250" s="348">
        <f t="shared" si="107"/>
        <v>5.7692469992986668</v>
      </c>
      <c r="L250" s="349">
        <f t="shared" si="108"/>
        <v>1.3965835890217073</v>
      </c>
      <c r="M250" s="337">
        <f t="shared" si="92"/>
        <v>1.0115083429374889</v>
      </c>
      <c r="N250" s="340">
        <f t="shared" si="93"/>
        <v>0.15099038219260336</v>
      </c>
      <c r="O250" s="341">
        <f t="shared" si="94"/>
        <v>1.0047665619313273</v>
      </c>
      <c r="P250" s="342">
        <f t="shared" si="95"/>
        <v>0.21864451973826904</v>
      </c>
      <c r="Q250" s="343">
        <f t="shared" si="96"/>
        <v>6.3270642861263218</v>
      </c>
      <c r="R250" s="344">
        <f t="shared" si="97"/>
        <v>-110.30941187420092</v>
      </c>
      <c r="S250" s="346">
        <f t="shared" si="98"/>
        <v>69.690588125799081</v>
      </c>
      <c r="U250" s="319">
        <f t="shared" si="104"/>
        <v>1000000000</v>
      </c>
      <c r="V250" s="319">
        <f t="shared" si="105"/>
        <v>231770176</v>
      </c>
      <c r="X250" s="345">
        <f t="shared" si="99"/>
        <v>26.719723960068912</v>
      </c>
      <c r="Y250" s="346">
        <f t="shared" si="100"/>
        <v>-18.62993098680624</v>
      </c>
      <c r="AA250" s="345">
        <f t="shared" si="101"/>
        <v>43.216461615220041</v>
      </c>
      <c r="AB250" s="346">
        <f t="shared" si="102"/>
        <v>-91.679480887394661</v>
      </c>
      <c r="AD250">
        <f t="shared" si="106"/>
        <v>0</v>
      </c>
      <c r="AE250">
        <f t="shared" si="109"/>
        <v>0</v>
      </c>
    </row>
    <row r="251" spans="1:31" x14ac:dyDescent="0.25">
      <c r="A251" s="347">
        <v>15312</v>
      </c>
      <c r="B251" s="364">
        <f t="shared" si="103"/>
        <v>15.311999999999999</v>
      </c>
      <c r="C251" s="337">
        <f t="shared" si="84"/>
        <v>6.7151294223454556</v>
      </c>
      <c r="D251" s="338">
        <f t="shared" si="85"/>
        <v>1.4213228939095552</v>
      </c>
      <c r="E251" s="338">
        <f t="shared" si="86"/>
        <v>1.000770099274696</v>
      </c>
      <c r="F251" s="339">
        <f t="shared" si="87"/>
        <v>3.9232776820043593E-2</v>
      </c>
      <c r="G251" s="338">
        <f t="shared" si="88"/>
        <v>1</v>
      </c>
      <c r="H251" s="339">
        <f t="shared" si="89"/>
        <v>0</v>
      </c>
      <c r="I251" s="337">
        <f t="shared" si="90"/>
        <v>20324.872543551552</v>
      </c>
      <c r="J251" s="340">
        <f t="shared" si="91"/>
        <v>1.5707471259943375</v>
      </c>
      <c r="K251" s="348">
        <f t="shared" si="107"/>
        <v>5.801596116959101</v>
      </c>
      <c r="L251" s="349">
        <f t="shared" si="108"/>
        <v>1.3975648452584919</v>
      </c>
      <c r="M251" s="337">
        <f t="shared" si="92"/>
        <v>1.0116410041488129</v>
      </c>
      <c r="N251" s="340">
        <f t="shared" si="93"/>
        <v>0.1518498416081723</v>
      </c>
      <c r="O251" s="341">
        <f t="shared" si="94"/>
        <v>1.004823834613793</v>
      </c>
      <c r="P251" s="342">
        <f t="shared" si="95"/>
        <v>0.21991633522812298</v>
      </c>
      <c r="Q251" s="343">
        <f t="shared" si="96"/>
        <v>6.2750645436650139</v>
      </c>
      <c r="R251" s="344">
        <f t="shared" si="97"/>
        <v>-110.41117741318163</v>
      </c>
      <c r="S251" s="346">
        <f t="shared" si="98"/>
        <v>69.588822586818367</v>
      </c>
      <c r="U251" s="319">
        <f t="shared" si="104"/>
        <v>1000000000</v>
      </c>
      <c r="V251" s="319">
        <f t="shared" si="105"/>
        <v>234457344</v>
      </c>
      <c r="X251" s="345">
        <f t="shared" si="99"/>
        <v>26.717089139021954</v>
      </c>
      <c r="Y251" s="346">
        <f t="shared" si="100"/>
        <v>-18.622968837771896</v>
      </c>
      <c r="AA251" s="345">
        <f t="shared" si="101"/>
        <v>43.167096693805682</v>
      </c>
      <c r="AB251" s="346">
        <f t="shared" si="102"/>
        <v>-91.78820857540974</v>
      </c>
      <c r="AD251">
        <f t="shared" si="106"/>
        <v>0</v>
      </c>
      <c r="AE251">
        <f t="shared" si="109"/>
        <v>0</v>
      </c>
    </row>
    <row r="252" spans="1:31" x14ac:dyDescent="0.25">
      <c r="A252" s="347">
        <v>15400</v>
      </c>
      <c r="B252" s="364">
        <f t="shared" si="103"/>
        <v>15.4</v>
      </c>
      <c r="C252" s="337">
        <f t="shared" si="84"/>
        <v>6.7528686640720039</v>
      </c>
      <c r="D252" s="338">
        <f t="shared" si="85"/>
        <v>1.4221644687726922</v>
      </c>
      <c r="E252" s="338">
        <f t="shared" si="86"/>
        <v>1.0007789729716072</v>
      </c>
      <c r="F252" s="339">
        <f t="shared" si="87"/>
        <v>3.9458019255037675E-2</v>
      </c>
      <c r="G252" s="338">
        <f t="shared" si="88"/>
        <v>1</v>
      </c>
      <c r="H252" s="339">
        <f t="shared" si="89"/>
        <v>0</v>
      </c>
      <c r="I252" s="337">
        <f t="shared" si="90"/>
        <v>20441.68215558886</v>
      </c>
      <c r="J252" s="340">
        <f t="shared" si="91"/>
        <v>1.5707474071417689</v>
      </c>
      <c r="K252" s="348">
        <f t="shared" si="107"/>
        <v>5.8339507588132111</v>
      </c>
      <c r="L252" s="349">
        <f t="shared" si="108"/>
        <v>1.3985352184778785</v>
      </c>
      <c r="M252" s="337">
        <f t="shared" si="92"/>
        <v>1.0117744124332082</v>
      </c>
      <c r="N252" s="340">
        <f t="shared" si="93"/>
        <v>0.15270907500894315</v>
      </c>
      <c r="O252" s="341">
        <f t="shared" si="94"/>
        <v>1.0048814836107558</v>
      </c>
      <c r="P252" s="342">
        <f t="shared" si="95"/>
        <v>0.22118828314193342</v>
      </c>
      <c r="Q252" s="343">
        <f t="shared" si="96"/>
        <v>6.223348907659128</v>
      </c>
      <c r="R252" s="344">
        <f t="shared" si="97"/>
        <v>-110.51301617344816</v>
      </c>
      <c r="S252" s="346">
        <f t="shared" si="98"/>
        <v>69.486983826551835</v>
      </c>
      <c r="U252" s="319">
        <f t="shared" si="104"/>
        <v>1000000000</v>
      </c>
      <c r="V252" s="319">
        <f t="shared" si="105"/>
        <v>237160000</v>
      </c>
      <c r="X252" s="345">
        <f t="shared" si="99"/>
        <v>26.714473119358541</v>
      </c>
      <c r="Y252" s="346">
        <f t="shared" si="100"/>
        <v>-18.61661710378333</v>
      </c>
      <c r="AA252" s="345">
        <f t="shared" si="101"/>
        <v>43.117997077463208</v>
      </c>
      <c r="AB252" s="346">
        <f t="shared" si="102"/>
        <v>-91.896399069664795</v>
      </c>
      <c r="AD252">
        <f t="shared" si="106"/>
        <v>0</v>
      </c>
      <c r="AE252">
        <f t="shared" si="109"/>
        <v>0</v>
      </c>
    </row>
    <row r="253" spans="1:31" x14ac:dyDescent="0.25">
      <c r="A253" s="347">
        <v>15488</v>
      </c>
      <c r="B253" s="364">
        <f t="shared" si="103"/>
        <v>15.488</v>
      </c>
      <c r="C253" s="337">
        <f t="shared" si="84"/>
        <v>6.7906126353436322</v>
      </c>
      <c r="D253" s="338">
        <f t="shared" si="85"/>
        <v>1.4229966888407894</v>
      </c>
      <c r="E253" s="338">
        <f t="shared" si="86"/>
        <v>1.0007878974412918</v>
      </c>
      <c r="F253" s="339">
        <f t="shared" si="87"/>
        <v>3.968325768428544E-2</v>
      </c>
      <c r="G253" s="338">
        <f t="shared" si="88"/>
        <v>1</v>
      </c>
      <c r="H253" s="339">
        <f t="shared" si="89"/>
        <v>0</v>
      </c>
      <c r="I253" s="337">
        <f t="shared" si="90"/>
        <v>20558.491767627762</v>
      </c>
      <c r="J253" s="340">
        <f t="shared" si="91"/>
        <v>1.5707476850943429</v>
      </c>
      <c r="K253" s="348">
        <f t="shared" si="107"/>
        <v>5.8663108334577405</v>
      </c>
      <c r="L253" s="349">
        <f t="shared" si="108"/>
        <v>1.3994948869376711</v>
      </c>
      <c r="M253" s="337">
        <f t="shared" si="92"/>
        <v>1.0119085674951962</v>
      </c>
      <c r="N253" s="340">
        <f t="shared" si="93"/>
        <v>0.15356808121584686</v>
      </c>
      <c r="O253" s="341">
        <f t="shared" si="94"/>
        <v>1.0049395097109401</v>
      </c>
      <c r="P253" s="342">
        <f t="shared" si="95"/>
        <v>0.22246036408416039</v>
      </c>
      <c r="Q253" s="343">
        <f t="shared" si="96"/>
        <v>6.1719139715572178</v>
      </c>
      <c r="R253" s="344">
        <f t="shared" si="97"/>
        <v>-110.61492693216381</v>
      </c>
      <c r="S253" s="346">
        <f t="shared" si="98"/>
        <v>69.385073067836188</v>
      </c>
      <c r="U253" s="319">
        <f t="shared" si="104"/>
        <v>1000000000</v>
      </c>
      <c r="V253" s="319">
        <f t="shared" si="105"/>
        <v>239878144</v>
      </c>
      <c r="X253" s="345">
        <f t="shared" si="99"/>
        <v>26.711875351839396</v>
      </c>
      <c r="Y253" s="346">
        <f t="shared" si="100"/>
        <v>-18.610865507039353</v>
      </c>
      <c r="AA253" s="345">
        <f t="shared" si="101"/>
        <v>43.069159908880451</v>
      </c>
      <c r="AB253" s="346">
        <f t="shared" si="102"/>
        <v>-92.004061425124476</v>
      </c>
      <c r="AD253">
        <f t="shared" si="106"/>
        <v>0</v>
      </c>
      <c r="AE253">
        <f t="shared" si="109"/>
        <v>0</v>
      </c>
    </row>
    <row r="254" spans="1:31" x14ac:dyDescent="0.25">
      <c r="A254" s="347">
        <v>15578.25</v>
      </c>
      <c r="B254" s="364">
        <f t="shared" si="103"/>
        <v>15.578250000000001</v>
      </c>
      <c r="C254" s="337">
        <f t="shared" si="84"/>
        <v>6.8293264816707167</v>
      </c>
      <c r="D254" s="338">
        <f t="shared" si="85"/>
        <v>1.4238406319124606</v>
      </c>
      <c r="E254" s="338">
        <f t="shared" si="86"/>
        <v>1.0007971028286373</v>
      </c>
      <c r="F254" s="339">
        <f t="shared" si="87"/>
        <v>3.9914250866132067E-2</v>
      </c>
      <c r="G254" s="338">
        <f t="shared" si="88"/>
        <v>1</v>
      </c>
      <c r="H254" s="339">
        <f t="shared" si="89"/>
        <v>0</v>
      </c>
      <c r="I254" s="337">
        <f t="shared" si="90"/>
        <v>20678.287989067019</v>
      </c>
      <c r="J254" s="340">
        <f t="shared" si="91"/>
        <v>1.5707479668919435</v>
      </c>
      <c r="K254" s="348">
        <f t="shared" si="107"/>
        <v>5.8995038456509334</v>
      </c>
      <c r="L254" s="349">
        <f t="shared" si="108"/>
        <v>1.4004681562555776</v>
      </c>
      <c r="M254" s="337">
        <f t="shared" si="92"/>
        <v>1.0120469280094067</v>
      </c>
      <c r="N254" s="340">
        <f t="shared" si="93"/>
        <v>0.15444881343506076</v>
      </c>
      <c r="O254" s="341">
        <f t="shared" si="94"/>
        <v>1.004999411952983</v>
      </c>
      <c r="P254" s="342">
        <f t="shared" si="95"/>
        <v>0.22376510862741497</v>
      </c>
      <c r="Q254" s="343">
        <f t="shared" si="96"/>
        <v>6.1194519887192751</v>
      </c>
      <c r="R254" s="344">
        <f t="shared" si="97"/>
        <v>-110.71951689030419</v>
      </c>
      <c r="S254" s="346">
        <f t="shared" si="98"/>
        <v>69.280483109695808</v>
      </c>
      <c r="U254" s="319">
        <f t="shared" si="104"/>
        <v>1000000000</v>
      </c>
      <c r="V254" s="319">
        <f t="shared" si="105"/>
        <v>242681873.0625</v>
      </c>
      <c r="X254" s="345">
        <f t="shared" si="99"/>
        <v>26.709229562913116</v>
      </c>
      <c r="Y254" s="346">
        <f t="shared" si="100"/>
        <v>-18.605579667643031</v>
      </c>
      <c r="AA254" s="345">
        <f t="shared" si="101"/>
        <v>43.019343714968784</v>
      </c>
      <c r="AB254" s="346">
        <f t="shared" si="102"/>
        <v>-92.113937222661193</v>
      </c>
      <c r="AD254">
        <f t="shared" si="106"/>
        <v>0</v>
      </c>
      <c r="AE254">
        <f t="shared" si="109"/>
        <v>0</v>
      </c>
    </row>
    <row r="255" spans="1:31" x14ac:dyDescent="0.25">
      <c r="A255" s="347">
        <v>15668.5</v>
      </c>
      <c r="B255" s="364">
        <f t="shared" si="103"/>
        <v>15.6685</v>
      </c>
      <c r="C255" s="337">
        <f t="shared" si="84"/>
        <v>6.8680451372784592</v>
      </c>
      <c r="D255" s="338">
        <f t="shared" si="85"/>
        <v>1.4246750601021707</v>
      </c>
      <c r="E255" s="338">
        <f t="shared" si="86"/>
        <v>1.0008063616153804</v>
      </c>
      <c r="F255" s="339">
        <f t="shared" si="87"/>
        <v>4.0145239786316733E-2</v>
      </c>
      <c r="G255" s="338">
        <f t="shared" si="88"/>
        <v>1</v>
      </c>
      <c r="H255" s="339">
        <f t="shared" si="89"/>
        <v>0</v>
      </c>
      <c r="I255" s="337">
        <f t="shared" si="90"/>
        <v>20798.084210507903</v>
      </c>
      <c r="J255" s="340">
        <f t="shared" si="91"/>
        <v>1.5707482454432555</v>
      </c>
      <c r="K255" s="348">
        <f t="shared" si="107"/>
        <v>5.932702383632269</v>
      </c>
      <c r="L255" s="349">
        <f t="shared" si="108"/>
        <v>1.4014305339300748</v>
      </c>
      <c r="M255" s="337">
        <f t="shared" si="92"/>
        <v>1.0121860733425565</v>
      </c>
      <c r="N255" s="340">
        <f t="shared" si="93"/>
        <v>0.15532930418839166</v>
      </c>
      <c r="O255" s="341">
        <f t="shared" si="94"/>
        <v>1.0050597125226381</v>
      </c>
      <c r="P255" s="342">
        <f t="shared" si="95"/>
        <v>0.22506999436776798</v>
      </c>
      <c r="Q255" s="343">
        <f t="shared" si="96"/>
        <v>6.0672781752282514</v>
      </c>
      <c r="R255" s="344">
        <f t="shared" si="97"/>
        <v>-110.82418004426353</v>
      </c>
      <c r="S255" s="346">
        <f t="shared" si="98"/>
        <v>69.175819955736472</v>
      </c>
      <c r="U255" s="319">
        <f t="shared" si="104"/>
        <v>1000000000</v>
      </c>
      <c r="V255" s="319">
        <f t="shared" si="105"/>
        <v>245501892.25</v>
      </c>
      <c r="X255" s="345">
        <f t="shared" si="99"/>
        <v>26.706601849744402</v>
      </c>
      <c r="Y255" s="346">
        <f t="shared" si="100"/>
        <v>-18.600903852472097</v>
      </c>
      <c r="AA255" s="345">
        <f t="shared" si="101"/>
        <v>42.969797614646481</v>
      </c>
      <c r="AB255" s="346">
        <f t="shared" si="102"/>
        <v>-92.223276191791413</v>
      </c>
      <c r="AD255">
        <f t="shared" si="106"/>
        <v>0</v>
      </c>
      <c r="AE255">
        <f t="shared" si="109"/>
        <v>0</v>
      </c>
    </row>
    <row r="256" spans="1:31" x14ac:dyDescent="0.25">
      <c r="A256" s="347">
        <v>15758.75</v>
      </c>
      <c r="B256" s="364">
        <f t="shared" si="103"/>
        <v>15.758749999999999</v>
      </c>
      <c r="C256" s="337">
        <f t="shared" si="84"/>
        <v>6.9067685212858159</v>
      </c>
      <c r="D256" s="338">
        <f t="shared" si="85"/>
        <v>1.4255001322760434</v>
      </c>
      <c r="E256" s="338">
        <f t="shared" si="86"/>
        <v>1.0008156738000393</v>
      </c>
      <c r="F256" s="339">
        <f t="shared" si="87"/>
        <v>4.0376224420308839E-2</v>
      </c>
      <c r="G256" s="338">
        <f t="shared" si="88"/>
        <v>1</v>
      </c>
      <c r="H256" s="339">
        <f t="shared" si="89"/>
        <v>0</v>
      </c>
      <c r="I256" s="337">
        <f t="shared" si="90"/>
        <v>20917.880431950372</v>
      </c>
      <c r="J256" s="340">
        <f t="shared" si="91"/>
        <v>1.5707485208040539</v>
      </c>
      <c r="K256" s="348">
        <f t="shared" si="107"/>
        <v>5.9659063551535247</v>
      </c>
      <c r="L256" s="349">
        <f t="shared" si="108"/>
        <v>1.4023822000197312</v>
      </c>
      <c r="M256" s="337">
        <f t="shared" si="92"/>
        <v>1.0123260031710228</v>
      </c>
      <c r="N256" s="340">
        <f t="shared" si="93"/>
        <v>0.15620955221046601</v>
      </c>
      <c r="O256" s="341">
        <f t="shared" si="94"/>
        <v>1.0051204122847168</v>
      </c>
      <c r="P256" s="342">
        <f t="shared" si="95"/>
        <v>0.22637502194841511</v>
      </c>
      <c r="Q256" s="343">
        <f t="shared" si="96"/>
        <v>6.015389045973432</v>
      </c>
      <c r="R256" s="344">
        <f t="shared" si="97"/>
        <v>-110.92891514875706</v>
      </c>
      <c r="S256" s="346">
        <f t="shared" si="98"/>
        <v>69.071084851242944</v>
      </c>
      <c r="U256" s="319">
        <f t="shared" si="104"/>
        <v>1000000000</v>
      </c>
      <c r="V256" s="319">
        <f t="shared" si="105"/>
        <v>248338201.5625</v>
      </c>
      <c r="X256" s="345">
        <f t="shared" si="99"/>
        <v>26.703991668028401</v>
      </c>
      <c r="Y256" s="346">
        <f t="shared" si="100"/>
        <v>-18.596827675625597</v>
      </c>
      <c r="AA256" s="345">
        <f t="shared" si="101"/>
        <v>42.920518667107658</v>
      </c>
      <c r="AB256" s="346">
        <f t="shared" si="102"/>
        <v>-92.33208747313148</v>
      </c>
      <c r="AD256">
        <f t="shared" si="106"/>
        <v>0</v>
      </c>
      <c r="AE256">
        <f t="shared" si="109"/>
        <v>0</v>
      </c>
    </row>
    <row r="257" spans="1:31" x14ac:dyDescent="0.25">
      <c r="A257" s="347">
        <v>15849</v>
      </c>
      <c r="B257" s="364">
        <f t="shared" si="103"/>
        <v>15.849</v>
      </c>
      <c r="C257" s="337">
        <f t="shared" si="84"/>
        <v>6.9454965546057297</v>
      </c>
      <c r="D257" s="338">
        <f t="shared" si="85"/>
        <v>1.4263160038084617</v>
      </c>
      <c r="E257" s="338">
        <f t="shared" si="86"/>
        <v>1.0008250393811233</v>
      </c>
      <c r="F257" s="339">
        <f t="shared" si="87"/>
        <v>4.060720474358049E-2</v>
      </c>
      <c r="G257" s="338">
        <f t="shared" si="88"/>
        <v>1</v>
      </c>
      <c r="H257" s="339">
        <f t="shared" si="89"/>
        <v>0</v>
      </c>
      <c r="I257" s="337">
        <f t="shared" si="90"/>
        <v>21037.676653394417</v>
      </c>
      <c r="J257" s="340">
        <f t="shared" si="91"/>
        <v>1.570748793028842</v>
      </c>
      <c r="K257" s="348">
        <f t="shared" si="107"/>
        <v>5.9991156699938522</v>
      </c>
      <c r="L257" s="349">
        <f t="shared" si="108"/>
        <v>1.4033233306747044</v>
      </c>
      <c r="M257" s="337">
        <f t="shared" si="92"/>
        <v>1.0124667171695378</v>
      </c>
      <c r="N257" s="340">
        <f t="shared" si="93"/>
        <v>0.15708955623811252</v>
      </c>
      <c r="O257" s="341">
        <f t="shared" si="94"/>
        <v>1.0051815121087557</v>
      </c>
      <c r="P257" s="342">
        <f t="shared" si="95"/>
        <v>0.22768019200954004</v>
      </c>
      <c r="Q257" s="343">
        <f t="shared" si="96"/>
        <v>5.9637811768494551</v>
      </c>
      <c r="R257" s="344">
        <f t="shared" si="97"/>
        <v>-111.03372098225427</v>
      </c>
      <c r="S257" s="346">
        <f t="shared" si="98"/>
        <v>68.966279017745734</v>
      </c>
      <c r="U257" s="319">
        <f t="shared" si="104"/>
        <v>1000000000</v>
      </c>
      <c r="V257" s="319">
        <f t="shared" si="105"/>
        <v>251190801</v>
      </c>
      <c r="X257" s="345">
        <f t="shared" si="99"/>
        <v>26.701398488662093</v>
      </c>
      <c r="Y257" s="346">
        <f t="shared" si="100"/>
        <v>-18.59334097519136</v>
      </c>
      <c r="AA257" s="345">
        <f t="shared" si="101"/>
        <v>42.871503977349988</v>
      </c>
      <c r="AB257" s="346">
        <f t="shared" si="102"/>
        <v>-92.440380007062899</v>
      </c>
      <c r="AD257">
        <f t="shared" si="106"/>
        <v>0</v>
      </c>
      <c r="AE257">
        <f t="shared" si="109"/>
        <v>0</v>
      </c>
    </row>
    <row r="258" spans="1:31" x14ac:dyDescent="0.25">
      <c r="A258" s="347">
        <v>15941.25</v>
      </c>
      <c r="B258" s="364">
        <f t="shared" si="103"/>
        <v>15.94125</v>
      </c>
      <c r="C258" s="337">
        <f t="shared" si="84"/>
        <v>6.9850875513803379</v>
      </c>
      <c r="D258" s="338">
        <f t="shared" si="85"/>
        <v>1.4271406050649098</v>
      </c>
      <c r="E258" s="338">
        <f t="shared" si="86"/>
        <v>1.0008346676926367</v>
      </c>
      <c r="F258" s="339">
        <f t="shared" si="87"/>
        <v>4.0843299263770991E-2</v>
      </c>
      <c r="G258" s="338">
        <f t="shared" si="88"/>
        <v>1</v>
      </c>
      <c r="H258" s="339">
        <f t="shared" si="89"/>
        <v>0</v>
      </c>
      <c r="I258" s="337">
        <f t="shared" si="90"/>
        <v>21160.127638750175</v>
      </c>
      <c r="J258" s="340">
        <f t="shared" si="91"/>
        <v>1.570749068100741</v>
      </c>
      <c r="K258" s="348">
        <f t="shared" si="107"/>
        <v>6.0330663557114335</v>
      </c>
      <c r="L258" s="349">
        <f t="shared" si="108"/>
        <v>1.4042746085923807</v>
      </c>
      <c r="M258" s="337">
        <f t="shared" si="92"/>
        <v>1.012611359572642</v>
      </c>
      <c r="N258" s="340">
        <f t="shared" si="93"/>
        <v>0.15798880826229927</v>
      </c>
      <c r="O258" s="341">
        <f t="shared" si="94"/>
        <v>1.0052443803144042</v>
      </c>
      <c r="P258" s="342">
        <f t="shared" si="95"/>
        <v>0.22901443342191716</v>
      </c>
      <c r="Q258" s="343">
        <f t="shared" si="96"/>
        <v>5.9113168190627778</v>
      </c>
      <c r="R258" s="344">
        <f t="shared" si="97"/>
        <v>-111.14092123269667</v>
      </c>
      <c r="S258" s="346">
        <f t="shared" si="98"/>
        <v>68.85907876730333</v>
      </c>
      <c r="U258" s="319">
        <f t="shared" si="104"/>
        <v>1000000000</v>
      </c>
      <c r="V258" s="319">
        <f t="shared" si="105"/>
        <v>254123451.5625</v>
      </c>
      <c r="X258" s="345">
        <f t="shared" si="99"/>
        <v>26.698764878947916</v>
      </c>
      <c r="Y258" s="346">
        <f t="shared" si="100"/>
        <v>-18.5903758715245</v>
      </c>
      <c r="AA258" s="345">
        <f t="shared" si="101"/>
        <v>42.821673229277486</v>
      </c>
      <c r="AB258" s="346">
        <f t="shared" si="102"/>
        <v>-92.550545361172141</v>
      </c>
      <c r="AD258">
        <f t="shared" si="106"/>
        <v>0</v>
      </c>
      <c r="AE258">
        <f t="shared" si="109"/>
        <v>0</v>
      </c>
    </row>
    <row r="259" spans="1:31" x14ac:dyDescent="0.25">
      <c r="A259" s="347">
        <v>16033.5</v>
      </c>
      <c r="B259" s="364">
        <f t="shared" si="103"/>
        <v>16.0335</v>
      </c>
      <c r="C259" s="337">
        <f t="shared" si="84"/>
        <v>7.0246832442460461</v>
      </c>
      <c r="D259" s="338">
        <f t="shared" si="85"/>
        <v>1.4279559108903681</v>
      </c>
      <c r="E259" s="338">
        <f t="shared" si="86"/>
        <v>1.0008443517902226</v>
      </c>
      <c r="F259" s="339">
        <f t="shared" si="87"/>
        <v>4.1079389228254062E-2</v>
      </c>
      <c r="G259" s="338">
        <f t="shared" si="88"/>
        <v>1</v>
      </c>
      <c r="H259" s="339">
        <f t="shared" si="89"/>
        <v>0</v>
      </c>
      <c r="I259" s="337">
        <f t="shared" si="90"/>
        <v>21282.578624107507</v>
      </c>
      <c r="J259" s="340">
        <f t="shared" si="91"/>
        <v>1.5707493400073447</v>
      </c>
      <c r="K259" s="348">
        <f t="shared" si="107"/>
        <v>6.0670224398248767</v>
      </c>
      <c r="L259" s="349">
        <f t="shared" si="108"/>
        <v>1.4052152390746138</v>
      </c>
      <c r="M259" s="337">
        <f t="shared" si="92"/>
        <v>1.0127568205938939</v>
      </c>
      <c r="N259" s="340">
        <f t="shared" si="93"/>
        <v>0.15888780269635527</v>
      </c>
      <c r="O259" s="341">
        <f t="shared" si="94"/>
        <v>1.0053076683619833</v>
      </c>
      <c r="P259" s="342">
        <f t="shared" si="95"/>
        <v>0.23034882504253484</v>
      </c>
      <c r="Q259" s="343">
        <f t="shared" si="96"/>
        <v>5.8591392799346824</v>
      </c>
      <c r="R259" s="344">
        <f t="shared" si="97"/>
        <v>-111.24819287442381</v>
      </c>
      <c r="S259" s="346">
        <f t="shared" si="98"/>
        <v>68.751807125576192</v>
      </c>
      <c r="U259" s="319">
        <f t="shared" si="104"/>
        <v>1000000000</v>
      </c>
      <c r="V259" s="319">
        <f t="shared" si="105"/>
        <v>257073122.25</v>
      </c>
      <c r="X259" s="345">
        <f t="shared" si="99"/>
        <v>26.696147962099658</v>
      </c>
      <c r="Y259" s="346">
        <f t="shared" si="100"/>
        <v>-18.588005880786451</v>
      </c>
      <c r="AA259" s="345">
        <f t="shared" si="101"/>
        <v>42.772112606997652</v>
      </c>
      <c r="AB259" s="346">
        <f t="shared" si="102"/>
        <v>-92.660186993637353</v>
      </c>
      <c r="AD259">
        <f t="shared" si="106"/>
        <v>0</v>
      </c>
      <c r="AE259">
        <f t="shared" si="109"/>
        <v>0</v>
      </c>
    </row>
    <row r="260" spans="1:31" x14ac:dyDescent="0.25">
      <c r="A260" s="347">
        <v>16125.75</v>
      </c>
      <c r="B260" s="364">
        <f t="shared" si="103"/>
        <v>16.12575</v>
      </c>
      <c r="C260" s="337">
        <f t="shared" si="84"/>
        <v>7.0642835542373188</v>
      </c>
      <c r="D260" s="338">
        <f t="shared" si="85"/>
        <v>1.4287620765141267</v>
      </c>
      <c r="E260" s="338">
        <f t="shared" si="86"/>
        <v>1.0008540916722612</v>
      </c>
      <c r="F260" s="339">
        <f t="shared" si="87"/>
        <v>4.1315474610843748E-2</v>
      </c>
      <c r="G260" s="338">
        <f t="shared" si="88"/>
        <v>1</v>
      </c>
      <c r="H260" s="339">
        <f t="shared" si="89"/>
        <v>0</v>
      </c>
      <c r="I260" s="337">
        <f t="shared" si="90"/>
        <v>21405.029609466401</v>
      </c>
      <c r="J260" s="340">
        <f t="shared" si="91"/>
        <v>1.5707496088029755</v>
      </c>
      <c r="K260" s="348">
        <f t="shared" si="107"/>
        <v>6.1009838321970529</v>
      </c>
      <c r="L260" s="349">
        <f t="shared" si="108"/>
        <v>1.4061453982510796</v>
      </c>
      <c r="M260" s="337">
        <f t="shared" si="92"/>
        <v>1.0129030998806134</v>
      </c>
      <c r="N260" s="340">
        <f t="shared" si="93"/>
        <v>0.15978653819845251</v>
      </c>
      <c r="O260" s="341">
        <f t="shared" si="94"/>
        <v>1.0053713771954054</v>
      </c>
      <c r="P260" s="342">
        <f t="shared" si="95"/>
        <v>0.23168336754522148</v>
      </c>
      <c r="Q260" s="343">
        <f t="shared" si="96"/>
        <v>5.8072450911575224</v>
      </c>
      <c r="R260" s="344">
        <f t="shared" si="97"/>
        <v>-111.35553467627112</v>
      </c>
      <c r="S260" s="346">
        <f t="shared" si="98"/>
        <v>68.64446532372888</v>
      </c>
      <c r="U260" s="319">
        <f t="shared" si="104"/>
        <v>1000000000</v>
      </c>
      <c r="V260" s="319">
        <f t="shared" si="105"/>
        <v>260039813.0625</v>
      </c>
      <c r="X260" s="345">
        <f t="shared" si="99"/>
        <v>26.693547219126934</v>
      </c>
      <c r="Y260" s="346">
        <f t="shared" si="100"/>
        <v>-18.586220837721495</v>
      </c>
      <c r="AA260" s="345">
        <f t="shared" si="101"/>
        <v>42.722819161193215</v>
      </c>
      <c r="AB260" s="346">
        <f t="shared" si="102"/>
        <v>-92.769313838549621</v>
      </c>
      <c r="AD260">
        <f t="shared" si="106"/>
        <v>0</v>
      </c>
      <c r="AE260">
        <f t="shared" si="109"/>
        <v>0</v>
      </c>
    </row>
    <row r="261" spans="1:31" x14ac:dyDescent="0.25">
      <c r="A261" s="347">
        <v>16218</v>
      </c>
      <c r="B261" s="364">
        <f t="shared" si="103"/>
        <v>16.218</v>
      </c>
      <c r="C261" s="337">
        <f t="shared" si="84"/>
        <v>7.103888404140271</v>
      </c>
      <c r="D261" s="338">
        <f t="shared" si="85"/>
        <v>1.4295592537519337</v>
      </c>
      <c r="E261" s="338">
        <f t="shared" si="86"/>
        <v>1.0008638873371241</v>
      </c>
      <c r="F261" s="339">
        <f t="shared" si="87"/>
        <v>4.1551555385357146E-2</v>
      </c>
      <c r="G261" s="338">
        <f t="shared" si="88"/>
        <v>1</v>
      </c>
      <c r="H261" s="339">
        <f t="shared" si="89"/>
        <v>0</v>
      </c>
      <c r="I261" s="337">
        <f t="shared" si="90"/>
        <v>21527.480594826819</v>
      </c>
      <c r="J261" s="340">
        <f t="shared" si="91"/>
        <v>1.5707498745407207</v>
      </c>
      <c r="K261" s="348">
        <f t="shared" si="107"/>
        <v>6.134950444672798</v>
      </c>
      <c r="L261" s="349">
        <f t="shared" si="108"/>
        <v>1.4070652584242302</v>
      </c>
      <c r="M261" s="337">
        <f t="shared" si="92"/>
        <v>1.0130501970783405</v>
      </c>
      <c r="N261" s="340">
        <f t="shared" si="93"/>
        <v>0.16068501342920902</v>
      </c>
      <c r="O261" s="341">
        <f t="shared" si="94"/>
        <v>1.0054355077637194</v>
      </c>
      <c r="P261" s="342">
        <f t="shared" si="95"/>
        <v>0.23301806160044375</v>
      </c>
      <c r="Q261" s="343">
        <f t="shared" si="96"/>
        <v>5.7556308450226208</v>
      </c>
      <c r="R261" s="344">
        <f t="shared" si="97"/>
        <v>-111.46294543065267</v>
      </c>
      <c r="S261" s="346">
        <f t="shared" si="98"/>
        <v>68.537054569347333</v>
      </c>
      <c r="U261" s="319">
        <f t="shared" si="104"/>
        <v>1000000000</v>
      </c>
      <c r="V261" s="319">
        <f t="shared" si="105"/>
        <v>263023524</v>
      </c>
      <c r="X261" s="345">
        <f t="shared" si="99"/>
        <v>26.690962145560299</v>
      </c>
      <c r="Y261" s="346">
        <f t="shared" si="100"/>
        <v>-18.58501079642706</v>
      </c>
      <c r="AA261" s="345">
        <f t="shared" si="101"/>
        <v>42.673789988624947</v>
      </c>
      <c r="AB261" s="346">
        <f t="shared" si="102"/>
        <v>-92.87793463422561</v>
      </c>
      <c r="AD261">
        <f t="shared" si="106"/>
        <v>0</v>
      </c>
      <c r="AE261">
        <f t="shared" si="109"/>
        <v>0</v>
      </c>
    </row>
    <row r="262" spans="1:31" x14ac:dyDescent="0.25">
      <c r="A262" s="347">
        <v>16312.5</v>
      </c>
      <c r="B262" s="364">
        <f t="shared" si="103"/>
        <v>16.3125</v>
      </c>
      <c r="C262" s="337">
        <f t="shared" si="84"/>
        <v>7.1444638544272001</v>
      </c>
      <c r="D262" s="338">
        <f t="shared" si="85"/>
        <v>1.4303667096370174</v>
      </c>
      <c r="E262" s="338">
        <f t="shared" si="86"/>
        <v>1.0008739797591812</v>
      </c>
      <c r="F262" s="339">
        <f t="shared" si="87"/>
        <v>4.1793389422140434E-2</v>
      </c>
      <c r="G262" s="338">
        <f t="shared" si="88"/>
        <v>1</v>
      </c>
      <c r="H262" s="339">
        <f t="shared" si="89"/>
        <v>0</v>
      </c>
      <c r="I262" s="337">
        <f t="shared" si="90"/>
        <v>21652.918189587832</v>
      </c>
      <c r="J262" s="340">
        <f t="shared" si="91"/>
        <v>1.5707501436434341</v>
      </c>
      <c r="K262" s="348">
        <f t="shared" si="107"/>
        <v>6.1697508336248426</v>
      </c>
      <c r="L262" s="349">
        <f t="shared" si="108"/>
        <v>1.407997051544994</v>
      </c>
      <c r="M262" s="337">
        <f t="shared" si="92"/>
        <v>1.0132017297180707</v>
      </c>
      <c r="N262" s="340">
        <f t="shared" si="93"/>
        <v>0.16160513142161589</v>
      </c>
      <c r="O262" s="341">
        <f t="shared" si="94"/>
        <v>1.0055016407793453</v>
      </c>
      <c r="P262" s="342">
        <f t="shared" si="95"/>
        <v>0.2343854670087189</v>
      </c>
      <c r="Q262" s="343">
        <f t="shared" si="96"/>
        <v>5.7030444826710696</v>
      </c>
      <c r="R262" s="344">
        <f t="shared" si="97"/>
        <v>-111.57304621713361</v>
      </c>
      <c r="S262" s="346">
        <f t="shared" si="98"/>
        <v>68.426953782866391</v>
      </c>
      <c r="U262" s="319">
        <f t="shared" si="104"/>
        <v>1000000000</v>
      </c>
      <c r="V262" s="319">
        <f t="shared" si="105"/>
        <v>266097656.25</v>
      </c>
      <c r="X262" s="345">
        <f t="shared" si="99"/>
        <v>26.688329756197376</v>
      </c>
      <c r="Y262" s="346">
        <f t="shared" si="100"/>
        <v>-18.584357279295922</v>
      </c>
      <c r="AA262" s="345">
        <f t="shared" si="101"/>
        <v>42.623836015636329</v>
      </c>
      <c r="AB262" s="346">
        <f t="shared" si="102"/>
        <v>-92.988688937837694</v>
      </c>
      <c r="AD262">
        <f t="shared" si="106"/>
        <v>0</v>
      </c>
      <c r="AE262">
        <f t="shared" si="109"/>
        <v>0</v>
      </c>
    </row>
    <row r="263" spans="1:31" x14ac:dyDescent="0.25">
      <c r="A263" s="347">
        <v>16407</v>
      </c>
      <c r="B263" s="364">
        <f t="shared" si="103"/>
        <v>16.407</v>
      </c>
      <c r="C263" s="337">
        <f t="shared" si="84"/>
        <v>7.1850439101853345</v>
      </c>
      <c r="D263" s="338">
        <f t="shared" si="85"/>
        <v>1.4311650452570359</v>
      </c>
      <c r="E263" s="338">
        <f t="shared" si="86"/>
        <v>1.0008841307148713</v>
      </c>
      <c r="F263" s="339">
        <f t="shared" si="87"/>
        <v>4.2035218567710343E-2</v>
      </c>
      <c r="G263" s="338">
        <f t="shared" si="88"/>
        <v>1</v>
      </c>
      <c r="H263" s="339">
        <f t="shared" si="89"/>
        <v>0</v>
      </c>
      <c r="I263" s="337">
        <f t="shared" si="90"/>
        <v>21778.355784350395</v>
      </c>
      <c r="J263" s="340">
        <f t="shared" si="91"/>
        <v>1.5707504096462259</v>
      </c>
      <c r="K263" s="348">
        <f t="shared" si="107"/>
        <v>6.2045565192978325</v>
      </c>
      <c r="L263" s="349">
        <f t="shared" si="108"/>
        <v>1.408918391303015</v>
      </c>
      <c r="M263" s="337">
        <f t="shared" si="92"/>
        <v>1.0133541198947655</v>
      </c>
      <c r="N263" s="340">
        <f t="shared" si="93"/>
        <v>0.16252497345429151</v>
      </c>
      <c r="O263" s="341">
        <f t="shared" si="94"/>
        <v>1.0055682183857888</v>
      </c>
      <c r="P263" s="342">
        <f t="shared" si="95"/>
        <v>0.23575303286590094</v>
      </c>
      <c r="Q263" s="343">
        <f t="shared" si="96"/>
        <v>5.6507448349768072</v>
      </c>
      <c r="R263" s="344">
        <f t="shared" si="97"/>
        <v>-111.68321686883601</v>
      </c>
      <c r="S263" s="346">
        <f t="shared" si="98"/>
        <v>68.316783131163987</v>
      </c>
      <c r="U263" s="319">
        <f t="shared" si="104"/>
        <v>1000000000</v>
      </c>
      <c r="V263" s="319">
        <f t="shared" si="105"/>
        <v>269189649</v>
      </c>
      <c r="X263" s="345">
        <f t="shared" si="99"/>
        <v>26.685712782931134</v>
      </c>
      <c r="Y263" s="346">
        <f t="shared" si="100"/>
        <v>-18.584286706791993</v>
      </c>
      <c r="AA263" s="345">
        <f t="shared" si="101"/>
        <v>42.574153341208302</v>
      </c>
      <c r="AB263" s="346">
        <f t="shared" si="102"/>
        <v>-93.098930162043999</v>
      </c>
      <c r="AD263">
        <f t="shared" si="106"/>
        <v>0</v>
      </c>
      <c r="AE263">
        <f t="shared" si="109"/>
        <v>0</v>
      </c>
    </row>
    <row r="264" spans="1:31" x14ac:dyDescent="0.25">
      <c r="A264" s="347">
        <v>16501.5</v>
      </c>
      <c r="B264" s="364">
        <f t="shared" si="103"/>
        <v>16.5015</v>
      </c>
      <c r="C264" s="337">
        <f t="shared" si="84"/>
        <v>7.2256284938199222</v>
      </c>
      <c r="D264" s="338">
        <f t="shared" si="85"/>
        <v>1.4319544132645758</v>
      </c>
      <c r="E264" s="338">
        <f t="shared" si="86"/>
        <v>1.0008943402024124</v>
      </c>
      <c r="F264" s="339">
        <f t="shared" si="87"/>
        <v>4.227704279393113E-2</v>
      </c>
      <c r="G264" s="338">
        <f t="shared" si="88"/>
        <v>1</v>
      </c>
      <c r="H264" s="339">
        <f t="shared" si="89"/>
        <v>0</v>
      </c>
      <c r="I264" s="337">
        <f t="shared" si="90"/>
        <v>21903.793379114482</v>
      </c>
      <c r="J264" s="340">
        <f t="shared" si="91"/>
        <v>1.5707506726023539</v>
      </c>
      <c r="K264" s="348">
        <f t="shared" si="107"/>
        <v>6.2393674130500862</v>
      </c>
      <c r="L264" s="349">
        <f t="shared" si="108"/>
        <v>1.4098294510861533</v>
      </c>
      <c r="M264" s="337">
        <f t="shared" si="92"/>
        <v>1.0135073672216102</v>
      </c>
      <c r="N264" s="340">
        <f t="shared" si="93"/>
        <v>0.16344453809549384</v>
      </c>
      <c r="O264" s="341">
        <f t="shared" si="94"/>
        <v>1.0056352416199799</v>
      </c>
      <c r="P264" s="342">
        <f t="shared" si="95"/>
        <v>0.23712075988162534</v>
      </c>
      <c r="Q264" s="343">
        <f t="shared" si="96"/>
        <v>5.5987284274637075</v>
      </c>
      <c r="R264" s="344">
        <f t="shared" si="97"/>
        <v>-111.79345616100595</v>
      </c>
      <c r="S264" s="346">
        <f t="shared" si="98"/>
        <v>68.206543838994051</v>
      </c>
      <c r="U264" s="319">
        <f t="shared" si="104"/>
        <v>1000000000</v>
      </c>
      <c r="V264" s="319">
        <f t="shared" si="105"/>
        <v>272299502.25</v>
      </c>
      <c r="X264" s="345">
        <f t="shared" si="99"/>
        <v>26.683110727816455</v>
      </c>
      <c r="Y264" s="346">
        <f t="shared" si="100"/>
        <v>-18.584789065541326</v>
      </c>
      <c r="AA264" s="345">
        <f t="shared" si="101"/>
        <v>42.524738988809872</v>
      </c>
      <c r="AB264" s="346">
        <f t="shared" si="102"/>
        <v>-93.208667095464648</v>
      </c>
      <c r="AD264">
        <f t="shared" si="106"/>
        <v>0</v>
      </c>
      <c r="AE264">
        <f t="shared" si="109"/>
        <v>0</v>
      </c>
    </row>
    <row r="265" spans="1:31" x14ac:dyDescent="0.25">
      <c r="A265" s="347">
        <v>16596</v>
      </c>
      <c r="B265" s="364">
        <f t="shared" si="103"/>
        <v>16.596</v>
      </c>
      <c r="C265" s="337">
        <f t="shared" si="84"/>
        <v>7.2662175294612386</v>
      </c>
      <c r="D265" s="338">
        <f t="shared" si="85"/>
        <v>1.4327349629466335</v>
      </c>
      <c r="E265" s="338">
        <f t="shared" si="86"/>
        <v>1.0009046082200141</v>
      </c>
      <c r="F265" s="339">
        <f t="shared" si="87"/>
        <v>4.2518862072670513E-2</v>
      </c>
      <c r="G265" s="338">
        <f t="shared" si="88"/>
        <v>1</v>
      </c>
      <c r="H265" s="339">
        <f t="shared" si="89"/>
        <v>0</v>
      </c>
      <c r="I265" s="337">
        <f t="shared" si="90"/>
        <v>22029.230973880069</v>
      </c>
      <c r="J265" s="340">
        <f t="shared" si="91"/>
        <v>1.570750932563862</v>
      </c>
      <c r="K265" s="348">
        <f t="shared" si="107"/>
        <v>6.274183428194041</v>
      </c>
      <c r="L265" s="349">
        <f t="shared" si="108"/>
        <v>1.4107304005028185</v>
      </c>
      <c r="M265" s="337">
        <f t="shared" si="92"/>
        <v>1.0136614713098469</v>
      </c>
      <c r="N265" s="340">
        <f t="shared" si="93"/>
        <v>0.16436382391622076</v>
      </c>
      <c r="O265" s="341">
        <f t="shared" si="94"/>
        <v>1.0057027115244805</v>
      </c>
      <c r="P265" s="342">
        <f t="shared" si="95"/>
        <v>0.23848864876174275</v>
      </c>
      <c r="Q265" s="343">
        <f t="shared" si="96"/>
        <v>5.5469918463814114</v>
      </c>
      <c r="R265" s="344">
        <f t="shared" si="97"/>
        <v>-111.90376289247259</v>
      </c>
      <c r="S265" s="346">
        <f t="shared" si="98"/>
        <v>68.096237107527415</v>
      </c>
      <c r="U265" s="319">
        <f t="shared" si="104"/>
        <v>1000000000</v>
      </c>
      <c r="V265" s="319">
        <f t="shared" si="105"/>
        <v>275427216</v>
      </c>
      <c r="X265" s="345">
        <f t="shared" si="99"/>
        <v>26.68052310689788</v>
      </c>
      <c r="Y265" s="346">
        <f t="shared" si="100"/>
        <v>-18.58585455880398</v>
      </c>
      <c r="AA265" s="345">
        <f t="shared" si="101"/>
        <v>42.47559002864616</v>
      </c>
      <c r="AB265" s="346">
        <f t="shared" si="102"/>
        <v>-93.317908333668598</v>
      </c>
      <c r="AD265">
        <f t="shared" si="106"/>
        <v>0</v>
      </c>
      <c r="AE265">
        <f t="shared" si="109"/>
        <v>0</v>
      </c>
    </row>
    <row r="266" spans="1:31" x14ac:dyDescent="0.25">
      <c r="A266" s="347">
        <v>16692.5</v>
      </c>
      <c r="B266" s="364">
        <f t="shared" si="103"/>
        <v>16.692499999999999</v>
      </c>
      <c r="C266" s="337">
        <f t="shared" si="84"/>
        <v>7.3076701095540519</v>
      </c>
      <c r="D266" s="338">
        <f t="shared" si="85"/>
        <v>1.4335230836778936</v>
      </c>
      <c r="E266" s="338">
        <f t="shared" si="86"/>
        <v>1.0009151539495516</v>
      </c>
      <c r="F266" s="339">
        <f t="shared" si="87"/>
        <v>4.2765794084857818E-2</v>
      </c>
      <c r="G266" s="338">
        <f t="shared" si="88"/>
        <v>1</v>
      </c>
      <c r="H266" s="339">
        <f t="shared" si="89"/>
        <v>0</v>
      </c>
      <c r="I266" s="337">
        <f t="shared" si="90"/>
        <v>22157.323332557549</v>
      </c>
      <c r="J266" s="340">
        <f t="shared" si="91"/>
        <v>1.5707511949896993</v>
      </c>
      <c r="K266" s="348">
        <f t="shared" si="107"/>
        <v>6.309741487237571</v>
      </c>
      <c r="L266" s="349">
        <f t="shared" si="108"/>
        <v>1.411640156460676</v>
      </c>
      <c r="M266" s="337">
        <f t="shared" si="92"/>
        <v>1.0138197206062753</v>
      </c>
      <c r="N266" s="340">
        <f t="shared" si="93"/>
        <v>0.16530227630493402</v>
      </c>
      <c r="O266" s="341">
        <f t="shared" si="94"/>
        <v>1.0057720714031817</v>
      </c>
      <c r="P266" s="342">
        <f t="shared" si="95"/>
        <v>0.23988565543984453</v>
      </c>
      <c r="Q266" s="343">
        <f t="shared" si="96"/>
        <v>5.4944455979030824</v>
      </c>
      <c r="R266" s="344">
        <f t="shared" si="97"/>
        <v>-112.01647252899919</v>
      </c>
      <c r="S266" s="346">
        <f t="shared" si="98"/>
        <v>67.983527471000812</v>
      </c>
      <c r="U266" s="319">
        <f t="shared" si="104"/>
        <v>1000000000</v>
      </c>
      <c r="V266" s="319">
        <f t="shared" si="105"/>
        <v>278639556.25</v>
      </c>
      <c r="X266" s="345">
        <f t="shared" si="99"/>
        <v>26.677895128355857</v>
      </c>
      <c r="Y266" s="346">
        <f t="shared" si="100"/>
        <v>-18.587513779073912</v>
      </c>
      <c r="AA266" s="345">
        <f t="shared" si="101"/>
        <v>42.425671758709854</v>
      </c>
      <c r="AB266" s="346">
        <f t="shared" si="102"/>
        <v>-93.428958749925272</v>
      </c>
      <c r="AD266">
        <f t="shared" si="106"/>
        <v>0</v>
      </c>
      <c r="AE266">
        <f t="shared" si="109"/>
        <v>0</v>
      </c>
    </row>
    <row r="267" spans="1:31" x14ac:dyDescent="0.25">
      <c r="A267" s="347">
        <v>16789</v>
      </c>
      <c r="B267" s="364">
        <f t="shared" si="103"/>
        <v>16.789000000000001</v>
      </c>
      <c r="C267" s="337">
        <f t="shared" si="84"/>
        <v>7.3491271774849452</v>
      </c>
      <c r="D267" s="338">
        <f t="shared" si="85"/>
        <v>1.4343023131729358</v>
      </c>
      <c r="E267" s="338">
        <f t="shared" si="86"/>
        <v>1.0009257607090212</v>
      </c>
      <c r="F267" s="339">
        <f t="shared" si="87"/>
        <v>4.3012720878649331E-2</v>
      </c>
      <c r="G267" s="338">
        <f t="shared" si="88"/>
        <v>1</v>
      </c>
      <c r="H267" s="339">
        <f t="shared" si="89"/>
        <v>0</v>
      </c>
      <c r="I267" s="337">
        <f t="shared" si="90"/>
        <v>22285.415691236543</v>
      </c>
      <c r="J267" s="340">
        <f t="shared" si="91"/>
        <v>1.5707514543987884</v>
      </c>
      <c r="K267" s="348">
        <f t="shared" si="107"/>
        <v>6.345304710043596</v>
      </c>
      <c r="L267" s="349">
        <f t="shared" si="108"/>
        <v>1.4125397154255754</v>
      </c>
      <c r="M267" s="337">
        <f t="shared" si="92"/>
        <v>1.013978862487366</v>
      </c>
      <c r="N267" s="340">
        <f t="shared" si="93"/>
        <v>0.16624043494334625</v>
      </c>
      <c r="O267" s="341">
        <f t="shared" si="94"/>
        <v>1.0058418992741904</v>
      </c>
      <c r="P267" s="342">
        <f t="shared" si="95"/>
        <v>0.24128283238175677</v>
      </c>
      <c r="Q267" s="343">
        <f t="shared" si="96"/>
        <v>5.4421841383740555</v>
      </c>
      <c r="R267" s="344">
        <f t="shared" si="97"/>
        <v>-112.12925003076654</v>
      </c>
      <c r="S267" s="346">
        <f t="shared" si="98"/>
        <v>67.870749969233458</v>
      </c>
      <c r="U267" s="319">
        <f t="shared" si="104"/>
        <v>1000000000</v>
      </c>
      <c r="V267" s="319">
        <f t="shared" si="105"/>
        <v>281870521</v>
      </c>
      <c r="X267" s="345">
        <f t="shared" si="99"/>
        <v>26.675281224097951</v>
      </c>
      <c r="Y267" s="346">
        <f t="shared" si="100"/>
        <v>-18.589740240505286</v>
      </c>
      <c r="AA267" s="345">
        <f t="shared" si="101"/>
        <v>42.376024203438732</v>
      </c>
      <c r="AB267" s="346">
        <f t="shared" si="102"/>
        <v>-93.539509790261249</v>
      </c>
      <c r="AD267">
        <f t="shared" si="106"/>
        <v>0</v>
      </c>
      <c r="AE267">
        <f t="shared" si="109"/>
        <v>0</v>
      </c>
    </row>
    <row r="268" spans="1:31" x14ac:dyDescent="0.25">
      <c r="A268" s="347">
        <v>16885.5</v>
      </c>
      <c r="B268" s="364">
        <f t="shared" si="103"/>
        <v>16.8855</v>
      </c>
      <c r="C268" s="337">
        <f t="shared" si="84"/>
        <v>7.3905886577311373</v>
      </c>
      <c r="D268" s="338">
        <f t="shared" si="85"/>
        <v>1.4350728001179218</v>
      </c>
      <c r="E268" s="338">
        <f t="shared" si="86"/>
        <v>1.000936428496483</v>
      </c>
      <c r="F268" s="339">
        <f t="shared" si="87"/>
        <v>4.325964242409977E-2</v>
      </c>
      <c r="G268" s="338">
        <f t="shared" si="88"/>
        <v>1</v>
      </c>
      <c r="H268" s="339">
        <f t="shared" si="89"/>
        <v>0</v>
      </c>
      <c r="I268" s="337">
        <f t="shared" si="90"/>
        <v>22413.508049917022</v>
      </c>
      <c r="J268" s="340">
        <f t="shared" si="91"/>
        <v>1.5707517108428508</v>
      </c>
      <c r="K268" s="348">
        <f t="shared" si="107"/>
        <v>6.3808730102728166</v>
      </c>
      <c r="L268" s="349">
        <f t="shared" si="108"/>
        <v>1.413429246449768</v>
      </c>
      <c r="M268" s="337">
        <f t="shared" si="92"/>
        <v>1.0141388965329179</v>
      </c>
      <c r="N268" s="340">
        <f t="shared" si="93"/>
        <v>0.16717829831871159</v>
      </c>
      <c r="O268" s="341">
        <f t="shared" si="94"/>
        <v>1.0059121962658111</v>
      </c>
      <c r="P268" s="342">
        <f t="shared" si="95"/>
        <v>0.24268018032674685</v>
      </c>
      <c r="Q268" s="343">
        <f t="shared" si="96"/>
        <v>5.3902040197092074</v>
      </c>
      <c r="R268" s="344">
        <f t="shared" si="97"/>
        <v>-112.24209419124577</v>
      </c>
      <c r="S268" s="346">
        <f t="shared" si="98"/>
        <v>67.757905808754231</v>
      </c>
      <c r="U268" s="319">
        <f t="shared" si="104"/>
        <v>1000000000</v>
      </c>
      <c r="V268" s="319">
        <f t="shared" si="105"/>
        <v>285120110.25</v>
      </c>
      <c r="X268" s="345">
        <f t="shared" si="99"/>
        <v>26.672680921035962</v>
      </c>
      <c r="Y268" s="346">
        <f t="shared" si="100"/>
        <v>-18.592524173407071</v>
      </c>
      <c r="AA268" s="345">
        <f t="shared" si="101"/>
        <v>42.32664438783587</v>
      </c>
      <c r="AB268" s="346">
        <f t="shared" si="102"/>
        <v>-93.64957001783867</v>
      </c>
      <c r="AD268">
        <f t="shared" si="106"/>
        <v>0</v>
      </c>
      <c r="AE268">
        <f t="shared" si="109"/>
        <v>0</v>
      </c>
    </row>
    <row r="269" spans="1:31" x14ac:dyDescent="0.25">
      <c r="A269" s="347">
        <v>16982</v>
      </c>
      <c r="B269" s="364">
        <f t="shared" si="103"/>
        <v>16.981999999999999</v>
      </c>
      <c r="C269" s="337">
        <f t="shared" ref="C269:C332" si="110">SQRT(1+(A269/pole1)^2)</f>
        <v>7.432054476447183</v>
      </c>
      <c r="D269" s="338">
        <f t="shared" ref="D269:D332" si="111">ATAN(A269/pole1)</f>
        <v>1.4358346899227943</v>
      </c>
      <c r="E269" s="338">
        <f t="shared" ref="E269:E332" si="112">SQRT(1+(A269/Zero1)^2)</f>
        <v>1.0009471573099855</v>
      </c>
      <c r="F269" s="339">
        <f t="shared" ref="F269:F332" si="113">ATAN(A269/Zero1)</f>
        <v>4.3506558691267683E-2</v>
      </c>
      <c r="G269" s="338">
        <f t="shared" ref="G269:G332" si="114">IF(VIN_nom&gt;Vout, 1, SQRT(1+(A269/z_RHP)^2))</f>
        <v>1</v>
      </c>
      <c r="H269" s="339">
        <f t="shared" ref="H269:H332" si="115">IF(VIN_nom&gt;Vout, 0, -ATAN(A269/z_RHP))</f>
        <v>0</v>
      </c>
      <c r="I269" s="337">
        <f t="shared" ref="I269:I332" si="116">SQRT(1+(A269/Pole2)^2)</f>
        <v>22541.600408598955</v>
      </c>
      <c r="J269" s="340">
        <f t="shared" ref="J269:J332" si="117">ATAN(A269/Pole2)</f>
        <v>1.5707519643724333</v>
      </c>
      <c r="K269" s="348">
        <f t="shared" si="107"/>
        <v>6.4164463034881631</v>
      </c>
      <c r="L269" s="349">
        <f t="shared" si="108"/>
        <v>1.4143089149008319</v>
      </c>
      <c r="M269" s="337">
        <f t="shared" ref="M269:M332" si="118">SQRT(1+(A269/pole4)^2)</f>
        <v>1.0142998223206394</v>
      </c>
      <c r="N269" s="340">
        <f t="shared" ref="N269:N332" si="119">ATAN(A269/pole4)</f>
        <v>0.16811586492131389</v>
      </c>
      <c r="O269" s="341">
        <f t="shared" ref="O269:O332" si="120">SQRT((1-(V269/pterm2))^2+(A269/pterm1)^2)</f>
        <v>1.0059829635124431</v>
      </c>
      <c r="P269" s="342">
        <f t="shared" ref="P269:P332" si="121">IF((ATAN((A269/pterm1)/(1-A269^2/pterm2))&gt;0),ATAN((A269/pterm1)/(1-A269^2/pterm2)),PI()+ATAN((A269/pterm1)/(1-A269^2/pterm2)))</f>
        <v>0.24407770000987494</v>
      </c>
      <c r="Q269" s="343">
        <f t="shared" ref="Q269:Q332" si="122">20*LOG10(((E269*K269*G269)/(C269*I269*O269*M269))*Adc)</f>
        <v>5.3385018539195688</v>
      </c>
      <c r="R269" s="344">
        <f t="shared" ref="R269:R332" si="123">((F269+L269+H269)-(D269+J269+P269+N269))*radconv</f>
        <v>-112.35500382717565</v>
      </c>
      <c r="S269" s="346">
        <f t="shared" ref="S269:S332" si="124">IF(R269&gt;0,R269,R269+180)</f>
        <v>67.644996172824349</v>
      </c>
      <c r="U269" s="319">
        <f t="shared" si="104"/>
        <v>1000000000</v>
      </c>
      <c r="V269" s="319">
        <f t="shared" si="105"/>
        <v>288388324</v>
      </c>
      <c r="X269" s="345">
        <f t="shared" ref="X269:X332" si="125">20*LOG10((K269/(I269*M269))*AEA)</f>
        <v>26.670093759389335</v>
      </c>
      <c r="Y269" s="346">
        <f t="shared" ref="Y269:Y332" si="126">(L269-(J269+N269))*radconv</f>
        <v>-18.595856019310698</v>
      </c>
      <c r="AA269" s="345">
        <f t="shared" ref="AA269:AA332" si="127">20*LOG10((E269*G269/(C269*O269))*Acs*Am)</f>
        <v>42.277529383692858</v>
      </c>
      <c r="AB269" s="346">
        <f t="shared" ref="AB269:AB332" si="128">(F269+H269-(D269+P269))*radconv</f>
        <v>-93.759147807864977</v>
      </c>
      <c r="AD269">
        <f t="shared" si="106"/>
        <v>0</v>
      </c>
      <c r="AE269">
        <f t="shared" si="109"/>
        <v>0</v>
      </c>
    </row>
    <row r="270" spans="1:31" x14ac:dyDescent="0.25">
      <c r="A270" s="347">
        <v>17081</v>
      </c>
      <c r="B270" s="364">
        <f t="shared" ref="B270:B333" si="129">A270/1000</f>
        <v>17.081</v>
      </c>
      <c r="C270" s="337">
        <f t="shared" si="110"/>
        <v>7.4745989720086481</v>
      </c>
      <c r="D270" s="338">
        <f t="shared" si="111"/>
        <v>1.4366075327471928</v>
      </c>
      <c r="E270" s="338">
        <f t="shared" si="112"/>
        <v>1.000958227487966</v>
      </c>
      <c r="F270" s="339">
        <f t="shared" si="113"/>
        <v>4.3759866236373755E-2</v>
      </c>
      <c r="G270" s="338">
        <f t="shared" si="114"/>
        <v>1</v>
      </c>
      <c r="H270" s="339">
        <f t="shared" si="115"/>
        <v>0</v>
      </c>
      <c r="I270" s="337">
        <f t="shared" si="116"/>
        <v>22673.011222170506</v>
      </c>
      <c r="J270" s="340">
        <f t="shared" si="117"/>
        <v>1.5707522214931999</v>
      </c>
      <c r="K270" s="348">
        <f t="shared" si="107"/>
        <v>6.4529462867477649</v>
      </c>
      <c r="L270" s="349">
        <f t="shared" si="108"/>
        <v>1.4152012930976403</v>
      </c>
      <c r="M270" s="337">
        <f t="shared" si="118"/>
        <v>1.01446584342</v>
      </c>
      <c r="N270" s="340">
        <f t="shared" si="119"/>
        <v>0.16907741082993566</v>
      </c>
      <c r="O270" s="341">
        <f t="shared" si="120"/>
        <v>1.0060560539898762</v>
      </c>
      <c r="P270" s="342">
        <f t="shared" si="121"/>
        <v>0.24551160410167763</v>
      </c>
      <c r="Q270" s="343">
        <f t="shared" si="122"/>
        <v>5.285745611945794</v>
      </c>
      <c r="R270" s="344">
        <f t="shared" si="123"/>
        <v>-112.4709054087068</v>
      </c>
      <c r="S270" s="346">
        <f t="shared" si="124"/>
        <v>67.529094591293202</v>
      </c>
      <c r="U270" s="319">
        <f t="shared" ref="U270:U333" si="130">IF(Q270&lt;0,A270,1000000000)</f>
        <v>1000000000</v>
      </c>
      <c r="V270" s="319">
        <f t="shared" ref="V270:V333" si="131">A270^2</f>
        <v>291760561</v>
      </c>
      <c r="X270" s="345">
        <f t="shared" si="125"/>
        <v>26.667452760980108</v>
      </c>
      <c r="Y270" s="346">
        <f t="shared" si="126"/>
        <v>-18.599833769215472</v>
      </c>
      <c r="AA270" s="345">
        <f t="shared" si="127"/>
        <v>42.22741414012831</v>
      </c>
      <c r="AB270" s="346">
        <f t="shared" si="128"/>
        <v>-93.871071639491305</v>
      </c>
      <c r="AD270">
        <f t="shared" ref="AD270:AD333" si="132">SUM((Q271&lt;0)*(Q270&gt;0))*A270</f>
        <v>0</v>
      </c>
      <c r="AE270">
        <f t="shared" si="109"/>
        <v>0</v>
      </c>
    </row>
    <row r="271" spans="1:31" x14ac:dyDescent="0.25">
      <c r="A271" s="347">
        <v>17180</v>
      </c>
      <c r="B271" s="364">
        <f t="shared" si="129"/>
        <v>17.18</v>
      </c>
      <c r="C271" s="337">
        <f t="shared" si="110"/>
        <v>7.5171478815073245</v>
      </c>
      <c r="D271" s="338">
        <f t="shared" si="111"/>
        <v>1.4373716270619954</v>
      </c>
      <c r="E271" s="338">
        <f t="shared" si="112"/>
        <v>1.0009693618907201</v>
      </c>
      <c r="F271" s="339">
        <f t="shared" si="113"/>
        <v>4.4013168162338842E-2</v>
      </c>
      <c r="G271" s="338">
        <f t="shared" si="114"/>
        <v>1</v>
      </c>
      <c r="H271" s="339">
        <f t="shared" si="115"/>
        <v>0</v>
      </c>
      <c r="I271" s="337">
        <f t="shared" si="116"/>
        <v>22804.422035743544</v>
      </c>
      <c r="J271" s="340">
        <f t="shared" si="117"/>
        <v>1.5707524756506426</v>
      </c>
      <c r="K271" s="348">
        <f t="shared" si="107"/>
        <v>6.4894513509310983</v>
      </c>
      <c r="L271" s="349">
        <f t="shared" si="108"/>
        <v>1.4160836322131651</v>
      </c>
      <c r="M271" s="337">
        <f t="shared" si="118"/>
        <v>1.014632802157136</v>
      </c>
      <c r="N271" s="340">
        <f t="shared" si="119"/>
        <v>0.17003864118055712</v>
      </c>
      <c r="O271" s="341">
        <f t="shared" si="120"/>
        <v>1.0061296418419448</v>
      </c>
      <c r="P271" s="342">
        <f t="shared" si="121"/>
        <v>0.2469456904988607</v>
      </c>
      <c r="Q271" s="343">
        <f t="shared" si="122"/>
        <v>5.2332748752516123</v>
      </c>
      <c r="R271" s="344">
        <f t="shared" si="123"/>
        <v>-112.5868734519032</v>
      </c>
      <c r="S271" s="346">
        <f t="shared" si="124"/>
        <v>67.413126548096798</v>
      </c>
      <c r="U271" s="319">
        <f t="shared" si="130"/>
        <v>1000000000</v>
      </c>
      <c r="V271" s="319">
        <f t="shared" si="131"/>
        <v>295152400</v>
      </c>
      <c r="X271" s="345">
        <f t="shared" si="125"/>
        <v>26.664824654463352</v>
      </c>
      <c r="Y271" s="346">
        <f t="shared" si="126"/>
        <v>-18.604368466181061</v>
      </c>
      <c r="AA271" s="345">
        <f t="shared" si="127"/>
        <v>42.177571509950894</v>
      </c>
      <c r="AB271" s="346">
        <f t="shared" si="128"/>
        <v>-93.982504985722159</v>
      </c>
      <c r="AD271">
        <f t="shared" si="132"/>
        <v>0</v>
      </c>
      <c r="AE271">
        <f t="shared" si="109"/>
        <v>0</v>
      </c>
    </row>
    <row r="272" spans="1:31" x14ac:dyDescent="0.25">
      <c r="A272" s="347">
        <v>17279</v>
      </c>
      <c r="B272" s="364">
        <f t="shared" si="129"/>
        <v>17.279</v>
      </c>
      <c r="C272" s="337">
        <f t="shared" si="110"/>
        <v>7.5597011304131971</v>
      </c>
      <c r="D272" s="338">
        <f t="shared" si="111"/>
        <v>1.4381271197023751</v>
      </c>
      <c r="E272" s="338">
        <f t="shared" si="112"/>
        <v>1.0009805605161048</v>
      </c>
      <c r="F272" s="339">
        <f t="shared" si="113"/>
        <v>4.426646443684637E-2</v>
      </c>
      <c r="G272" s="338">
        <f t="shared" si="114"/>
        <v>1</v>
      </c>
      <c r="H272" s="339">
        <f t="shared" si="115"/>
        <v>0</v>
      </c>
      <c r="I272" s="337">
        <f t="shared" si="116"/>
        <v>22935.832849318038</v>
      </c>
      <c r="J272" s="340">
        <f t="shared" si="117"/>
        <v>1.5707527268956958</v>
      </c>
      <c r="K272" s="348">
        <f t="shared" si="107"/>
        <v>6.5259614107728225</v>
      </c>
      <c r="L272" s="349">
        <f t="shared" si="108"/>
        <v>1.4169560993554531</v>
      </c>
      <c r="M272" s="337">
        <f t="shared" si="118"/>
        <v>1.0148006980692563</v>
      </c>
      <c r="N272" s="340">
        <f t="shared" si="119"/>
        <v>0.17099955435308481</v>
      </c>
      <c r="O272" s="341">
        <f t="shared" si="120"/>
        <v>1.0062037283134659</v>
      </c>
      <c r="P272" s="342">
        <f t="shared" si="121"/>
        <v>0.24837995998114817</v>
      </c>
      <c r="Q272" s="343">
        <f t="shared" si="122"/>
        <v>5.1810861737820693</v>
      </c>
      <c r="R272" s="344">
        <f t="shared" si="123"/>
        <v>-112.70290675183519</v>
      </c>
      <c r="S272" s="346">
        <f t="shared" si="124"/>
        <v>67.297093248164813</v>
      </c>
      <c r="U272" s="319">
        <f t="shared" si="130"/>
        <v>1000000000</v>
      </c>
      <c r="V272" s="319">
        <f t="shared" si="131"/>
        <v>298563841</v>
      </c>
      <c r="X272" s="345">
        <f t="shared" si="125"/>
        <v>26.662208984236084</v>
      </c>
      <c r="Y272" s="346">
        <f t="shared" si="126"/>
        <v>-18.609450445715474</v>
      </c>
      <c r="AA272" s="345">
        <f t="shared" si="127"/>
        <v>42.127998478708612</v>
      </c>
      <c r="AB272" s="346">
        <f t="shared" si="128"/>
        <v>-94.093456306119705</v>
      </c>
      <c r="AD272">
        <f t="shared" si="132"/>
        <v>0</v>
      </c>
      <c r="AE272">
        <f t="shared" si="109"/>
        <v>0</v>
      </c>
    </row>
    <row r="273" spans="1:31" x14ac:dyDescent="0.25">
      <c r="A273" s="347">
        <v>17378</v>
      </c>
      <c r="B273" s="364">
        <f t="shared" si="129"/>
        <v>17.378</v>
      </c>
      <c r="C273" s="337">
        <f t="shared" si="110"/>
        <v>7.6022586458574448</v>
      </c>
      <c r="D273" s="338">
        <f t="shared" si="111"/>
        <v>1.4388741542553485</v>
      </c>
      <c r="E273" s="338">
        <f t="shared" si="112"/>
        <v>1.0009918233619646</v>
      </c>
      <c r="F273" s="339">
        <f t="shared" si="113"/>
        <v>4.4519755027584089E-2</v>
      </c>
      <c r="G273" s="338">
        <f t="shared" si="114"/>
        <v>1</v>
      </c>
      <c r="H273" s="339">
        <f t="shared" si="115"/>
        <v>0</v>
      </c>
      <c r="I273" s="337">
        <f t="shared" si="116"/>
        <v>23067.243662893961</v>
      </c>
      <c r="J273" s="340">
        <f t="shared" si="117"/>
        <v>1.5707529752781342</v>
      </c>
      <c r="K273" s="348">
        <f t="shared" si="107"/>
        <v>6.5624763828935349</v>
      </c>
      <c r="L273" s="349">
        <f t="shared" si="108"/>
        <v>1.4178188579741393</v>
      </c>
      <c r="M273" s="337">
        <f t="shared" si="118"/>
        <v>1.0149695306912796</v>
      </c>
      <c r="N273" s="340">
        <f t="shared" si="119"/>
        <v>0.17196014873083709</v>
      </c>
      <c r="O273" s="341">
        <f t="shared" si="120"/>
        <v>1.0062783146559748</v>
      </c>
      <c r="P273" s="342">
        <f t="shared" si="121"/>
        <v>0.24981441332350043</v>
      </c>
      <c r="Q273" s="343">
        <f t="shared" si="122"/>
        <v>5.1291760980699275</v>
      </c>
      <c r="R273" s="344">
        <f t="shared" si="123"/>
        <v>-112.81900412693459</v>
      </c>
      <c r="S273" s="346">
        <f t="shared" si="124"/>
        <v>67.180995873065413</v>
      </c>
      <c r="U273" s="319">
        <f t="shared" si="130"/>
        <v>1000000000</v>
      </c>
      <c r="V273" s="319">
        <f t="shared" si="131"/>
        <v>301994884</v>
      </c>
      <c r="X273" s="345">
        <f t="shared" si="125"/>
        <v>26.659605307588784</v>
      </c>
      <c r="Y273" s="346">
        <f t="shared" si="126"/>
        <v>-18.615070253067259</v>
      </c>
      <c r="AA273" s="345">
        <f t="shared" si="127"/>
        <v>42.078692079643773</v>
      </c>
      <c r="AB273" s="346">
        <f t="shared" si="128"/>
        <v>-94.203933873867342</v>
      </c>
      <c r="AD273">
        <f t="shared" si="132"/>
        <v>0</v>
      </c>
      <c r="AE273">
        <f t="shared" si="109"/>
        <v>0</v>
      </c>
    </row>
    <row r="274" spans="1:31" x14ac:dyDescent="0.25">
      <c r="A274" s="347">
        <v>17479.25</v>
      </c>
      <c r="B274" s="364">
        <f t="shared" si="129"/>
        <v>17.47925</v>
      </c>
      <c r="C274" s="337">
        <f t="shared" si="110"/>
        <v>7.6457877164022987</v>
      </c>
      <c r="D274" s="338">
        <f t="shared" si="111"/>
        <v>1.4396295645839294</v>
      </c>
      <c r="E274" s="338">
        <f t="shared" si="112"/>
        <v>1.00100340860573</v>
      </c>
      <c r="F274" s="339">
        <f t="shared" si="113"/>
        <v>4.4778796309983382E-2</v>
      </c>
      <c r="G274" s="338">
        <f t="shared" si="114"/>
        <v>1</v>
      </c>
      <c r="H274" s="339">
        <f t="shared" si="115"/>
        <v>0</v>
      </c>
      <c r="I274" s="337">
        <f t="shared" si="116"/>
        <v>23201.641085870793</v>
      </c>
      <c r="J274" s="340">
        <f t="shared" si="117"/>
        <v>1.5707532263953772</v>
      </c>
      <c r="K274" s="348">
        <f t="shared" si="107"/>
        <v>6.5998262367816043</v>
      </c>
      <c r="L274" s="349">
        <f t="shared" si="108"/>
        <v>1.418691349354213</v>
      </c>
      <c r="M274" s="337">
        <f t="shared" si="118"/>
        <v>1.0151431688163675</v>
      </c>
      <c r="N274" s="340">
        <f t="shared" si="119"/>
        <v>0.17294224337258954</v>
      </c>
      <c r="O274" s="341">
        <f t="shared" si="120"/>
        <v>1.006355114495137</v>
      </c>
      <c r="P274" s="342">
        <f t="shared" si="121"/>
        <v>0.25128165885631604</v>
      </c>
      <c r="Q274" s="343">
        <f t="shared" si="122"/>
        <v>5.076370952956931</v>
      </c>
      <c r="R274" s="344">
        <f t="shared" si="123"/>
        <v>-112.9378051473105</v>
      </c>
      <c r="S274" s="346">
        <f t="shared" si="124"/>
        <v>67.062194852689501</v>
      </c>
      <c r="U274" s="319">
        <f t="shared" si="130"/>
        <v>1000000000</v>
      </c>
      <c r="V274" s="319">
        <f t="shared" si="131"/>
        <v>305524180.5625</v>
      </c>
      <c r="X274" s="345">
        <f t="shared" si="125"/>
        <v>26.656954413703666</v>
      </c>
      <c r="Y274" s="346">
        <f t="shared" si="126"/>
        <v>-18.621364445347698</v>
      </c>
      <c r="AA274" s="345">
        <f t="shared" si="127"/>
        <v>42.028537828415892</v>
      </c>
      <c r="AB274" s="346">
        <f t="shared" si="128"/>
        <v>-94.316440701962776</v>
      </c>
      <c r="AD274">
        <f t="shared" si="132"/>
        <v>0</v>
      </c>
      <c r="AE274">
        <f t="shared" si="109"/>
        <v>0</v>
      </c>
    </row>
    <row r="275" spans="1:31" x14ac:dyDescent="0.25">
      <c r="A275" s="347">
        <v>17580.5</v>
      </c>
      <c r="B275" s="364">
        <f t="shared" si="129"/>
        <v>17.580500000000001</v>
      </c>
      <c r="C275" s="337">
        <f t="shared" si="110"/>
        <v>7.6893211005764295</v>
      </c>
      <c r="D275" s="338">
        <f t="shared" si="111"/>
        <v>1.4403764217660147</v>
      </c>
      <c r="E275" s="338">
        <f t="shared" si="112"/>
        <v>1.0010150610176549</v>
      </c>
      <c r="F275" s="339">
        <f t="shared" si="113"/>
        <v>4.5037831578974383E-2</v>
      </c>
      <c r="G275" s="338">
        <f t="shared" si="114"/>
        <v>1</v>
      </c>
      <c r="H275" s="339">
        <f t="shared" si="115"/>
        <v>0</v>
      </c>
      <c r="I275" s="337">
        <f t="shared" si="116"/>
        <v>23336.038508849073</v>
      </c>
      <c r="J275" s="340">
        <f t="shared" si="117"/>
        <v>1.5707534746201401</v>
      </c>
      <c r="K275" s="348">
        <f t="shared" si="107"/>
        <v>6.6371810581826987</v>
      </c>
      <c r="L275" s="349">
        <f t="shared" si="108"/>
        <v>1.4195540204203716</v>
      </c>
      <c r="M275" s="337">
        <f t="shared" si="118"/>
        <v>1.0153177857216322</v>
      </c>
      <c r="N275" s="340">
        <f t="shared" si="119"/>
        <v>0.17392400115477549</v>
      </c>
      <c r="O275" s="341">
        <f t="shared" si="120"/>
        <v>1.0064324398542526</v>
      </c>
      <c r="P275" s="342">
        <f t="shared" si="121"/>
        <v>0.2527490983256705</v>
      </c>
      <c r="Q275" s="343">
        <f t="shared" si="122"/>
        <v>5.023850216843301</v>
      </c>
      <c r="R275" s="344">
        <f t="shared" si="123"/>
        <v>-113.05667076096127</v>
      </c>
      <c r="S275" s="346">
        <f t="shared" si="124"/>
        <v>66.943329239038732</v>
      </c>
      <c r="U275" s="319">
        <f t="shared" si="130"/>
        <v>1000000000</v>
      </c>
      <c r="V275" s="319">
        <f t="shared" si="131"/>
        <v>309073980.25</v>
      </c>
      <c r="X275" s="345">
        <f t="shared" si="125"/>
        <v>26.654315167583537</v>
      </c>
      <c r="Y275" s="346">
        <f t="shared" si="126"/>
        <v>-18.628201833811247</v>
      </c>
      <c r="AA275" s="345">
        <f t="shared" si="127"/>
        <v>41.978656338422397</v>
      </c>
      <c r="AB275" s="346">
        <f t="shared" si="128"/>
        <v>-94.428468927150021</v>
      </c>
      <c r="AD275">
        <f t="shared" si="132"/>
        <v>0</v>
      </c>
      <c r="AE275">
        <f t="shared" si="109"/>
        <v>0</v>
      </c>
    </row>
    <row r="276" spans="1:31" x14ac:dyDescent="0.25">
      <c r="A276" s="347">
        <v>17681.75</v>
      </c>
      <c r="B276" s="364">
        <f t="shared" si="129"/>
        <v>17.681750000000001</v>
      </c>
      <c r="C276" s="337">
        <f t="shared" si="110"/>
        <v>7.7328587255270085</v>
      </c>
      <c r="D276" s="338">
        <f t="shared" si="111"/>
        <v>1.441114869429355</v>
      </c>
      <c r="E276" s="338">
        <f t="shared" si="112"/>
        <v>1.0010267805953941</v>
      </c>
      <c r="F276" s="339">
        <f t="shared" si="113"/>
        <v>4.5296860800005549E-2</v>
      </c>
      <c r="G276" s="338">
        <f t="shared" si="114"/>
        <v>1</v>
      </c>
      <c r="H276" s="339">
        <f t="shared" si="115"/>
        <v>0</v>
      </c>
      <c r="I276" s="337">
        <f t="shared" si="116"/>
        <v>23470.435931828772</v>
      </c>
      <c r="J276" s="340">
        <f t="shared" si="117"/>
        <v>1.5707537200021124</v>
      </c>
      <c r="K276" s="348">
        <f t="shared" si="107"/>
        <v>6.6745407636930789</v>
      </c>
      <c r="L276" s="349">
        <f t="shared" si="108"/>
        <v>1.4204070347807594</v>
      </c>
      <c r="M276" s="337">
        <f t="shared" si="118"/>
        <v>1.015493380902162</v>
      </c>
      <c r="N276" s="340">
        <f t="shared" si="119"/>
        <v>0.17490542035912574</v>
      </c>
      <c r="O276" s="341">
        <f t="shared" si="120"/>
        <v>1.0065102920938878</v>
      </c>
      <c r="P276" s="342">
        <f t="shared" si="121"/>
        <v>0.25421673254493871</v>
      </c>
      <c r="Q276" s="343">
        <f t="shared" si="122"/>
        <v>4.971610430085053</v>
      </c>
      <c r="R276" s="344">
        <f t="shared" si="123"/>
        <v>-113.17559977607471</v>
      </c>
      <c r="S276" s="346">
        <f t="shared" si="124"/>
        <v>66.824400223925295</v>
      </c>
      <c r="U276" s="319">
        <f t="shared" si="130"/>
        <v>1000000000</v>
      </c>
      <c r="V276" s="319">
        <f t="shared" si="131"/>
        <v>312644283.0625</v>
      </c>
      <c r="X276" s="345">
        <f t="shared" si="125"/>
        <v>26.651687134783046</v>
      </c>
      <c r="Y276" s="346">
        <f t="shared" si="126"/>
        <v>-18.635572948799137</v>
      </c>
      <c r="AA276" s="345">
        <f t="shared" si="127"/>
        <v>41.929044584464634</v>
      </c>
      <c r="AB276" s="346">
        <f t="shared" si="128"/>
        <v>-94.540026827275597</v>
      </c>
      <c r="AD276">
        <f t="shared" si="132"/>
        <v>0</v>
      </c>
      <c r="AE276">
        <f t="shared" si="109"/>
        <v>0</v>
      </c>
    </row>
    <row r="277" spans="1:31" x14ac:dyDescent="0.25">
      <c r="A277" s="347">
        <v>17783</v>
      </c>
      <c r="B277" s="364">
        <f t="shared" si="129"/>
        <v>17.783000000000001</v>
      </c>
      <c r="C277" s="337">
        <f t="shared" si="110"/>
        <v>7.7764005200257058</v>
      </c>
      <c r="D277" s="338">
        <f t="shared" si="111"/>
        <v>1.4418450480220444</v>
      </c>
      <c r="E277" s="338">
        <f t="shared" si="112"/>
        <v>1.0010385673365885</v>
      </c>
      <c r="F277" s="339">
        <f t="shared" si="113"/>
        <v>4.5555883938530183E-2</v>
      </c>
      <c r="G277" s="338">
        <f t="shared" si="114"/>
        <v>1</v>
      </c>
      <c r="H277" s="339">
        <f t="shared" si="115"/>
        <v>0</v>
      </c>
      <c r="I277" s="337">
        <f t="shared" si="116"/>
        <v>23604.833354809867</v>
      </c>
      <c r="J277" s="340">
        <f t="shared" si="117"/>
        <v>1.5707539625898514</v>
      </c>
      <c r="K277" s="348">
        <f t="shared" si="107"/>
        <v>6.7119052717551755</v>
      </c>
      <c r="L277" s="349">
        <f t="shared" si="108"/>
        <v>1.4212505524572896</v>
      </c>
      <c r="M277" s="337">
        <f t="shared" si="118"/>
        <v>1.0156699538505662</v>
      </c>
      <c r="N277" s="340">
        <f t="shared" si="119"/>
        <v>0.17588649927116501</v>
      </c>
      <c r="O277" s="341">
        <f t="shared" si="120"/>
        <v>1.00658867258192</v>
      </c>
      <c r="P277" s="342">
        <f t="shared" si="121"/>
        <v>0.25568456232216774</v>
      </c>
      <c r="Q277" s="343">
        <f t="shared" si="122"/>
        <v>4.9196481933657408</v>
      </c>
      <c r="R277" s="344">
        <f t="shared" si="123"/>
        <v>-113.29459102398067</v>
      </c>
      <c r="S277" s="346">
        <f t="shared" si="124"/>
        <v>66.705408976019328</v>
      </c>
      <c r="U277" s="319">
        <f t="shared" si="130"/>
        <v>1000000000</v>
      </c>
      <c r="V277" s="319">
        <f t="shared" si="131"/>
        <v>316235089</v>
      </c>
      <c r="X277" s="345">
        <f t="shared" si="125"/>
        <v>26.64906989319163</v>
      </c>
      <c r="Y277" s="346">
        <f t="shared" si="126"/>
        <v>-18.643468526281037</v>
      </c>
      <c r="AA277" s="345">
        <f t="shared" si="127"/>
        <v>41.879699589336745</v>
      </c>
      <c r="AB277" s="346">
        <f t="shared" si="128"/>
        <v>-94.651122497699603</v>
      </c>
      <c r="AD277">
        <f t="shared" si="132"/>
        <v>0</v>
      </c>
      <c r="AE277">
        <f t="shared" si="109"/>
        <v>0</v>
      </c>
    </row>
    <row r="278" spans="1:31" x14ac:dyDescent="0.25">
      <c r="A278" s="347">
        <v>17886.5</v>
      </c>
      <c r="B278" s="364">
        <f t="shared" si="129"/>
        <v>17.886500000000002</v>
      </c>
      <c r="C278" s="337">
        <f t="shared" si="110"/>
        <v>7.8209141470084962</v>
      </c>
      <c r="D278" s="338">
        <f t="shared" si="111"/>
        <v>1.4425830490595812</v>
      </c>
      <c r="E278" s="338">
        <f t="shared" si="112"/>
        <v>1.0010506854217149</v>
      </c>
      <c r="F278" s="339">
        <f t="shared" si="113"/>
        <v>4.5820656824075066E-2</v>
      </c>
      <c r="G278" s="338">
        <f t="shared" si="114"/>
        <v>1</v>
      </c>
      <c r="H278" s="339">
        <f t="shared" si="115"/>
        <v>0</v>
      </c>
      <c r="I278" s="337">
        <f t="shared" si="116"/>
        <v>23742.217387191962</v>
      </c>
      <c r="J278" s="340">
        <f t="shared" si="117"/>
        <v>1.5707542077297736</v>
      </c>
      <c r="K278" s="348">
        <f t="shared" si="107"/>
        <v>6.7501049830004138</v>
      </c>
      <c r="L278" s="349">
        <f t="shared" si="108"/>
        <v>1.4221031623539591</v>
      </c>
      <c r="M278" s="337">
        <f t="shared" si="118"/>
        <v>1.0158514607129281</v>
      </c>
      <c r="N278" s="340">
        <f t="shared" si="119"/>
        <v>0.17688902643620841</v>
      </c>
      <c r="O278" s="341">
        <f t="shared" si="120"/>
        <v>1.0066693422776105</v>
      </c>
      <c r="P278" s="342">
        <f t="shared" si="121"/>
        <v>0.25718521349949575</v>
      </c>
      <c r="Q278" s="343">
        <f t="shared" si="122"/>
        <v>4.8668146327135755</v>
      </c>
      <c r="R278" s="344">
        <f t="shared" si="123"/>
        <v>-113.41628965119473</v>
      </c>
      <c r="S278" s="346">
        <f t="shared" si="124"/>
        <v>66.583710348805269</v>
      </c>
      <c r="U278" s="319">
        <f t="shared" si="130"/>
        <v>1000000000</v>
      </c>
      <c r="V278" s="319">
        <f t="shared" si="131"/>
        <v>319926882.25</v>
      </c>
      <c r="X278" s="345">
        <f t="shared" si="125"/>
        <v>26.646405217227567</v>
      </c>
      <c r="Y278" s="346">
        <f t="shared" si="126"/>
        <v>-18.652072198527751</v>
      </c>
      <c r="AA278" s="345">
        <f t="shared" si="127"/>
        <v>41.829530704648633</v>
      </c>
      <c r="AB278" s="346">
        <f t="shared" si="128"/>
        <v>-94.764217452666969</v>
      </c>
      <c r="AD278">
        <f t="shared" si="132"/>
        <v>0</v>
      </c>
      <c r="AE278">
        <f t="shared" si="109"/>
        <v>0</v>
      </c>
    </row>
    <row r="279" spans="1:31" x14ac:dyDescent="0.25">
      <c r="A279" s="347">
        <v>17990</v>
      </c>
      <c r="B279" s="364">
        <f t="shared" si="129"/>
        <v>17.989999999999998</v>
      </c>
      <c r="C279" s="337">
        <f t="shared" si="110"/>
        <v>7.8654319854020267</v>
      </c>
      <c r="D279" s="338">
        <f t="shared" si="111"/>
        <v>1.4433126964141074</v>
      </c>
      <c r="E279" s="338">
        <f t="shared" si="112"/>
        <v>1.0010628736834783</v>
      </c>
      <c r="F279" s="339">
        <f t="shared" si="113"/>
        <v>4.6085423280791231E-2</v>
      </c>
      <c r="G279" s="338">
        <f t="shared" si="114"/>
        <v>1</v>
      </c>
      <c r="H279" s="339">
        <f t="shared" si="115"/>
        <v>0</v>
      </c>
      <c r="I279" s="337">
        <f t="shared" si="116"/>
        <v>23879.601419575469</v>
      </c>
      <c r="J279" s="340">
        <f t="shared" si="117"/>
        <v>1.5707544500490196</v>
      </c>
      <c r="K279" s="348">
        <f t="shared" ref="K279:K342" si="133">SQRT(1+(A279/Zero2)^2)</f>
        <v>6.7883095459639371</v>
      </c>
      <c r="L279" s="349">
        <f t="shared" ref="L279:L342" si="134">ATAN(A279/Zero2)</f>
        <v>1.422946175891562</v>
      </c>
      <c r="M279" s="337">
        <f t="shared" si="118"/>
        <v>1.0160339882023035</v>
      </c>
      <c r="N279" s="340">
        <f t="shared" si="119"/>
        <v>0.17789119440613327</v>
      </c>
      <c r="O279" s="341">
        <f t="shared" si="120"/>
        <v>1.006750566874054</v>
      </c>
      <c r="P279" s="342">
        <f t="shared" si="121"/>
        <v>0.25868607071314664</v>
      </c>
      <c r="Q279" s="343">
        <f t="shared" si="122"/>
        <v>4.8142640985402068</v>
      </c>
      <c r="R279" s="344">
        <f t="shared" si="123"/>
        <v>-113.53805090988149</v>
      </c>
      <c r="S279" s="346">
        <f t="shared" si="124"/>
        <v>66.461949090118509</v>
      </c>
      <c r="U279" s="319">
        <f t="shared" si="130"/>
        <v>1000000000</v>
      </c>
      <c r="V279" s="319">
        <f t="shared" si="131"/>
        <v>323640100</v>
      </c>
      <c r="X279" s="345">
        <f t="shared" si="125"/>
        <v>26.643750963159455</v>
      </c>
      <c r="Y279" s="346">
        <f t="shared" si="126"/>
        <v>-18.661204959671117</v>
      </c>
      <c r="AA279" s="345">
        <f t="shared" si="127"/>
        <v>41.779634424543381</v>
      </c>
      <c r="AB279" s="346">
        <f t="shared" si="128"/>
        <v>-94.876845950210409</v>
      </c>
      <c r="AD279">
        <f t="shared" si="132"/>
        <v>0</v>
      </c>
      <c r="AE279">
        <f t="shared" si="109"/>
        <v>0</v>
      </c>
    </row>
    <row r="280" spans="1:31" x14ac:dyDescent="0.25">
      <c r="A280" s="347">
        <v>18093.5</v>
      </c>
      <c r="B280" s="364">
        <f t="shared" si="129"/>
        <v>18.093499999999999</v>
      </c>
      <c r="C280" s="337">
        <f t="shared" si="110"/>
        <v>7.9099539640998549</v>
      </c>
      <c r="D280" s="338">
        <f t="shared" si="111"/>
        <v>1.4440341303607405</v>
      </c>
      <c r="E280" s="338">
        <f t="shared" si="112"/>
        <v>1.0010751321193156</v>
      </c>
      <c r="F280" s="339">
        <f t="shared" si="113"/>
        <v>4.635018327179323E-2</v>
      </c>
      <c r="G280" s="338">
        <f t="shared" si="114"/>
        <v>1</v>
      </c>
      <c r="H280" s="339">
        <f t="shared" si="115"/>
        <v>0</v>
      </c>
      <c r="I280" s="337">
        <f t="shared" si="116"/>
        <v>24016.985451960361</v>
      </c>
      <c r="J280" s="340">
        <f t="shared" si="117"/>
        <v>1.5707546895959947</v>
      </c>
      <c r="K280" s="348">
        <f t="shared" si="133"/>
        <v>6.8265188791879279</v>
      </c>
      <c r="L280" s="349">
        <f t="shared" si="134"/>
        <v>1.4237797529996916</v>
      </c>
      <c r="M280" s="337">
        <f t="shared" si="118"/>
        <v>1.0162175357687335</v>
      </c>
      <c r="N280" s="340">
        <f t="shared" si="119"/>
        <v>0.17889300136199829</v>
      </c>
      <c r="O280" s="341">
        <f t="shared" si="120"/>
        <v>1.006832347855982</v>
      </c>
      <c r="P280" s="342">
        <f t="shared" si="121"/>
        <v>0.26018713480879152</v>
      </c>
      <c r="Q280" s="343">
        <f t="shared" si="122"/>
        <v>4.7619931463281828</v>
      </c>
      <c r="R280" s="344">
        <f t="shared" si="123"/>
        <v>-113.65987362304506</v>
      </c>
      <c r="S280" s="346">
        <f t="shared" si="124"/>
        <v>66.340126376954942</v>
      </c>
      <c r="U280" s="319">
        <f t="shared" si="130"/>
        <v>1000000000</v>
      </c>
      <c r="V280" s="319">
        <f t="shared" si="131"/>
        <v>327374742.25</v>
      </c>
      <c r="X280" s="345">
        <f t="shared" si="125"/>
        <v>26.641106717485094</v>
      </c>
      <c r="Y280" s="346">
        <f t="shared" si="126"/>
        <v>-18.67085754497619</v>
      </c>
      <c r="AA280" s="345">
        <f t="shared" si="127"/>
        <v>41.730007718005723</v>
      </c>
      <c r="AB280" s="346">
        <f t="shared" si="128"/>
        <v>-94.989016078068857</v>
      </c>
      <c r="AD280">
        <f t="shared" si="132"/>
        <v>0</v>
      </c>
      <c r="AE280">
        <f t="shared" si="109"/>
        <v>0</v>
      </c>
    </row>
    <row r="281" spans="1:31" x14ac:dyDescent="0.25">
      <c r="A281" s="347">
        <v>18197</v>
      </c>
      <c r="B281" s="364">
        <f t="shared" si="129"/>
        <v>18.196999999999999</v>
      </c>
      <c r="C281" s="337">
        <f t="shared" si="110"/>
        <v>7.9544800135809535</v>
      </c>
      <c r="D281" s="338">
        <f t="shared" si="111"/>
        <v>1.4447474880684166</v>
      </c>
      <c r="E281" s="338">
        <f t="shared" si="112"/>
        <v>1.0010874607266487</v>
      </c>
      <c r="F281" s="339">
        <f t="shared" si="113"/>
        <v>4.6614936760201064E-2</v>
      </c>
      <c r="G281" s="338">
        <f t="shared" si="114"/>
        <v>1</v>
      </c>
      <c r="H281" s="339">
        <f t="shared" si="115"/>
        <v>0</v>
      </c>
      <c r="I281" s="337">
        <f t="shared" si="116"/>
        <v>24154.369484346615</v>
      </c>
      <c r="J281" s="340">
        <f t="shared" si="117"/>
        <v>1.5707549264180027</v>
      </c>
      <c r="K281" s="348">
        <f t="shared" si="133"/>
        <v>6.8647329030180995</v>
      </c>
      <c r="L281" s="349">
        <f t="shared" si="134"/>
        <v>1.4246040500999351</v>
      </c>
      <c r="M281" s="337">
        <f t="shared" si="118"/>
        <v>1.0164021028595849</v>
      </c>
      <c r="N281" s="340">
        <f t="shared" si="119"/>
        <v>0.17989444548907096</v>
      </c>
      <c r="O281" s="341">
        <f t="shared" si="120"/>
        <v>1.006914686716063</v>
      </c>
      <c r="P281" s="342">
        <f t="shared" si="121"/>
        <v>0.26168840662615622</v>
      </c>
      <c r="Q281" s="343">
        <f t="shared" si="122"/>
        <v>4.7099983915179831</v>
      </c>
      <c r="R281" s="344">
        <f t="shared" si="123"/>
        <v>-113.78175663654923</v>
      </c>
      <c r="S281" s="346">
        <f t="shared" si="124"/>
        <v>66.218243363450767</v>
      </c>
      <c r="U281" s="319">
        <f t="shared" si="130"/>
        <v>1000000000</v>
      </c>
      <c r="V281" s="319">
        <f t="shared" si="131"/>
        <v>331130809</v>
      </c>
      <c r="X281" s="345">
        <f t="shared" si="125"/>
        <v>26.638472078479193</v>
      </c>
      <c r="Y281" s="346">
        <f t="shared" si="126"/>
        <v>-18.681020890879964</v>
      </c>
      <c r="AA281" s="345">
        <f t="shared" si="127"/>
        <v>41.680647602201411</v>
      </c>
      <c r="AB281" s="346">
        <f t="shared" si="128"/>
        <v>-95.100735745669269</v>
      </c>
      <c r="AD281">
        <f t="shared" si="132"/>
        <v>0</v>
      </c>
      <c r="AE281">
        <f t="shared" si="109"/>
        <v>0</v>
      </c>
    </row>
    <row r="282" spans="1:31" x14ac:dyDescent="0.25">
      <c r="A282" s="347">
        <v>18303</v>
      </c>
      <c r="B282" s="364">
        <f t="shared" si="129"/>
        <v>18.303000000000001</v>
      </c>
      <c r="C282" s="337">
        <f t="shared" si="110"/>
        <v>8.0000857199465365</v>
      </c>
      <c r="D282" s="338">
        <f t="shared" si="111"/>
        <v>1.4454698455745192</v>
      </c>
      <c r="E282" s="338">
        <f t="shared" si="112"/>
        <v>1.0011001598581324</v>
      </c>
      <c r="F282" s="339">
        <f t="shared" si="113"/>
        <v>4.6886078481784797E-2</v>
      </c>
      <c r="G282" s="338">
        <f t="shared" si="114"/>
        <v>1</v>
      </c>
      <c r="H282" s="339">
        <f t="shared" si="115"/>
        <v>0</v>
      </c>
      <c r="I282" s="337">
        <f t="shared" si="116"/>
        <v>24295.071971622816</v>
      </c>
      <c r="J282" s="340">
        <f t="shared" si="117"/>
        <v>1.5707551661841583</v>
      </c>
      <c r="K282" s="348">
        <f t="shared" si="133"/>
        <v>6.9038747514415535</v>
      </c>
      <c r="L282" s="349">
        <f t="shared" si="134"/>
        <v>1.4254387986637393</v>
      </c>
      <c r="M282" s="337">
        <f t="shared" si="118"/>
        <v>1.0165921842736236</v>
      </c>
      <c r="N282" s="340">
        <f t="shared" si="119"/>
        <v>0.18091970111548727</v>
      </c>
      <c r="O282" s="341">
        <f t="shared" si="120"/>
        <v>1.0069995942593488</v>
      </c>
      <c r="P282" s="342">
        <f t="shared" si="121"/>
        <v>0.26322615722739096</v>
      </c>
      <c r="Q282" s="343">
        <f t="shared" si="122"/>
        <v>4.6570305350210326</v>
      </c>
      <c r="R282" s="344">
        <f t="shared" si="123"/>
        <v>-113.90664500443292</v>
      </c>
      <c r="S282" s="346">
        <f t="shared" si="124"/>
        <v>66.093354995567083</v>
      </c>
      <c r="U282" s="319">
        <f t="shared" si="130"/>
        <v>1000000000</v>
      </c>
      <c r="V282" s="319">
        <f t="shared" si="131"/>
        <v>334999809</v>
      </c>
      <c r="X282" s="345">
        <f t="shared" si="125"/>
        <v>26.635783350608627</v>
      </c>
      <c r="Y282" s="346">
        <f t="shared" si="126"/>
        <v>-18.691949879136342</v>
      </c>
      <c r="AA282" s="345">
        <f t="shared" si="127"/>
        <v>41.630368473575032</v>
      </c>
      <c r="AB282" s="346">
        <f t="shared" si="128"/>
        <v>-95.214695125296558</v>
      </c>
      <c r="AD282">
        <f t="shared" si="132"/>
        <v>0</v>
      </c>
      <c r="AE282">
        <f t="shared" ref="AE282:AE345" si="135">IF(AD282&gt;0,S282,0)</f>
        <v>0</v>
      </c>
    </row>
    <row r="283" spans="1:31" x14ac:dyDescent="0.25">
      <c r="A283" s="347">
        <v>18409</v>
      </c>
      <c r="B283" s="364">
        <f t="shared" si="129"/>
        <v>18.408999999999999</v>
      </c>
      <c r="C283" s="337">
        <f t="shared" si="110"/>
        <v>8.0456955534341752</v>
      </c>
      <c r="D283" s="338">
        <f t="shared" si="111"/>
        <v>1.4461840135784572</v>
      </c>
      <c r="E283" s="338">
        <f t="shared" si="112"/>
        <v>1.0011129325864603</v>
      </c>
      <c r="F283" s="339">
        <f t="shared" si="113"/>
        <v>4.7157213304562344E-2</v>
      </c>
      <c r="G283" s="338">
        <f t="shared" si="114"/>
        <v>1</v>
      </c>
      <c r="H283" s="339">
        <f t="shared" si="115"/>
        <v>0</v>
      </c>
      <c r="I283" s="337">
        <f t="shared" si="116"/>
        <v>24435.7744589004</v>
      </c>
      <c r="J283" s="340">
        <f t="shared" si="117"/>
        <v>1.5707554031891413</v>
      </c>
      <c r="K283" s="348">
        <f t="shared" si="133"/>
        <v>6.9430213562777237</v>
      </c>
      <c r="L283" s="349">
        <f t="shared" si="134"/>
        <v>1.4262641347274965</v>
      </c>
      <c r="M283" s="337">
        <f t="shared" si="118"/>
        <v>1.0167833338774335</v>
      </c>
      <c r="N283" s="340">
        <f t="shared" si="119"/>
        <v>0.18194457233416414</v>
      </c>
      <c r="O283" s="341">
        <f t="shared" si="120"/>
        <v>1.0070850901514974</v>
      </c>
      <c r="P283" s="342">
        <f t="shared" si="121"/>
        <v>0.26476412746999284</v>
      </c>
      <c r="Q283" s="343">
        <f t="shared" si="122"/>
        <v>4.6043453809012655</v>
      </c>
      <c r="R283" s="344">
        <f t="shared" si="123"/>
        <v>-114.03159424158487</v>
      </c>
      <c r="S283" s="346">
        <f t="shared" si="124"/>
        <v>65.96840575841513</v>
      </c>
      <c r="U283" s="319">
        <f t="shared" si="130"/>
        <v>1000000000</v>
      </c>
      <c r="V283" s="319">
        <f t="shared" si="131"/>
        <v>338891281</v>
      </c>
      <c r="X283" s="345">
        <f t="shared" si="125"/>
        <v>26.633103882391286</v>
      </c>
      <c r="Y283" s="346">
        <f t="shared" si="126"/>
        <v>-18.703395980776062</v>
      </c>
      <c r="AA283" s="345">
        <f t="shared" si="127"/>
        <v>41.580362787672613</v>
      </c>
      <c r="AB283" s="346">
        <f t="shared" si="128"/>
        <v>-95.328198260808804</v>
      </c>
      <c r="AD283">
        <f t="shared" si="132"/>
        <v>0</v>
      </c>
      <c r="AE283">
        <f t="shared" si="135"/>
        <v>0</v>
      </c>
    </row>
    <row r="284" spans="1:31" x14ac:dyDescent="0.25">
      <c r="A284" s="347">
        <v>18515</v>
      </c>
      <c r="B284" s="364">
        <f t="shared" si="129"/>
        <v>18.515000000000001</v>
      </c>
      <c r="C284" s="337">
        <f t="shared" si="110"/>
        <v>8.0913094442514506</v>
      </c>
      <c r="D284" s="338">
        <f t="shared" si="111"/>
        <v>1.4468901298478225</v>
      </c>
      <c r="E284" s="338">
        <f t="shared" si="112"/>
        <v>1.0011257789088155</v>
      </c>
      <c r="F284" s="339">
        <f t="shared" si="113"/>
        <v>4.7428341188934055E-2</v>
      </c>
      <c r="G284" s="338">
        <f t="shared" si="114"/>
        <v>1</v>
      </c>
      <c r="H284" s="339">
        <f t="shared" si="115"/>
        <v>0</v>
      </c>
      <c r="I284" s="337">
        <f t="shared" si="116"/>
        <v>24576.476946179337</v>
      </c>
      <c r="J284" s="340">
        <f t="shared" si="117"/>
        <v>1.5707556374803759</v>
      </c>
      <c r="K284" s="348">
        <f t="shared" si="133"/>
        <v>6.9821726375239717</v>
      </c>
      <c r="L284" s="349">
        <f t="shared" si="134"/>
        <v>1.4270802154939581</v>
      </c>
      <c r="M284" s="337">
        <f t="shared" si="118"/>
        <v>1.0169755510686875</v>
      </c>
      <c r="N284" s="340">
        <f t="shared" si="119"/>
        <v>0.18296905720950019</v>
      </c>
      <c r="O284" s="341">
        <f t="shared" si="120"/>
        <v>1.0071711760217887</v>
      </c>
      <c r="P284" s="342">
        <f t="shared" si="121"/>
        <v>0.26630231823641481</v>
      </c>
      <c r="Q284" s="343">
        <f t="shared" si="122"/>
        <v>4.5519394799589801</v>
      </c>
      <c r="R284" s="344">
        <f t="shared" si="123"/>
        <v>-114.15660317909762</v>
      </c>
      <c r="S284" s="346">
        <f t="shared" si="124"/>
        <v>65.843396820902385</v>
      </c>
      <c r="U284" s="319">
        <f t="shared" si="130"/>
        <v>1000000000</v>
      </c>
      <c r="V284" s="319">
        <f t="shared" si="131"/>
        <v>342805225</v>
      </c>
      <c r="X284" s="345">
        <f t="shared" si="125"/>
        <v>26.630433278206688</v>
      </c>
      <c r="Y284" s="346">
        <f t="shared" si="126"/>
        <v>-18.715350080560327</v>
      </c>
      <c r="AA284" s="345">
        <f t="shared" si="127"/>
        <v>41.530627490914924</v>
      </c>
      <c r="AB284" s="346">
        <f t="shared" si="128"/>
        <v>-95.441253098537317</v>
      </c>
      <c r="AD284">
        <f t="shared" si="132"/>
        <v>0</v>
      </c>
      <c r="AE284">
        <f t="shared" si="135"/>
        <v>0</v>
      </c>
    </row>
    <row r="285" spans="1:31" x14ac:dyDescent="0.25">
      <c r="A285" s="347">
        <v>18621</v>
      </c>
      <c r="B285" s="364">
        <f t="shared" si="129"/>
        <v>18.620999999999999</v>
      </c>
      <c r="C285" s="337">
        <f t="shared" si="110"/>
        <v>8.1369273241647733</v>
      </c>
      <c r="D285" s="338">
        <f t="shared" si="111"/>
        <v>1.4475883290932849</v>
      </c>
      <c r="E285" s="338">
        <f t="shared" si="112"/>
        <v>1.0011386988223647</v>
      </c>
      <c r="F285" s="339">
        <f t="shared" si="113"/>
        <v>4.7699462095306414E-2</v>
      </c>
      <c r="G285" s="338">
        <f t="shared" si="114"/>
        <v>1</v>
      </c>
      <c r="H285" s="339">
        <f t="shared" si="115"/>
        <v>0</v>
      </c>
      <c r="I285" s="337">
        <f t="shared" si="116"/>
        <v>24717.179433459609</v>
      </c>
      <c r="J285" s="340">
        <f t="shared" si="117"/>
        <v>1.5707558691042056</v>
      </c>
      <c r="K285" s="348">
        <f t="shared" si="133"/>
        <v>7.0213285169526047</v>
      </c>
      <c r="L285" s="349">
        <f t="shared" si="134"/>
        <v>1.4278871947091254</v>
      </c>
      <c r="M285" s="337">
        <f t="shared" si="118"/>
        <v>1.0171688352421504</v>
      </c>
      <c r="N285" s="340">
        <f t="shared" si="119"/>
        <v>0.18399315381059697</v>
      </c>
      <c r="O285" s="341">
        <f t="shared" si="120"/>
        <v>1.0072578535081842</v>
      </c>
      <c r="P285" s="342">
        <f t="shared" si="121"/>
        <v>0.26784073040242529</v>
      </c>
      <c r="Q285" s="343">
        <f t="shared" si="122"/>
        <v>4.4998094430408786</v>
      </c>
      <c r="R285" s="344">
        <f t="shared" si="123"/>
        <v>-114.28167067079637</v>
      </c>
      <c r="S285" s="346">
        <f t="shared" si="124"/>
        <v>65.718329329203627</v>
      </c>
      <c r="U285" s="319">
        <f t="shared" si="130"/>
        <v>1000000000</v>
      </c>
      <c r="V285" s="319">
        <f t="shared" si="131"/>
        <v>346741641</v>
      </c>
      <c r="X285" s="345">
        <f t="shared" si="125"/>
        <v>26.627771153762797</v>
      </c>
      <c r="Y285" s="346">
        <f t="shared" si="126"/>
        <v>-18.72780326151511</v>
      </c>
      <c r="AA285" s="345">
        <f t="shared" si="127"/>
        <v>41.48115957844071</v>
      </c>
      <c r="AB285" s="346">
        <f t="shared" si="128"/>
        <v>-95.553867409281295</v>
      </c>
      <c r="AD285">
        <f t="shared" si="132"/>
        <v>0</v>
      </c>
      <c r="AE285">
        <f t="shared" si="135"/>
        <v>0</v>
      </c>
    </row>
    <row r="286" spans="1:31" x14ac:dyDescent="0.25">
      <c r="A286" s="347">
        <v>18729.5</v>
      </c>
      <c r="B286" s="364">
        <f t="shared" si="129"/>
        <v>18.729500000000002</v>
      </c>
      <c r="C286" s="337">
        <f t="shared" si="110"/>
        <v>8.1836251591706386</v>
      </c>
      <c r="D286" s="338">
        <f t="shared" si="111"/>
        <v>1.4482949334823729</v>
      </c>
      <c r="E286" s="338">
        <f t="shared" si="112"/>
        <v>1.0011519996630063</v>
      </c>
      <c r="F286" s="339">
        <f t="shared" si="113"/>
        <v>4.7976970094553643E-2</v>
      </c>
      <c r="G286" s="338">
        <f t="shared" si="114"/>
        <v>1</v>
      </c>
      <c r="H286" s="339">
        <f t="shared" si="115"/>
        <v>0</v>
      </c>
      <c r="I286" s="337">
        <f t="shared" si="116"/>
        <v>24861.20037562992</v>
      </c>
      <c r="J286" s="340">
        <f t="shared" si="117"/>
        <v>1.5707561034756217</v>
      </c>
      <c r="K286" s="348">
        <f t="shared" si="133"/>
        <v>7.0614125663947842</v>
      </c>
      <c r="L286" s="349">
        <f t="shared" si="134"/>
        <v>1.4287039373306665</v>
      </c>
      <c r="M286" s="337">
        <f t="shared" si="118"/>
        <v>1.0173677823957992</v>
      </c>
      <c r="N286" s="340">
        <f t="shared" si="119"/>
        <v>0.18504099950456337</v>
      </c>
      <c r="O286" s="341">
        <f t="shared" si="120"/>
        <v>1.0073471897041821</v>
      </c>
      <c r="P286" s="342">
        <f t="shared" si="121"/>
        <v>0.26941565607500362</v>
      </c>
      <c r="Q286" s="343">
        <f t="shared" si="122"/>
        <v>4.4467321481984863</v>
      </c>
      <c r="R286" s="344">
        <f t="shared" si="123"/>
        <v>-114.40974733634593</v>
      </c>
      <c r="S286" s="346">
        <f t="shared" si="124"/>
        <v>65.59025266365407</v>
      </c>
      <c r="U286" s="319">
        <f t="shared" si="130"/>
        <v>1000000000</v>
      </c>
      <c r="V286" s="319">
        <f t="shared" si="131"/>
        <v>350794170.25</v>
      </c>
      <c r="X286" s="345">
        <f t="shared" si="125"/>
        <v>26.625054635832509</v>
      </c>
      <c r="Y286" s="346">
        <f t="shared" si="126"/>
        <v>-18.74105792070571</v>
      </c>
      <c r="AA286" s="345">
        <f t="shared" si="127"/>
        <v>41.430798801528603</v>
      </c>
      <c r="AB286" s="346">
        <f t="shared" si="128"/>
        <v>-95.668689415640216</v>
      </c>
      <c r="AD286">
        <f t="shared" si="132"/>
        <v>0</v>
      </c>
      <c r="AE286">
        <f t="shared" si="135"/>
        <v>0</v>
      </c>
    </row>
    <row r="287" spans="1:31" x14ac:dyDescent="0.25">
      <c r="A287" s="347">
        <v>18838</v>
      </c>
      <c r="B287" s="364">
        <f t="shared" si="129"/>
        <v>18.838000000000001</v>
      </c>
      <c r="C287" s="337">
        <f t="shared" si="110"/>
        <v>8.23032703380869</v>
      </c>
      <c r="D287" s="338">
        <f t="shared" si="111"/>
        <v>1.4489935191554002</v>
      </c>
      <c r="E287" s="338">
        <f t="shared" si="112"/>
        <v>1.0011653776010017</v>
      </c>
      <c r="F287" s="339">
        <f t="shared" si="113"/>
        <v>4.8254470698844122E-2</v>
      </c>
      <c r="G287" s="338">
        <f t="shared" si="114"/>
        <v>1</v>
      </c>
      <c r="H287" s="339">
        <f t="shared" si="115"/>
        <v>0</v>
      </c>
      <c r="I287" s="337">
        <f t="shared" si="116"/>
        <v>25005.221317801585</v>
      </c>
      <c r="J287" s="340">
        <f t="shared" si="117"/>
        <v>1.57075633514725</v>
      </c>
      <c r="K287" s="348">
        <f t="shared" si="133"/>
        <v>7.101501273105371</v>
      </c>
      <c r="L287" s="349">
        <f t="shared" si="134"/>
        <v>1.4295114592932463</v>
      </c>
      <c r="M287" s="337">
        <f t="shared" si="118"/>
        <v>1.0175678461620248</v>
      </c>
      <c r="N287" s="340">
        <f t="shared" si="119"/>
        <v>0.18608843431484398</v>
      </c>
      <c r="O287" s="341">
        <f t="shared" si="120"/>
        <v>1.0074371492523384</v>
      </c>
      <c r="P287" s="342">
        <f t="shared" si="121"/>
        <v>0.27099081554886212</v>
      </c>
      <c r="Q287" s="343">
        <f t="shared" si="122"/>
        <v>4.3939368844891291</v>
      </c>
      <c r="R287" s="344">
        <f t="shared" si="123"/>
        <v>-114.5378829910898</v>
      </c>
      <c r="S287" s="346">
        <f t="shared" si="124"/>
        <v>65.462117008910198</v>
      </c>
      <c r="U287" s="319">
        <f t="shared" si="130"/>
        <v>1000000000</v>
      </c>
      <c r="V287" s="319">
        <f t="shared" si="131"/>
        <v>354870244</v>
      </c>
      <c r="X287" s="345">
        <f t="shared" si="125"/>
        <v>26.622346222349876</v>
      </c>
      <c r="Y287" s="346">
        <f t="shared" si="126"/>
        <v>-18.754817188152181</v>
      </c>
      <c r="AA287" s="345">
        <f t="shared" si="127"/>
        <v>41.380711951301876</v>
      </c>
      <c r="AB287" s="346">
        <f t="shared" si="128"/>
        <v>-95.783065802937642</v>
      </c>
      <c r="AD287">
        <f t="shared" si="132"/>
        <v>0</v>
      </c>
      <c r="AE287">
        <f t="shared" si="135"/>
        <v>0</v>
      </c>
    </row>
    <row r="288" spans="1:31" x14ac:dyDescent="0.25">
      <c r="A288" s="347">
        <v>18946.5</v>
      </c>
      <c r="B288" s="364">
        <f t="shared" si="129"/>
        <v>18.9465</v>
      </c>
      <c r="C288" s="337">
        <f t="shared" si="110"/>
        <v>8.2770328796999273</v>
      </c>
      <c r="D288" s="338">
        <f t="shared" si="111"/>
        <v>1.4496842211693075</v>
      </c>
      <c r="E288" s="338">
        <f t="shared" si="112"/>
        <v>1.0011788326332605</v>
      </c>
      <c r="F288" s="339">
        <f t="shared" si="113"/>
        <v>4.853196386573639E-2</v>
      </c>
      <c r="G288" s="338">
        <f t="shared" si="114"/>
        <v>1</v>
      </c>
      <c r="H288" s="339">
        <f t="shared" si="115"/>
        <v>0</v>
      </c>
      <c r="I288" s="337">
        <f t="shared" si="116"/>
        <v>25149.242259974577</v>
      </c>
      <c r="J288" s="340">
        <f t="shared" si="117"/>
        <v>1.5707565641654733</v>
      </c>
      <c r="K288" s="348">
        <f t="shared" si="133"/>
        <v>7.141594558654881</v>
      </c>
      <c r="L288" s="349">
        <f t="shared" si="134"/>
        <v>1.4303099148305258</v>
      </c>
      <c r="M288" s="337">
        <f t="shared" si="118"/>
        <v>1.0177690258823464</v>
      </c>
      <c r="N288" s="340">
        <f t="shared" si="119"/>
        <v>0.1871354561861</v>
      </c>
      <c r="O288" s="341">
        <f t="shared" si="120"/>
        <v>1.0075277339374342</v>
      </c>
      <c r="P288" s="342">
        <f t="shared" si="121"/>
        <v>0.27256620974120938</v>
      </c>
      <c r="Q288" s="343">
        <f t="shared" si="122"/>
        <v>4.341420203761527</v>
      </c>
      <c r="R288" s="344">
        <f t="shared" si="123"/>
        <v>-114.66607647616219</v>
      </c>
      <c r="S288" s="346">
        <f t="shared" si="124"/>
        <v>65.333923523837811</v>
      </c>
      <c r="U288" s="319">
        <f t="shared" si="130"/>
        <v>1000000000</v>
      </c>
      <c r="V288" s="319">
        <f t="shared" si="131"/>
        <v>358969862.25</v>
      </c>
      <c r="X288" s="345">
        <f t="shared" si="125"/>
        <v>26.619645535671779</v>
      </c>
      <c r="Y288" s="346">
        <f t="shared" si="126"/>
        <v>-18.769072111811994</v>
      </c>
      <c r="AA288" s="345">
        <f t="shared" si="127"/>
        <v>41.33089595725238</v>
      </c>
      <c r="AB288" s="346">
        <f t="shared" si="128"/>
        <v>-95.897004364350181</v>
      </c>
      <c r="AD288">
        <f t="shared" si="132"/>
        <v>0</v>
      </c>
      <c r="AE288">
        <f t="shared" si="135"/>
        <v>0</v>
      </c>
    </row>
    <row r="289" spans="1:31" x14ac:dyDescent="0.25">
      <c r="A289" s="347">
        <v>19055</v>
      </c>
      <c r="B289" s="364">
        <f t="shared" si="129"/>
        <v>19.055</v>
      </c>
      <c r="C289" s="337">
        <f t="shared" si="110"/>
        <v>8.3237426299943529</v>
      </c>
      <c r="D289" s="338">
        <f t="shared" si="111"/>
        <v>1.4503671715799549</v>
      </c>
      <c r="E289" s="338">
        <f t="shared" si="112"/>
        <v>1.0011923647566741</v>
      </c>
      <c r="F289" s="339">
        <f t="shared" si="113"/>
        <v>4.8809449552795869E-2</v>
      </c>
      <c r="G289" s="338">
        <f t="shared" si="114"/>
        <v>1</v>
      </c>
      <c r="H289" s="339">
        <f t="shared" si="115"/>
        <v>0</v>
      </c>
      <c r="I289" s="337">
        <f t="shared" si="116"/>
        <v>25293.263202148868</v>
      </c>
      <c r="J289" s="340">
        <f t="shared" si="117"/>
        <v>1.5707567905756168</v>
      </c>
      <c r="K289" s="348">
        <f t="shared" si="133"/>
        <v>7.1816923463563631</v>
      </c>
      <c r="L289" s="349">
        <f t="shared" si="134"/>
        <v>1.4310994547784472</v>
      </c>
      <c r="M289" s="337">
        <f t="shared" si="118"/>
        <v>1.0179713208951329</v>
      </c>
      <c r="N289" s="340">
        <f t="shared" si="119"/>
        <v>0.18818206306823435</v>
      </c>
      <c r="O289" s="341">
        <f t="shared" si="120"/>
        <v>1.0076189455537203</v>
      </c>
      <c r="P289" s="342">
        <f t="shared" si="121"/>
        <v>0.2741418395617557</v>
      </c>
      <c r="Q289" s="343">
        <f t="shared" si="122"/>
        <v>4.2891787178659495</v>
      </c>
      <c r="R289" s="344">
        <f t="shared" si="123"/>
        <v>-114.79432665523244</v>
      </c>
      <c r="S289" s="346">
        <f t="shared" si="124"/>
        <v>65.205673344767561</v>
      </c>
      <c r="U289" s="319">
        <f t="shared" si="130"/>
        <v>1000000000</v>
      </c>
      <c r="V289" s="319">
        <f t="shared" si="131"/>
        <v>363093025</v>
      </c>
      <c r="X289" s="345">
        <f t="shared" si="125"/>
        <v>26.616952209026042</v>
      </c>
      <c r="Y289" s="346">
        <f t="shared" si="126"/>
        <v>-18.783813934557262</v>
      </c>
      <c r="AA289" s="345">
        <f t="shared" si="127"/>
        <v>41.281347798002543</v>
      </c>
      <c r="AB289" s="346">
        <f t="shared" si="128"/>
        <v>-96.010512720675166</v>
      </c>
      <c r="AD289">
        <f t="shared" si="132"/>
        <v>0</v>
      </c>
      <c r="AE289">
        <f t="shared" si="135"/>
        <v>0</v>
      </c>
    </row>
    <row r="290" spans="1:31" x14ac:dyDescent="0.25">
      <c r="A290" s="347">
        <v>19165.75</v>
      </c>
      <c r="B290" s="364">
        <f t="shared" si="129"/>
        <v>19.165749999999999</v>
      </c>
      <c r="C290" s="337">
        <f t="shared" si="110"/>
        <v>8.3714249744878355</v>
      </c>
      <c r="D290" s="338">
        <f t="shared" si="111"/>
        <v>1.451056424252644</v>
      </c>
      <c r="E290" s="338">
        <f t="shared" si="112"/>
        <v>1.0012062570026403</v>
      </c>
      <c r="F290" s="339">
        <f t="shared" si="113"/>
        <v>4.9092681793170431E-2</v>
      </c>
      <c r="G290" s="338">
        <f t="shared" si="114"/>
        <v>1</v>
      </c>
      <c r="H290" s="339">
        <f t="shared" si="115"/>
        <v>0</v>
      </c>
      <c r="I290" s="337">
        <f t="shared" si="116"/>
        <v>25440.270753724417</v>
      </c>
      <c r="J290" s="340">
        <f t="shared" si="117"/>
        <v>1.5707570190371318</v>
      </c>
      <c r="K290" s="348">
        <f t="shared" si="133"/>
        <v>7.2226262202980474</v>
      </c>
      <c r="L290" s="349">
        <f t="shared" si="134"/>
        <v>1.4318963260257611</v>
      </c>
      <c r="M290" s="337">
        <f t="shared" si="118"/>
        <v>1.0181789604999887</v>
      </c>
      <c r="N290" s="340">
        <f t="shared" si="119"/>
        <v>0.18924994366929082</v>
      </c>
      <c r="O290" s="341">
        <f t="shared" si="120"/>
        <v>1.007712697095553</v>
      </c>
      <c r="P290" s="342">
        <f t="shared" si="121"/>
        <v>0.27575038767855087</v>
      </c>
      <c r="Q290" s="343">
        <f t="shared" si="122"/>
        <v>4.236134240148127</v>
      </c>
      <c r="R290" s="344">
        <f t="shared" si="123"/>
        <v>-114.92529371284451</v>
      </c>
      <c r="S290" s="346">
        <f t="shared" si="124"/>
        <v>65.074706287155493</v>
      </c>
      <c r="U290" s="319">
        <f t="shared" si="130"/>
        <v>1000000000</v>
      </c>
      <c r="V290" s="319">
        <f t="shared" si="131"/>
        <v>367325973.0625</v>
      </c>
      <c r="X290" s="345">
        <f t="shared" si="125"/>
        <v>26.614210250637544</v>
      </c>
      <c r="Y290" s="346">
        <f t="shared" si="126"/>
        <v>-18.799354716633644</v>
      </c>
      <c r="AA290" s="345">
        <f t="shared" si="127"/>
        <v>41.231045278673207</v>
      </c>
      <c r="AB290" s="346">
        <f t="shared" si="128"/>
        <v>-96.125938996210849</v>
      </c>
      <c r="AD290">
        <f t="shared" si="132"/>
        <v>0</v>
      </c>
      <c r="AE290">
        <f t="shared" si="135"/>
        <v>0</v>
      </c>
    </row>
    <row r="291" spans="1:31" x14ac:dyDescent="0.25">
      <c r="A291" s="347">
        <v>19276.5</v>
      </c>
      <c r="B291" s="364">
        <f t="shared" si="129"/>
        <v>19.276499999999999</v>
      </c>
      <c r="C291" s="337">
        <f t="shared" si="110"/>
        <v>8.4191112509385597</v>
      </c>
      <c r="D291" s="338">
        <f t="shared" si="111"/>
        <v>1.4517378693212821</v>
      </c>
      <c r="E291" s="338">
        <f t="shared" si="112"/>
        <v>1.0012202295636428</v>
      </c>
      <c r="F291" s="339">
        <f t="shared" si="113"/>
        <v>4.9375906150951658E-2</v>
      </c>
      <c r="G291" s="338">
        <f t="shared" si="114"/>
        <v>1</v>
      </c>
      <c r="H291" s="339">
        <f t="shared" si="115"/>
        <v>0</v>
      </c>
      <c r="I291" s="337">
        <f t="shared" si="116"/>
        <v>25587.278305301272</v>
      </c>
      <c r="J291" s="340">
        <f t="shared" si="117"/>
        <v>1.5707572448734697</v>
      </c>
      <c r="K291" s="348">
        <f t="shared" si="133"/>
        <v>7.2635646289397018</v>
      </c>
      <c r="L291" s="349">
        <f t="shared" si="134"/>
        <v>1.4326842152257124</v>
      </c>
      <c r="M291" s="337">
        <f t="shared" si="118"/>
        <v>1.0183877607302985</v>
      </c>
      <c r="N291" s="340">
        <f t="shared" si="119"/>
        <v>0.19031738759169939</v>
      </c>
      <c r="O291" s="341">
        <f t="shared" si="120"/>
        <v>1.0078071056476603</v>
      </c>
      <c r="P291" s="342">
        <f t="shared" si="121"/>
        <v>0.27735918318874681</v>
      </c>
      <c r="Q291" s="343">
        <f t="shared" si="122"/>
        <v>4.1833695408815892</v>
      </c>
      <c r="R291" s="344">
        <f t="shared" si="123"/>
        <v>-115.0563175170836</v>
      </c>
      <c r="S291" s="346">
        <f t="shared" si="124"/>
        <v>64.943682482916401</v>
      </c>
      <c r="U291" s="319">
        <f t="shared" si="130"/>
        <v>1000000000</v>
      </c>
      <c r="V291" s="319">
        <f t="shared" si="131"/>
        <v>371583452.25</v>
      </c>
      <c r="X291" s="345">
        <f t="shared" si="125"/>
        <v>26.611475221585025</v>
      </c>
      <c r="Y291" s="346">
        <f t="shared" si="126"/>
        <v>-18.81538496186073</v>
      </c>
      <c r="AA291" s="345">
        <f t="shared" si="127"/>
        <v>41.181015608459191</v>
      </c>
      <c r="AB291" s="346">
        <f t="shared" si="128"/>
        <v>-96.240932555222869</v>
      </c>
      <c r="AD291">
        <f t="shared" si="132"/>
        <v>0</v>
      </c>
      <c r="AE291">
        <f t="shared" si="135"/>
        <v>0</v>
      </c>
    </row>
    <row r="292" spans="1:31" x14ac:dyDescent="0.25">
      <c r="A292" s="347">
        <v>19387.25</v>
      </c>
      <c r="B292" s="364">
        <f t="shared" si="129"/>
        <v>19.387250000000002</v>
      </c>
      <c r="C292" s="337">
        <f t="shared" si="110"/>
        <v>8.4668013929104315</v>
      </c>
      <c r="D292" s="338">
        <f t="shared" si="111"/>
        <v>1.4524116380790117</v>
      </c>
      <c r="E292" s="338">
        <f t="shared" si="112"/>
        <v>1.0012342824363183</v>
      </c>
      <c r="F292" s="339">
        <f t="shared" si="113"/>
        <v>4.9659122581032229E-2</v>
      </c>
      <c r="G292" s="338">
        <f t="shared" si="114"/>
        <v>1</v>
      </c>
      <c r="H292" s="339">
        <f t="shared" si="115"/>
        <v>0</v>
      </c>
      <c r="I292" s="337">
        <f t="shared" si="116"/>
        <v>25734.285856879418</v>
      </c>
      <c r="J292" s="340">
        <f t="shared" si="117"/>
        <v>1.5707574681296197</v>
      </c>
      <c r="K292" s="348">
        <f t="shared" si="133"/>
        <v>7.3045074960365968</v>
      </c>
      <c r="L292" s="349">
        <f t="shared" si="134"/>
        <v>1.4334632724289831</v>
      </c>
      <c r="M292" s="337">
        <f t="shared" si="118"/>
        <v>1.01859772087232</v>
      </c>
      <c r="N292" s="340">
        <f t="shared" si="119"/>
        <v>0.19138439267218349</v>
      </c>
      <c r="O292" s="341">
        <f t="shared" si="120"/>
        <v>1.0079021731486728</v>
      </c>
      <c r="P292" s="342">
        <f t="shared" si="121"/>
        <v>0.27896822703539675</v>
      </c>
      <c r="Q292" s="343">
        <f t="shared" si="122"/>
        <v>4.1308812012948817</v>
      </c>
      <c r="R292" s="344">
        <f t="shared" si="123"/>
        <v>-115.18739692847043</v>
      </c>
      <c r="S292" s="346">
        <f t="shared" si="124"/>
        <v>64.812603071529566</v>
      </c>
      <c r="U292" s="319">
        <f t="shared" si="130"/>
        <v>1000000000</v>
      </c>
      <c r="V292" s="319">
        <f t="shared" si="131"/>
        <v>375865462.5625</v>
      </c>
      <c r="X292" s="345">
        <f t="shared" si="125"/>
        <v>26.608746764574182</v>
      </c>
      <c r="Y292" s="346">
        <f t="shared" si="126"/>
        <v>-18.831895951598817</v>
      </c>
      <c r="AA292" s="345">
        <f t="shared" si="127"/>
        <v>41.131255725883321</v>
      </c>
      <c r="AB292" s="346">
        <f t="shared" si="128"/>
        <v>-96.35550097687161</v>
      </c>
      <c r="AD292">
        <f t="shared" si="132"/>
        <v>0</v>
      </c>
      <c r="AE292">
        <f t="shared" si="135"/>
        <v>0</v>
      </c>
    </row>
    <row r="293" spans="1:31" x14ac:dyDescent="0.25">
      <c r="A293" s="347">
        <v>19498</v>
      </c>
      <c r="B293" s="364">
        <f t="shared" si="129"/>
        <v>19.498000000000001</v>
      </c>
      <c r="C293" s="337">
        <f t="shared" si="110"/>
        <v>8.51449533545048</v>
      </c>
      <c r="D293" s="338">
        <f t="shared" si="111"/>
        <v>1.4530778589054598</v>
      </c>
      <c r="E293" s="338">
        <f t="shared" si="112"/>
        <v>1.0012484156172858</v>
      </c>
      <c r="F293" s="339">
        <f t="shared" si="113"/>
        <v>4.9942331038312471E-2</v>
      </c>
      <c r="G293" s="338">
        <f t="shared" si="114"/>
        <v>1</v>
      </c>
      <c r="H293" s="339">
        <f t="shared" si="115"/>
        <v>0</v>
      </c>
      <c r="I293" s="337">
        <f t="shared" si="116"/>
        <v>25881.293408458838</v>
      </c>
      <c r="J293" s="340">
        <f t="shared" si="117"/>
        <v>1.5707576888495487</v>
      </c>
      <c r="K293" s="348">
        <f t="shared" si="133"/>
        <v>7.3454547470357152</v>
      </c>
      <c r="L293" s="349">
        <f t="shared" si="134"/>
        <v>1.4342336443838564</v>
      </c>
      <c r="M293" s="337">
        <f t="shared" si="118"/>
        <v>1.0188088402089353</v>
      </c>
      <c r="N293" s="340">
        <f t="shared" si="119"/>
        <v>0.19245095675324195</v>
      </c>
      <c r="O293" s="341">
        <f t="shared" si="120"/>
        <v>1.0079979015474347</v>
      </c>
      <c r="P293" s="342">
        <f t="shared" si="121"/>
        <v>0.28057752015323761</v>
      </c>
      <c r="Q293" s="343">
        <f t="shared" si="122"/>
        <v>4.0786658619183944</v>
      </c>
      <c r="R293" s="344">
        <f t="shared" si="123"/>
        <v>-115.31853082960242</v>
      </c>
      <c r="S293" s="346">
        <f t="shared" si="124"/>
        <v>64.681469170397577</v>
      </c>
      <c r="U293" s="319">
        <f t="shared" si="130"/>
        <v>1000000000</v>
      </c>
      <c r="V293" s="319">
        <f t="shared" si="131"/>
        <v>380172004</v>
      </c>
      <c r="X293" s="345">
        <f t="shared" si="125"/>
        <v>26.60602453262775</v>
      </c>
      <c r="Y293" s="346">
        <f t="shared" si="126"/>
        <v>-18.848879156694032</v>
      </c>
      <c r="AA293" s="345">
        <f t="shared" si="127"/>
        <v>41.081762618453283</v>
      </c>
      <c r="AB293" s="346">
        <f t="shared" si="128"/>
        <v>-96.469651672908412</v>
      </c>
      <c r="AD293">
        <f t="shared" si="132"/>
        <v>0</v>
      </c>
      <c r="AE293">
        <f t="shared" si="135"/>
        <v>0</v>
      </c>
    </row>
    <row r="294" spans="1:31" x14ac:dyDescent="0.25">
      <c r="A294" s="347">
        <v>19611.75</v>
      </c>
      <c r="B294" s="364">
        <f t="shared" si="129"/>
        <v>19.611750000000001</v>
      </c>
      <c r="C294" s="337">
        <f t="shared" si="110"/>
        <v>8.563485102914381</v>
      </c>
      <c r="D294" s="338">
        <f t="shared" si="111"/>
        <v>1.4537544008110097</v>
      </c>
      <c r="E294" s="338">
        <f t="shared" si="112"/>
        <v>1.0012630152356439</v>
      </c>
      <c r="F294" s="339">
        <f t="shared" si="113"/>
        <v>5.0233202709471056E-2</v>
      </c>
      <c r="G294" s="338">
        <f t="shared" si="114"/>
        <v>1</v>
      </c>
      <c r="H294" s="339">
        <f t="shared" si="115"/>
        <v>0</v>
      </c>
      <c r="I294" s="337">
        <f t="shared" si="116"/>
        <v>26032.283105906259</v>
      </c>
      <c r="J294" s="340">
        <f t="shared" si="117"/>
        <v>1.5707579129532763</v>
      </c>
      <c r="K294" s="348">
        <f t="shared" si="133"/>
        <v>7.3875156657156102</v>
      </c>
      <c r="L294" s="349">
        <f t="shared" si="134"/>
        <v>1.4350159936150082</v>
      </c>
      <c r="M294" s="337">
        <f t="shared" si="118"/>
        <v>1.0190268843172878</v>
      </c>
      <c r="N294" s="340">
        <f t="shared" si="119"/>
        <v>0.19354595062061097</v>
      </c>
      <c r="O294" s="341">
        <f t="shared" si="120"/>
        <v>1.0080969130922146</v>
      </c>
      <c r="P294" s="342">
        <f t="shared" si="121"/>
        <v>0.28223066632522648</v>
      </c>
      <c r="Q294" s="343">
        <f t="shared" si="122"/>
        <v>4.0253168369465078</v>
      </c>
      <c r="R294" s="344">
        <f t="shared" si="123"/>
        <v>-115.45327246338445</v>
      </c>
      <c r="S294" s="346">
        <f t="shared" si="124"/>
        <v>64.546727536615549</v>
      </c>
      <c r="U294" s="319">
        <f t="shared" si="130"/>
        <v>1000000000</v>
      </c>
      <c r="V294" s="319">
        <f t="shared" si="131"/>
        <v>384620738.0625</v>
      </c>
      <c r="X294" s="345">
        <f t="shared" si="125"/>
        <v>26.603234687134304</v>
      </c>
      <c r="Y294" s="346">
        <f t="shared" si="126"/>
        <v>-18.866805215054924</v>
      </c>
      <c r="AA294" s="345">
        <f t="shared" si="127"/>
        <v>41.031203438974835</v>
      </c>
      <c r="AB294" s="346">
        <f t="shared" si="128"/>
        <v>-96.586467248329512</v>
      </c>
      <c r="AD294">
        <f t="shared" si="132"/>
        <v>0</v>
      </c>
      <c r="AE294">
        <f t="shared" si="135"/>
        <v>0</v>
      </c>
    </row>
    <row r="295" spans="1:31" x14ac:dyDescent="0.25">
      <c r="A295" s="347">
        <v>19725.5</v>
      </c>
      <c r="B295" s="364">
        <f t="shared" si="129"/>
        <v>19.7255</v>
      </c>
      <c r="C295" s="337">
        <f t="shared" si="110"/>
        <v>8.6124787453700247</v>
      </c>
      <c r="D295" s="338">
        <f t="shared" si="111"/>
        <v>1.4544232457579067</v>
      </c>
      <c r="E295" s="338">
        <f t="shared" si="112"/>
        <v>1.0012776995647155</v>
      </c>
      <c r="F295" s="339">
        <f t="shared" si="113"/>
        <v>5.0524065873628073E-2</v>
      </c>
      <c r="G295" s="338">
        <f t="shared" si="114"/>
        <v>1</v>
      </c>
      <c r="H295" s="339">
        <f t="shared" si="115"/>
        <v>0</v>
      </c>
      <c r="I295" s="337">
        <f t="shared" si="116"/>
        <v>26183.272803354976</v>
      </c>
      <c r="J295" s="340">
        <f t="shared" si="117"/>
        <v>1.5707581344723496</v>
      </c>
      <c r="K295" s="348">
        <f t="shared" si="133"/>
        <v>7.4295810548760173</v>
      </c>
      <c r="L295" s="349">
        <f t="shared" si="134"/>
        <v>1.4357894841817249</v>
      </c>
      <c r="M295" s="337">
        <f t="shared" si="118"/>
        <v>1.019246149727048</v>
      </c>
      <c r="N295" s="340">
        <f t="shared" si="119"/>
        <v>0.19464047467857051</v>
      </c>
      <c r="O295" s="341">
        <f t="shared" si="120"/>
        <v>1.0081966260249497</v>
      </c>
      <c r="P295" s="342">
        <f t="shared" si="121"/>
        <v>0.28388407742753219</v>
      </c>
      <c r="Q295" s="343">
        <f t="shared" si="122"/>
        <v>3.9722488050048428</v>
      </c>
      <c r="R295" s="344">
        <f t="shared" si="123"/>
        <v>-115.58806925862302</v>
      </c>
      <c r="S295" s="346">
        <f t="shared" si="124"/>
        <v>64.411930741376977</v>
      </c>
      <c r="U295" s="319">
        <f t="shared" si="130"/>
        <v>1000000000</v>
      </c>
      <c r="V295" s="319">
        <f t="shared" si="131"/>
        <v>389095350.25</v>
      </c>
      <c r="X295" s="345">
        <f t="shared" si="125"/>
        <v>26.600450698523357</v>
      </c>
      <c r="Y295" s="346">
        <f t="shared" si="126"/>
        <v>-18.885211771314509</v>
      </c>
      <c r="AA295" s="345">
        <f t="shared" si="127"/>
        <v>40.980919395644115</v>
      </c>
      <c r="AB295" s="346">
        <f t="shared" si="128"/>
        <v>-96.70285748730852</v>
      </c>
      <c r="AD295">
        <f t="shared" si="132"/>
        <v>0</v>
      </c>
      <c r="AE295">
        <f t="shared" si="135"/>
        <v>0</v>
      </c>
    </row>
    <row r="296" spans="1:31" x14ac:dyDescent="0.25">
      <c r="A296" s="347">
        <v>19839.25</v>
      </c>
      <c r="B296" s="364">
        <f t="shared" si="129"/>
        <v>19.83925</v>
      </c>
      <c r="C296" s="337">
        <f t="shared" si="110"/>
        <v>8.6614761970607308</v>
      </c>
      <c r="D296" s="338">
        <f t="shared" si="111"/>
        <v>1.4550845237662962</v>
      </c>
      <c r="E296" s="338">
        <f t="shared" si="112"/>
        <v>1.0012924686007738</v>
      </c>
      <c r="F296" s="339">
        <f t="shared" si="113"/>
        <v>5.0814920481944019E-2</v>
      </c>
      <c r="G296" s="338">
        <f t="shared" si="114"/>
        <v>1</v>
      </c>
      <c r="H296" s="339">
        <f t="shared" si="115"/>
        <v>0</v>
      </c>
      <c r="I296" s="337">
        <f t="shared" si="116"/>
        <v>26334.262500804958</v>
      </c>
      <c r="J296" s="340">
        <f t="shared" si="117"/>
        <v>1.5707583534512266</v>
      </c>
      <c r="K296" s="348">
        <f t="shared" si="133"/>
        <v>7.471650839010529</v>
      </c>
      <c r="L296" s="349">
        <f t="shared" si="134"/>
        <v>1.4365542647890184</v>
      </c>
      <c r="M296" s="337">
        <f t="shared" si="118"/>
        <v>1.0194666356501878</v>
      </c>
      <c r="N296" s="340">
        <f t="shared" si="119"/>
        <v>0.19573452660866569</v>
      </c>
      <c r="O296" s="341">
        <f t="shared" si="120"/>
        <v>1.0082970424907072</v>
      </c>
      <c r="P296" s="342">
        <f t="shared" si="121"/>
        <v>0.2855377544452341</v>
      </c>
      <c r="Q296" s="343">
        <f t="shared" si="122"/>
        <v>3.9194583125824503</v>
      </c>
      <c r="R296" s="344">
        <f t="shared" si="123"/>
        <v>-115.72292007370299</v>
      </c>
      <c r="S296" s="346">
        <f t="shared" si="124"/>
        <v>64.277079926297006</v>
      </c>
      <c r="U296" s="319">
        <f t="shared" si="130"/>
        <v>1000000000</v>
      </c>
      <c r="V296" s="319">
        <f t="shared" si="131"/>
        <v>393595840.5625</v>
      </c>
      <c r="X296" s="345">
        <f t="shared" si="125"/>
        <v>26.597672222634468</v>
      </c>
      <c r="Y296" s="346">
        <f t="shared" si="126"/>
        <v>-18.904090175012758</v>
      </c>
      <c r="AA296" s="345">
        <f t="shared" si="127"/>
        <v>40.930907379110614</v>
      </c>
      <c r="AB296" s="346">
        <f t="shared" si="128"/>
        <v>-96.818829898690254</v>
      </c>
      <c r="AD296">
        <f t="shared" si="132"/>
        <v>0</v>
      </c>
      <c r="AE296">
        <f t="shared" si="135"/>
        <v>0</v>
      </c>
    </row>
    <row r="297" spans="1:31" x14ac:dyDescent="0.25">
      <c r="A297" s="347">
        <v>19953</v>
      </c>
      <c r="B297" s="364">
        <f t="shared" si="129"/>
        <v>19.952999999999999</v>
      </c>
      <c r="C297" s="337">
        <f t="shared" si="110"/>
        <v>8.7104773937043269</v>
      </c>
      <c r="D297" s="338">
        <f t="shared" si="111"/>
        <v>1.4557383619573996</v>
      </c>
      <c r="E297" s="338">
        <f t="shared" si="112"/>
        <v>1.0013073223400704</v>
      </c>
      <c r="F297" s="339">
        <f t="shared" si="113"/>
        <v>5.1105766485588081E-2</v>
      </c>
      <c r="G297" s="338">
        <f t="shared" si="114"/>
        <v>1</v>
      </c>
      <c r="H297" s="339">
        <f t="shared" si="115"/>
        <v>0</v>
      </c>
      <c r="I297" s="337">
        <f t="shared" si="116"/>
        <v>26485.252198256196</v>
      </c>
      <c r="J297" s="340">
        <f t="shared" si="117"/>
        <v>1.5707585699333515</v>
      </c>
      <c r="K297" s="348">
        <f t="shared" si="133"/>
        <v>7.5137249442959977</v>
      </c>
      <c r="L297" s="349">
        <f t="shared" si="134"/>
        <v>1.4373104808524053</v>
      </c>
      <c r="M297" s="337">
        <f t="shared" si="118"/>
        <v>1.0196883412949778</v>
      </c>
      <c r="N297" s="340">
        <f t="shared" si="119"/>
        <v>0.19682810409896229</v>
      </c>
      <c r="O297" s="341">
        <f t="shared" si="120"/>
        <v>1.008398164645838</v>
      </c>
      <c r="P297" s="342">
        <f t="shared" si="121"/>
        <v>0.28719169835395686</v>
      </c>
      <c r="Q297" s="343">
        <f t="shared" si="122"/>
        <v>3.8669419662506721</v>
      </c>
      <c r="R297" s="344">
        <f t="shared" si="123"/>
        <v>-115.85782378916049</v>
      </c>
      <c r="S297" s="346">
        <f t="shared" si="124"/>
        <v>64.142176210839509</v>
      </c>
      <c r="U297" s="319">
        <f t="shared" si="130"/>
        <v>1000000000</v>
      </c>
      <c r="V297" s="319">
        <f t="shared" si="131"/>
        <v>398122209</v>
      </c>
      <c r="X297" s="345">
        <f t="shared" si="125"/>
        <v>26.594898925342832</v>
      </c>
      <c r="Y297" s="346">
        <f t="shared" si="126"/>
        <v>-18.923431964479395</v>
      </c>
      <c r="AA297" s="345">
        <f t="shared" si="127"/>
        <v>40.881164330070476</v>
      </c>
      <c r="AB297" s="346">
        <f t="shared" si="128"/>
        <v>-96.934391824681114</v>
      </c>
      <c r="AD297">
        <f t="shared" si="132"/>
        <v>0</v>
      </c>
      <c r="AE297">
        <f t="shared" si="135"/>
        <v>0</v>
      </c>
    </row>
    <row r="298" spans="1:31" x14ac:dyDescent="0.25">
      <c r="A298" s="347">
        <v>20069</v>
      </c>
      <c r="B298" s="364">
        <f t="shared" si="129"/>
        <v>20.068999999999999</v>
      </c>
      <c r="C298" s="337">
        <f t="shared" si="110"/>
        <v>8.7604516364412746</v>
      </c>
      <c r="D298" s="338">
        <f t="shared" si="111"/>
        <v>1.4563976000416725</v>
      </c>
      <c r="E298" s="338">
        <f t="shared" si="112"/>
        <v>1.0013225571186688</v>
      </c>
      <c r="F298" s="339">
        <f t="shared" si="113"/>
        <v>5.1402356574836064E-2</v>
      </c>
      <c r="G298" s="338">
        <f t="shared" si="114"/>
        <v>1</v>
      </c>
      <c r="H298" s="339">
        <f t="shared" si="115"/>
        <v>0</v>
      </c>
      <c r="I298" s="337">
        <f t="shared" si="116"/>
        <v>26639.228505108829</v>
      </c>
      <c r="J298" s="340">
        <f t="shared" si="117"/>
        <v>1.570758788170231</v>
      </c>
      <c r="K298" s="348">
        <f t="shared" si="133"/>
        <v>7.5566356600131357</v>
      </c>
      <c r="L298" s="349">
        <f t="shared" si="134"/>
        <v>1.4380729821164928</v>
      </c>
      <c r="M298" s="337">
        <f t="shared" si="118"/>
        <v>1.0199156876513582</v>
      </c>
      <c r="N298" s="340">
        <f t="shared" si="119"/>
        <v>0.19794282179310202</v>
      </c>
      <c r="O298" s="341">
        <f t="shared" si="120"/>
        <v>1.0085020160320137</v>
      </c>
      <c r="P298" s="342">
        <f t="shared" si="121"/>
        <v>0.28887863350016002</v>
      </c>
      <c r="Q298" s="343">
        <f t="shared" si="122"/>
        <v>3.8136657120914421</v>
      </c>
      <c r="R298" s="344">
        <f t="shared" si="123"/>
        <v>-115.99544927204056</v>
      </c>
      <c r="S298" s="346">
        <f t="shared" si="124"/>
        <v>64.00455072795944</v>
      </c>
      <c r="U298" s="319">
        <f t="shared" si="130"/>
        <v>1000000000</v>
      </c>
      <c r="V298" s="319">
        <f t="shared" si="131"/>
        <v>402764761</v>
      </c>
      <c r="X298" s="345">
        <f t="shared" si="125"/>
        <v>26.59207576861775</v>
      </c>
      <c r="Y298" s="346">
        <f t="shared" si="126"/>
        <v>-18.943624983471754</v>
      </c>
      <c r="AA298" s="345">
        <f t="shared" si="127"/>
        <v>40.830711232636318</v>
      </c>
      <c r="AB298" s="346">
        <f t="shared" si="128"/>
        <v>-97.051824288568838</v>
      </c>
      <c r="AD298">
        <f t="shared" si="132"/>
        <v>0</v>
      </c>
      <c r="AE298">
        <f t="shared" si="135"/>
        <v>0</v>
      </c>
    </row>
    <row r="299" spans="1:31" x14ac:dyDescent="0.25">
      <c r="A299" s="347">
        <v>20185</v>
      </c>
      <c r="B299" s="364">
        <f t="shared" si="129"/>
        <v>20.184999999999999</v>
      </c>
      <c r="C299" s="337">
        <f t="shared" si="110"/>
        <v>8.8104296432337481</v>
      </c>
      <c r="D299" s="338">
        <f t="shared" si="111"/>
        <v>1.4570493592240583</v>
      </c>
      <c r="E299" s="338">
        <f t="shared" si="112"/>
        <v>1.0013378799766033</v>
      </c>
      <c r="F299" s="339">
        <f t="shared" si="113"/>
        <v>5.1698937613100758E-2</v>
      </c>
      <c r="G299" s="338">
        <f t="shared" si="114"/>
        <v>1</v>
      </c>
      <c r="H299" s="339">
        <f t="shared" si="115"/>
        <v>0</v>
      </c>
      <c r="I299" s="337">
        <f t="shared" si="116"/>
        <v>26793.204811962718</v>
      </c>
      <c r="J299" s="340">
        <f t="shared" si="117"/>
        <v>1.5707590038987649</v>
      </c>
      <c r="K299" s="348">
        <f t="shared" si="133"/>
        <v>7.5995507196030543</v>
      </c>
      <c r="L299" s="349">
        <f t="shared" si="134"/>
        <v>1.4388268720459045</v>
      </c>
      <c r="M299" s="337">
        <f t="shared" si="118"/>
        <v>1.0201443007846298</v>
      </c>
      <c r="N299" s="340">
        <f t="shared" si="119"/>
        <v>0.19905704125741203</v>
      </c>
      <c r="O299" s="341">
        <f t="shared" si="120"/>
        <v>1.0086066058661471</v>
      </c>
      <c r="P299" s="342">
        <f t="shared" si="121"/>
        <v>0.29056584821917408</v>
      </c>
      <c r="Q299" s="343">
        <f t="shared" si="122"/>
        <v>3.7606676136918353</v>
      </c>
      <c r="R299" s="344">
        <f t="shared" si="123"/>
        <v>-116.13312748528126</v>
      </c>
      <c r="S299" s="346">
        <f t="shared" si="124"/>
        <v>63.866872514718736</v>
      </c>
      <c r="U299" s="319">
        <f t="shared" si="130"/>
        <v>1000000000</v>
      </c>
      <c r="V299" s="319">
        <f t="shared" si="131"/>
        <v>407434225</v>
      </c>
      <c r="X299" s="345">
        <f t="shared" si="125"/>
        <v>26.589257326026633</v>
      </c>
      <c r="Y299" s="346">
        <f t="shared" si="126"/>
        <v>-18.964282705413449</v>
      </c>
      <c r="AA299" s="345">
        <f t="shared" si="127"/>
        <v>40.780531576827826</v>
      </c>
      <c r="AB299" s="346">
        <f t="shared" si="128"/>
        <v>-97.16884477986784</v>
      </c>
      <c r="AD299">
        <f t="shared" si="132"/>
        <v>0</v>
      </c>
      <c r="AE299">
        <f t="shared" si="135"/>
        <v>0</v>
      </c>
    </row>
    <row r="300" spans="1:31" x14ac:dyDescent="0.25">
      <c r="A300" s="347">
        <v>20301</v>
      </c>
      <c r="B300" s="364">
        <f t="shared" si="129"/>
        <v>20.300999999999998</v>
      </c>
      <c r="C300" s="337">
        <f t="shared" si="110"/>
        <v>8.8604113503871886</v>
      </c>
      <c r="D300" s="338">
        <f t="shared" si="111"/>
        <v>1.4576937655118749</v>
      </c>
      <c r="E300" s="338">
        <f t="shared" si="112"/>
        <v>1.0013532909098302</v>
      </c>
      <c r="F300" s="339">
        <f t="shared" si="113"/>
        <v>5.1995509548624155E-2</v>
      </c>
      <c r="G300" s="338">
        <f t="shared" si="114"/>
        <v>1</v>
      </c>
      <c r="H300" s="339">
        <f t="shared" si="115"/>
        <v>0</v>
      </c>
      <c r="I300" s="337">
        <f t="shared" si="116"/>
        <v>26947.181118817836</v>
      </c>
      <c r="J300" s="340">
        <f t="shared" si="117"/>
        <v>1.5707592171619513</v>
      </c>
      <c r="K300" s="348">
        <f t="shared" si="133"/>
        <v>7.6424700498887965</v>
      </c>
      <c r="L300" s="349">
        <f t="shared" si="134"/>
        <v>1.4395722948575185</v>
      </c>
      <c r="M300" s="337">
        <f t="shared" si="118"/>
        <v>1.020374179843335</v>
      </c>
      <c r="N300" s="340">
        <f t="shared" si="119"/>
        <v>0.20017076006113504</v>
      </c>
      <c r="O300" s="341">
        <f t="shared" si="120"/>
        <v>1.0087119364712167</v>
      </c>
      <c r="P300" s="342">
        <f t="shared" si="121"/>
        <v>0.29225334351496618</v>
      </c>
      <c r="Q300" s="343">
        <f t="shared" si="122"/>
        <v>3.7079442564533482</v>
      </c>
      <c r="R300" s="344">
        <f t="shared" si="123"/>
        <v>-116.27085730923177</v>
      </c>
      <c r="S300" s="346">
        <f t="shared" si="124"/>
        <v>63.729142690768228</v>
      </c>
      <c r="U300" s="319">
        <f t="shared" si="130"/>
        <v>1000000000</v>
      </c>
      <c r="V300" s="319">
        <f t="shared" si="131"/>
        <v>412130601</v>
      </c>
      <c r="X300" s="345">
        <f t="shared" si="125"/>
        <v>26.586443273373554</v>
      </c>
      <c r="Y300" s="346">
        <f t="shared" si="126"/>
        <v>-18.985396730477525</v>
      </c>
      <c r="AA300" s="345">
        <f t="shared" si="127"/>
        <v>40.730622272242421</v>
      </c>
      <c r="AB300" s="346">
        <f t="shared" si="128"/>
        <v>-97.285460578754211</v>
      </c>
      <c r="AD300">
        <f t="shared" si="132"/>
        <v>0</v>
      </c>
      <c r="AE300">
        <f t="shared" si="135"/>
        <v>0</v>
      </c>
    </row>
    <row r="301" spans="1:31" x14ac:dyDescent="0.25">
      <c r="A301" s="347">
        <v>20417</v>
      </c>
      <c r="B301" s="364">
        <f t="shared" si="129"/>
        <v>20.417000000000002</v>
      </c>
      <c r="C301" s="337">
        <f t="shared" si="110"/>
        <v>8.9103966956315244</v>
      </c>
      <c r="D301" s="338">
        <f t="shared" si="111"/>
        <v>1.4583309421096888</v>
      </c>
      <c r="E301" s="338">
        <f t="shared" si="112"/>
        <v>1.0013687899142834</v>
      </c>
      <c r="F301" s="339">
        <f t="shared" si="113"/>
        <v>5.229207232965781E-2</v>
      </c>
      <c r="G301" s="338">
        <f t="shared" si="114"/>
        <v>1</v>
      </c>
      <c r="H301" s="339">
        <f t="shared" si="115"/>
        <v>0</v>
      </c>
      <c r="I301" s="337">
        <f t="shared" si="116"/>
        <v>27101.157425674166</v>
      </c>
      <c r="J301" s="340">
        <f t="shared" si="117"/>
        <v>1.5707594280018111</v>
      </c>
      <c r="K301" s="348">
        <f t="shared" si="133"/>
        <v>7.6853935793208477</v>
      </c>
      <c r="L301" s="349">
        <f t="shared" si="134"/>
        <v>1.4403093915844836</v>
      </c>
      <c r="M301" s="337">
        <f t="shared" si="118"/>
        <v>1.0206053239720705</v>
      </c>
      <c r="N301" s="340">
        <f t="shared" si="119"/>
        <v>0.2012839757806659</v>
      </c>
      <c r="O301" s="341">
        <f t="shared" si="120"/>
        <v>1.0088180101823132</v>
      </c>
      <c r="P301" s="342">
        <f t="shared" si="121"/>
        <v>0.29394112038105846</v>
      </c>
      <c r="Q301" s="343">
        <f t="shared" si="122"/>
        <v>3.6554922849390987</v>
      </c>
      <c r="R301" s="344">
        <f t="shared" si="123"/>
        <v>-116.40863764582424</v>
      </c>
      <c r="S301" s="346">
        <f t="shared" si="124"/>
        <v>63.591362354175757</v>
      </c>
      <c r="U301" s="319">
        <f t="shared" si="130"/>
        <v>1000000000</v>
      </c>
      <c r="V301" s="319">
        <f t="shared" si="131"/>
        <v>416853889</v>
      </c>
      <c r="X301" s="345">
        <f t="shared" si="125"/>
        <v>26.583633295948985</v>
      </c>
      <c r="Y301" s="346">
        <f t="shared" si="126"/>
        <v>-19.006958841605012</v>
      </c>
      <c r="AA301" s="345">
        <f t="shared" si="127"/>
        <v>40.680980278152745</v>
      </c>
      <c r="AB301" s="346">
        <f t="shared" si="128"/>
        <v>-97.401678804219273</v>
      </c>
      <c r="AD301">
        <f t="shared" si="132"/>
        <v>0</v>
      </c>
      <c r="AE301">
        <f t="shared" si="135"/>
        <v>0</v>
      </c>
    </row>
    <row r="302" spans="1:31" x14ac:dyDescent="0.25">
      <c r="A302" s="347">
        <v>20536</v>
      </c>
      <c r="B302" s="364">
        <f t="shared" si="129"/>
        <v>20.536000000000001</v>
      </c>
      <c r="C302" s="337">
        <f t="shared" si="110"/>
        <v>8.961678481958641</v>
      </c>
      <c r="D302" s="338">
        <f t="shared" si="111"/>
        <v>1.4589772110969379</v>
      </c>
      <c r="E302" s="338">
        <f t="shared" si="112"/>
        <v>1.0013847812680077</v>
      </c>
      <c r="F302" s="339">
        <f t="shared" si="113"/>
        <v>5.2596295270878252E-2</v>
      </c>
      <c r="G302" s="338">
        <f t="shared" si="114"/>
        <v>1</v>
      </c>
      <c r="H302" s="339">
        <f t="shared" si="115"/>
        <v>0</v>
      </c>
      <c r="I302" s="337">
        <f t="shared" si="116"/>
        <v>27259.115878398712</v>
      </c>
      <c r="J302" s="340">
        <f t="shared" si="117"/>
        <v>1.5707596418193206</v>
      </c>
      <c r="K302" s="348">
        <f t="shared" si="133"/>
        <v>7.7294314901590395</v>
      </c>
      <c r="L302" s="349">
        <f t="shared" si="134"/>
        <v>1.4410570438425743</v>
      </c>
      <c r="M302" s="337">
        <f t="shared" si="118"/>
        <v>1.0208437596346138</v>
      </c>
      <c r="N302" s="340">
        <f t="shared" si="119"/>
        <v>0.2024254562607013</v>
      </c>
      <c r="O302" s="341">
        <f t="shared" si="120"/>
        <v>1.0089276018210958</v>
      </c>
      <c r="P302" s="342">
        <f t="shared" si="121"/>
        <v>0.29567284026652946</v>
      </c>
      <c r="Q302" s="343">
        <f t="shared" si="122"/>
        <v>3.6019623454725611</v>
      </c>
      <c r="R302" s="344">
        <f t="shared" si="123"/>
        <v>-116.55003262737024</v>
      </c>
      <c r="S302" s="346">
        <f t="shared" si="124"/>
        <v>63.449967372629757</v>
      </c>
      <c r="U302" s="319">
        <f t="shared" si="130"/>
        <v>1000000000</v>
      </c>
      <c r="V302" s="319">
        <f t="shared" si="131"/>
        <v>421727296</v>
      </c>
      <c r="X302" s="345">
        <f t="shared" si="125"/>
        <v>26.580754561209439</v>
      </c>
      <c r="Y302" s="346">
        <f t="shared" si="126"/>
        <v>-19.02953578744226</v>
      </c>
      <c r="AA302" s="345">
        <f t="shared" si="127"/>
        <v>40.630329073425749</v>
      </c>
      <c r="AB302" s="346">
        <f t="shared" si="128"/>
        <v>-97.520496839927986</v>
      </c>
      <c r="AD302">
        <f t="shared" si="132"/>
        <v>0</v>
      </c>
      <c r="AE302">
        <f t="shared" si="135"/>
        <v>0</v>
      </c>
    </row>
    <row r="303" spans="1:31" x14ac:dyDescent="0.25">
      <c r="A303" s="347">
        <v>20655</v>
      </c>
      <c r="B303" s="364">
        <f t="shared" si="129"/>
        <v>20.655000000000001</v>
      </c>
      <c r="C303" s="337">
        <f t="shared" si="110"/>
        <v>9.0129639686584664</v>
      </c>
      <c r="D303" s="338">
        <f t="shared" si="111"/>
        <v>1.4596161255605289</v>
      </c>
      <c r="E303" s="338">
        <f t="shared" si="112"/>
        <v>1.0014008652985287</v>
      </c>
      <c r="F303" s="339">
        <f t="shared" si="113"/>
        <v>5.2900508467681281E-2</v>
      </c>
      <c r="G303" s="338">
        <f t="shared" si="114"/>
        <v>1</v>
      </c>
      <c r="H303" s="339">
        <f t="shared" si="115"/>
        <v>0</v>
      </c>
      <c r="I303" s="337">
        <f t="shared" si="116"/>
        <v>27417.074331124488</v>
      </c>
      <c r="J303" s="340">
        <f t="shared" si="117"/>
        <v>1.5707598531730891</v>
      </c>
      <c r="K303" s="348">
        <f t="shared" si="133"/>
        <v>7.7734736726695592</v>
      </c>
      <c r="L303" s="349">
        <f t="shared" si="134"/>
        <v>1.4417962245607177</v>
      </c>
      <c r="M303" s="337">
        <f t="shared" si="118"/>
        <v>1.0210835248115797</v>
      </c>
      <c r="N303" s="340">
        <f t="shared" si="119"/>
        <v>0.20356640215453733</v>
      </c>
      <c r="O303" s="341">
        <f t="shared" si="120"/>
        <v>1.0090379805168894</v>
      </c>
      <c r="P303" s="342">
        <f t="shared" si="121"/>
        <v>0.29740485855882381</v>
      </c>
      <c r="Q303" s="343">
        <f t="shared" si="122"/>
        <v>3.5487110418577092</v>
      </c>
      <c r="R303" s="344">
        <f t="shared" si="123"/>
        <v>-116.69147849430585</v>
      </c>
      <c r="S303" s="346">
        <f t="shared" si="124"/>
        <v>63.308521505694145</v>
      </c>
      <c r="U303" s="319">
        <f t="shared" si="130"/>
        <v>1000000000</v>
      </c>
      <c r="V303" s="319">
        <f t="shared" si="131"/>
        <v>426629025</v>
      </c>
      <c r="X303" s="345">
        <f t="shared" si="125"/>
        <v>26.577879473548457</v>
      </c>
      <c r="Y303" s="346">
        <f t="shared" si="126"/>
        <v>-19.052567346070017</v>
      </c>
      <c r="AA303" s="345">
        <f t="shared" si="127"/>
        <v>40.579952857471888</v>
      </c>
      <c r="AB303" s="346">
        <f t="shared" si="128"/>
        <v>-97.638911148235863</v>
      </c>
      <c r="AD303">
        <f t="shared" si="132"/>
        <v>0</v>
      </c>
      <c r="AE303">
        <f t="shared" si="135"/>
        <v>0</v>
      </c>
    </row>
    <row r="304" spans="1:31" x14ac:dyDescent="0.25">
      <c r="A304" s="347">
        <v>20774</v>
      </c>
      <c r="B304" s="364">
        <f t="shared" si="129"/>
        <v>20.774000000000001</v>
      </c>
      <c r="C304" s="337">
        <f t="shared" si="110"/>
        <v>9.0642530929209375</v>
      </c>
      <c r="D304" s="338">
        <f t="shared" si="111"/>
        <v>1.4602478098187586</v>
      </c>
      <c r="E304" s="338">
        <f t="shared" si="112"/>
        <v>1.0014170420013808</v>
      </c>
      <c r="F304" s="339">
        <f t="shared" si="113"/>
        <v>5.3204711864230543E-2</v>
      </c>
      <c r="G304" s="338">
        <f t="shared" si="114"/>
        <v>1</v>
      </c>
      <c r="H304" s="339">
        <f t="shared" si="115"/>
        <v>0</v>
      </c>
      <c r="I304" s="337">
        <f t="shared" si="116"/>
        <v>27575.032783851471</v>
      </c>
      <c r="J304" s="340">
        <f t="shared" si="117"/>
        <v>1.570760062105456</v>
      </c>
      <c r="K304" s="348">
        <f t="shared" si="133"/>
        <v>7.8175200546554251</v>
      </c>
      <c r="L304" s="349">
        <f t="shared" si="134"/>
        <v>1.4425270761182616</v>
      </c>
      <c r="M304" s="337">
        <f t="shared" si="118"/>
        <v>1.0213246185666216</v>
      </c>
      <c r="N304" s="340">
        <f t="shared" si="119"/>
        <v>0.20470681086925138</v>
      </c>
      <c r="O304" s="341">
        <f t="shared" si="120"/>
        <v>1.0091491488302609</v>
      </c>
      <c r="P304" s="342">
        <f t="shared" si="121"/>
        <v>0.29913717629592679</v>
      </c>
      <c r="Q304" s="343">
        <f t="shared" si="122"/>
        <v>3.4957349367498964</v>
      </c>
      <c r="R304" s="344">
        <f t="shared" si="123"/>
        <v>-116.83297412834284</v>
      </c>
      <c r="S304" s="346">
        <f t="shared" si="124"/>
        <v>63.16702587165716</v>
      </c>
      <c r="U304" s="319">
        <f t="shared" si="130"/>
        <v>1000000000</v>
      </c>
      <c r="V304" s="319">
        <f t="shared" si="131"/>
        <v>431559076</v>
      </c>
      <c r="X304" s="345">
        <f t="shared" si="125"/>
        <v>26.575007722304488</v>
      </c>
      <c r="Y304" s="346">
        <f t="shared" si="126"/>
        <v>-19.076045213614897</v>
      </c>
      <c r="AA304" s="345">
        <f t="shared" si="127"/>
        <v>40.529848503608036</v>
      </c>
      <c r="AB304" s="346">
        <f t="shared" si="128"/>
        <v>-97.756928914727965</v>
      </c>
      <c r="AD304">
        <f t="shared" si="132"/>
        <v>0</v>
      </c>
      <c r="AE304">
        <f t="shared" si="135"/>
        <v>0</v>
      </c>
    </row>
    <row r="305" spans="1:31" x14ac:dyDescent="0.25">
      <c r="A305" s="347">
        <v>20893</v>
      </c>
      <c r="B305" s="364">
        <f t="shared" si="129"/>
        <v>20.893000000000001</v>
      </c>
      <c r="C305" s="337">
        <f t="shared" si="110"/>
        <v>9.115545793345218</v>
      </c>
      <c r="D305" s="338">
        <f t="shared" si="111"/>
        <v>1.4608723854151728</v>
      </c>
      <c r="E305" s="338">
        <f t="shared" si="112"/>
        <v>1.0014333113720733</v>
      </c>
      <c r="F305" s="339">
        <f t="shared" si="113"/>
        <v>5.3508905404700553E-2</v>
      </c>
      <c r="G305" s="338">
        <f t="shared" si="114"/>
        <v>1</v>
      </c>
      <c r="H305" s="339">
        <f t="shared" si="115"/>
        <v>0</v>
      </c>
      <c r="I305" s="337">
        <f t="shared" si="116"/>
        <v>27732.991236579648</v>
      </c>
      <c r="J305" s="340">
        <f t="shared" si="117"/>
        <v>1.5707602686577962</v>
      </c>
      <c r="K305" s="348">
        <f t="shared" si="133"/>
        <v>7.8615705655308608</v>
      </c>
      <c r="L305" s="349">
        <f t="shared" si="134"/>
        <v>1.443249737739444</v>
      </c>
      <c r="M305" s="337">
        <f t="shared" si="118"/>
        <v>1.0215670399590908</v>
      </c>
      <c r="N305" s="340">
        <f t="shared" si="119"/>
        <v>0.2058466798199507</v>
      </c>
      <c r="O305" s="341">
        <f t="shared" si="120"/>
        <v>1.0092611093350843</v>
      </c>
      <c r="P305" s="342">
        <f t="shared" si="121"/>
        <v>0.30086979450400925</v>
      </c>
      <c r="Q305" s="343">
        <f t="shared" si="122"/>
        <v>3.4430306524673115</v>
      </c>
      <c r="R305" s="344">
        <f t="shared" si="123"/>
        <v>-116.97451843271317</v>
      </c>
      <c r="S305" s="346">
        <f t="shared" si="124"/>
        <v>63.025481567286832</v>
      </c>
      <c r="U305" s="319">
        <f t="shared" si="130"/>
        <v>1000000000</v>
      </c>
      <c r="V305" s="319">
        <f t="shared" si="131"/>
        <v>436517449</v>
      </c>
      <c r="X305" s="345">
        <f t="shared" si="125"/>
        <v>26.572139005999102</v>
      </c>
      <c r="Y305" s="346">
        <f t="shared" si="126"/>
        <v>-19.09996126738281</v>
      </c>
      <c r="AA305" s="345">
        <f t="shared" si="127"/>
        <v>40.480012935630832</v>
      </c>
      <c r="AB305" s="346">
        <f t="shared" si="128"/>
        <v>-97.874557165330344</v>
      </c>
      <c r="AD305">
        <f t="shared" si="132"/>
        <v>0</v>
      </c>
      <c r="AE305">
        <f t="shared" si="135"/>
        <v>0</v>
      </c>
    </row>
    <row r="306" spans="1:31" x14ac:dyDescent="0.25">
      <c r="A306" s="347">
        <v>21014.75</v>
      </c>
      <c r="B306" s="364">
        <f t="shared" si="129"/>
        <v>21.014749999999999</v>
      </c>
      <c r="C306" s="337">
        <f t="shared" si="110"/>
        <v>9.1680274677655529</v>
      </c>
      <c r="D306" s="338">
        <f t="shared" si="111"/>
        <v>1.4615041614359923</v>
      </c>
      <c r="E306" s="338">
        <f t="shared" si="112"/>
        <v>1.0014500526157171</v>
      </c>
      <c r="F306" s="339">
        <f t="shared" si="113"/>
        <v>5.3820118369258554E-2</v>
      </c>
      <c r="G306" s="338">
        <f t="shared" si="114"/>
        <v>1</v>
      </c>
      <c r="H306" s="339">
        <f t="shared" si="115"/>
        <v>0</v>
      </c>
      <c r="I306" s="337">
        <f t="shared" si="116"/>
        <v>27894.599989687205</v>
      </c>
      <c r="J306" s="340">
        <f t="shared" si="117"/>
        <v>1.5707604775624078</v>
      </c>
      <c r="K306" s="348">
        <f t="shared" si="133"/>
        <v>7.9066432515414542</v>
      </c>
      <c r="L306" s="349">
        <f t="shared" si="134"/>
        <v>1.4439807654850179</v>
      </c>
      <c r="M306" s="337">
        <f t="shared" si="118"/>
        <v>1.0218164365540727</v>
      </c>
      <c r="N306" s="340">
        <f t="shared" si="119"/>
        <v>0.20701232897422467</v>
      </c>
      <c r="O306" s="341">
        <f t="shared" si="120"/>
        <v>1.0093764797241294</v>
      </c>
      <c r="P306" s="342">
        <f t="shared" si="121"/>
        <v>0.30264276423293257</v>
      </c>
      <c r="Q306" s="343">
        <f t="shared" si="122"/>
        <v>3.3893862663371221</v>
      </c>
      <c r="R306" s="344">
        <f t="shared" si="123"/>
        <v>-117.11938296749915</v>
      </c>
      <c r="S306" s="346">
        <f t="shared" si="124"/>
        <v>62.880617032500851</v>
      </c>
      <c r="U306" s="319">
        <f t="shared" si="130"/>
        <v>1000000000</v>
      </c>
      <c r="V306" s="319">
        <f t="shared" si="131"/>
        <v>441619717.5625</v>
      </c>
      <c r="X306" s="345">
        <f t="shared" si="125"/>
        <v>26.569206831681061</v>
      </c>
      <c r="Y306" s="346">
        <f t="shared" si="126"/>
        <v>-19.12487520916839</v>
      </c>
      <c r="AA306" s="345">
        <f t="shared" si="127"/>
        <v>40.429300723818685</v>
      </c>
      <c r="AB306" s="346">
        <f t="shared" si="128"/>
        <v>-97.994507758330755</v>
      </c>
      <c r="AD306">
        <f t="shared" si="132"/>
        <v>0</v>
      </c>
      <c r="AE306">
        <f t="shared" si="135"/>
        <v>0</v>
      </c>
    </row>
    <row r="307" spans="1:31" x14ac:dyDescent="0.25">
      <c r="A307" s="347">
        <v>21136.5</v>
      </c>
      <c r="B307" s="364">
        <f t="shared" si="129"/>
        <v>21.136500000000002</v>
      </c>
      <c r="C307" s="337">
        <f t="shared" si="110"/>
        <v>9.2205127598634551</v>
      </c>
      <c r="D307" s="338">
        <f t="shared" si="111"/>
        <v>1.4621287452731635</v>
      </c>
      <c r="E307" s="338">
        <f t="shared" si="112"/>
        <v>1.0014668908500648</v>
      </c>
      <c r="F307" s="339">
        <f t="shared" si="113"/>
        <v>5.4131320898754415E-2</v>
      </c>
      <c r="G307" s="338">
        <f t="shared" si="114"/>
        <v>1</v>
      </c>
      <c r="H307" s="339">
        <f t="shared" si="115"/>
        <v>0</v>
      </c>
      <c r="I307" s="337">
        <f t="shared" si="116"/>
        <v>28056.208742795963</v>
      </c>
      <c r="J307" s="340">
        <f t="shared" si="117"/>
        <v>1.5707606840603641</v>
      </c>
      <c r="K307" s="348">
        <f t="shared" si="133"/>
        <v>7.9517201149725265</v>
      </c>
      <c r="L307" s="349">
        <f t="shared" si="134"/>
        <v>1.4447035054849868</v>
      </c>
      <c r="M307" s="337">
        <f t="shared" si="118"/>
        <v>1.0220672208511627</v>
      </c>
      <c r="N307" s="340">
        <f t="shared" si="119"/>
        <v>0.20817740768099205</v>
      </c>
      <c r="O307" s="341">
        <f t="shared" si="120"/>
        <v>1.0094926848347909</v>
      </c>
      <c r="P307" s="342">
        <f t="shared" si="121"/>
        <v>0.30441605061559607</v>
      </c>
      <c r="Q307" s="343">
        <f t="shared" si="122"/>
        <v>3.3360194417768056</v>
      </c>
      <c r="R307" s="344">
        <f t="shared" si="123"/>
        <v>-117.26429619204366</v>
      </c>
      <c r="S307" s="346">
        <f t="shared" si="124"/>
        <v>62.735703807956341</v>
      </c>
      <c r="U307" s="319">
        <f t="shared" si="130"/>
        <v>1000000000</v>
      </c>
      <c r="V307" s="319">
        <f t="shared" si="131"/>
        <v>446751632.25</v>
      </c>
      <c r="X307" s="345">
        <f t="shared" si="125"/>
        <v>26.566277223892389</v>
      </c>
      <c r="Y307" s="346">
        <f t="shared" si="126"/>
        <v>-19.150231181673561</v>
      </c>
      <c r="AA307" s="345">
        <f t="shared" si="127"/>
        <v>40.378863507047043</v>
      </c>
      <c r="AB307" s="346">
        <f t="shared" si="128"/>
        <v>-98.114065010370098</v>
      </c>
      <c r="AD307">
        <f t="shared" si="132"/>
        <v>0</v>
      </c>
      <c r="AE307">
        <f t="shared" si="135"/>
        <v>0</v>
      </c>
    </row>
    <row r="308" spans="1:31" x14ac:dyDescent="0.25">
      <c r="A308" s="347">
        <v>21258.25</v>
      </c>
      <c r="B308" s="364">
        <f t="shared" si="129"/>
        <v>21.25825</v>
      </c>
      <c r="C308" s="337">
        <f t="shared" si="110"/>
        <v>9.2730016082106381</v>
      </c>
      <c r="D308" s="338">
        <f t="shared" si="111"/>
        <v>1.4627462585669881</v>
      </c>
      <c r="E308" s="338">
        <f t="shared" si="112"/>
        <v>1.0014838260702239</v>
      </c>
      <c r="F308" s="339">
        <f t="shared" si="113"/>
        <v>5.4442512933437937E-2</v>
      </c>
      <c r="G308" s="338">
        <f t="shared" si="114"/>
        <v>1</v>
      </c>
      <c r="H308" s="339">
        <f t="shared" si="115"/>
        <v>0</v>
      </c>
      <c r="I308" s="337">
        <f t="shared" si="116"/>
        <v>28217.817495905907</v>
      </c>
      <c r="J308" s="340">
        <f t="shared" si="117"/>
        <v>1.5707608881930148</v>
      </c>
      <c r="K308" s="348">
        <f t="shared" si="133"/>
        <v>7.9968010851814508</v>
      </c>
      <c r="L308" s="349">
        <f t="shared" si="134"/>
        <v>1.4454180971412443</v>
      </c>
      <c r="M308" s="337">
        <f t="shared" si="118"/>
        <v>1.0223193918291129</v>
      </c>
      <c r="N308" s="340">
        <f t="shared" si="119"/>
        <v>0.20934191319825418</v>
      </c>
      <c r="O308" s="341">
        <f t="shared" si="120"/>
        <v>1.0096097274666076</v>
      </c>
      <c r="P308" s="342">
        <f t="shared" si="121"/>
        <v>0.30618965471216719</v>
      </c>
      <c r="Q308" s="343">
        <f t="shared" si="122"/>
        <v>3.2829267465138345</v>
      </c>
      <c r="R308" s="344">
        <f t="shared" si="123"/>
        <v>-117.40925699811322</v>
      </c>
      <c r="S308" s="346">
        <f t="shared" si="124"/>
        <v>62.590743001886779</v>
      </c>
      <c r="U308" s="319">
        <f t="shared" si="130"/>
        <v>1000000000</v>
      </c>
      <c r="V308" s="319">
        <f t="shared" si="131"/>
        <v>451913193.0625</v>
      </c>
      <c r="X308" s="345">
        <f t="shared" si="125"/>
        <v>26.563349887671471</v>
      </c>
      <c r="Y308" s="346">
        <f t="shared" si="126"/>
        <v>-19.176021043022381</v>
      </c>
      <c r="AA308" s="345">
        <f t="shared" si="127"/>
        <v>40.328698148004989</v>
      </c>
      <c r="AB308" s="346">
        <f t="shared" si="128"/>
        <v>-98.233235955090834</v>
      </c>
      <c r="AD308">
        <f t="shared" si="132"/>
        <v>0</v>
      </c>
      <c r="AE308">
        <f t="shared" si="135"/>
        <v>0</v>
      </c>
    </row>
    <row r="309" spans="1:31" x14ac:dyDescent="0.25">
      <c r="A309" s="347">
        <v>21380</v>
      </c>
      <c r="B309" s="364">
        <f t="shared" si="129"/>
        <v>21.38</v>
      </c>
      <c r="C309" s="337">
        <f t="shared" si="110"/>
        <v>9.3254939527577072</v>
      </c>
      <c r="D309" s="338">
        <f t="shared" si="111"/>
        <v>1.463356820240808</v>
      </c>
      <c r="E309" s="338">
        <f t="shared" si="112"/>
        <v>1.0015008582712743</v>
      </c>
      <c r="F309" s="339">
        <f t="shared" si="113"/>
        <v>5.4753694413571086E-2</v>
      </c>
      <c r="G309" s="338">
        <f t="shared" si="114"/>
        <v>1</v>
      </c>
      <c r="H309" s="339">
        <f t="shared" si="115"/>
        <v>0</v>
      </c>
      <c r="I309" s="337">
        <f t="shared" si="116"/>
        <v>28379.426249017015</v>
      </c>
      <c r="J309" s="340">
        <f t="shared" si="117"/>
        <v>1.5707610900007687</v>
      </c>
      <c r="K309" s="348">
        <f t="shared" si="133"/>
        <v>8.0418860931032601</v>
      </c>
      <c r="L309" s="349">
        <f t="shared" si="134"/>
        <v>1.4461246767632987</v>
      </c>
      <c r="M309" s="337">
        <f t="shared" si="118"/>
        <v>1.0225729484620383</v>
      </c>
      <c r="N309" s="340">
        <f t="shared" si="119"/>
        <v>0.21050584279292817</v>
      </c>
      <c r="O309" s="341">
        <f t="shared" si="120"/>
        <v>1.0097276104335764</v>
      </c>
      <c r="P309" s="342">
        <f t="shared" si="121"/>
        <v>0.30796357756959453</v>
      </c>
      <c r="Q309" s="343">
        <f t="shared" si="122"/>
        <v>3.2301048077974555</v>
      </c>
      <c r="R309" s="344">
        <f t="shared" si="123"/>
        <v>-117.55426429868342</v>
      </c>
      <c r="S309" s="346">
        <f t="shared" si="124"/>
        <v>62.445735701316579</v>
      </c>
      <c r="U309" s="319">
        <f t="shared" si="130"/>
        <v>1000000000</v>
      </c>
      <c r="V309" s="319">
        <f t="shared" si="131"/>
        <v>457104400</v>
      </c>
      <c r="X309" s="345">
        <f t="shared" si="125"/>
        <v>26.560424536849496</v>
      </c>
      <c r="Y309" s="346">
        <f t="shared" si="126"/>
        <v>-19.202236828976435</v>
      </c>
      <c r="AA309" s="345">
        <f t="shared" si="127"/>
        <v>40.278801560110587</v>
      </c>
      <c r="AB309" s="346">
        <f t="shared" si="128"/>
        <v>-98.352027469707011</v>
      </c>
      <c r="AD309">
        <f t="shared" si="132"/>
        <v>0</v>
      </c>
      <c r="AE309">
        <f t="shared" si="135"/>
        <v>0</v>
      </c>
    </row>
    <row r="310" spans="1:31" x14ac:dyDescent="0.25">
      <c r="A310" s="347">
        <v>21504.5</v>
      </c>
      <c r="B310" s="364">
        <f t="shared" si="129"/>
        <v>21.5045</v>
      </c>
      <c r="C310" s="337">
        <f t="shared" si="110"/>
        <v>9.3791755103949672</v>
      </c>
      <c r="D310" s="338">
        <f t="shared" si="111"/>
        <v>1.4639741050560049</v>
      </c>
      <c r="E310" s="338">
        <f t="shared" si="112"/>
        <v>1.0015183754695067</v>
      </c>
      <c r="F310" s="339">
        <f t="shared" si="113"/>
        <v>5.5071893656431871E-2</v>
      </c>
      <c r="G310" s="338">
        <f t="shared" si="114"/>
        <v>1</v>
      </c>
      <c r="H310" s="339">
        <f t="shared" si="115"/>
        <v>0</v>
      </c>
      <c r="I310" s="337">
        <f t="shared" si="116"/>
        <v>28544.685302507583</v>
      </c>
      <c r="J310" s="340">
        <f t="shared" si="117"/>
        <v>1.5707612940036919</v>
      </c>
      <c r="K310" s="348">
        <f t="shared" si="133"/>
        <v>8.0879935534176806</v>
      </c>
      <c r="L310" s="349">
        <f t="shared" si="134"/>
        <v>1.4468390694293065</v>
      </c>
      <c r="M310" s="337">
        <f t="shared" si="118"/>
        <v>1.0228336641287947</v>
      </c>
      <c r="N310" s="340">
        <f t="shared" si="119"/>
        <v>0.21169546395788022</v>
      </c>
      <c r="O310" s="341">
        <f t="shared" si="120"/>
        <v>1.0098490280227401</v>
      </c>
      <c r="P310" s="342">
        <f t="shared" si="121"/>
        <v>0.30977789921876775</v>
      </c>
      <c r="Q310" s="343">
        <f t="shared" si="122"/>
        <v>3.1763663116107796</v>
      </c>
      <c r="R310" s="344">
        <f t="shared" si="123"/>
        <v>-117.70259388883825</v>
      </c>
      <c r="S310" s="346">
        <f t="shared" si="124"/>
        <v>62.297406111161749</v>
      </c>
      <c r="U310" s="319">
        <f t="shared" si="130"/>
        <v>1000000000</v>
      </c>
      <c r="V310" s="319">
        <f t="shared" si="131"/>
        <v>462443520.25</v>
      </c>
      <c r="X310" s="345">
        <f t="shared" si="125"/>
        <v>26.55743487425579</v>
      </c>
      <c r="Y310" s="346">
        <f t="shared" si="126"/>
        <v>-19.229477104807913</v>
      </c>
      <c r="AA310" s="345">
        <f t="shared" si="127"/>
        <v>40.228052726517618</v>
      </c>
      <c r="AB310" s="346">
        <f t="shared" si="128"/>
        <v>-98.473116784030324</v>
      </c>
      <c r="AD310">
        <f t="shared" si="132"/>
        <v>0</v>
      </c>
      <c r="AE310">
        <f t="shared" si="135"/>
        <v>0</v>
      </c>
    </row>
    <row r="311" spans="1:31" x14ac:dyDescent="0.25">
      <c r="A311" s="347">
        <v>21629</v>
      </c>
      <c r="B311" s="364">
        <f t="shared" si="129"/>
        <v>21.629000000000001</v>
      </c>
      <c r="C311" s="337">
        <f t="shared" si="110"/>
        <v>9.4328606012006979</v>
      </c>
      <c r="D311" s="338">
        <f t="shared" si="111"/>
        <v>1.4645843638148632</v>
      </c>
      <c r="E311" s="338">
        <f t="shared" si="112"/>
        <v>1.0015359940686808</v>
      </c>
      <c r="F311" s="339">
        <f t="shared" si="113"/>
        <v>5.5390081736254509E-2</v>
      </c>
      <c r="G311" s="338">
        <f t="shared" si="114"/>
        <v>1</v>
      </c>
      <c r="H311" s="339">
        <f t="shared" si="115"/>
        <v>0</v>
      </c>
      <c r="I311" s="337">
        <f t="shared" si="116"/>
        <v>28709.944355999327</v>
      </c>
      <c r="J311" s="340">
        <f t="shared" si="117"/>
        <v>1.5707614956580682</v>
      </c>
      <c r="K311" s="348">
        <f t="shared" si="133"/>
        <v>8.1341050946983202</v>
      </c>
      <c r="L311" s="349">
        <f t="shared" si="134"/>
        <v>1.4475453627913766</v>
      </c>
      <c r="M311" s="337">
        <f t="shared" si="118"/>
        <v>1.0230958265693006</v>
      </c>
      <c r="N311" s="340">
        <f t="shared" si="119"/>
        <v>0.21288447713759753</v>
      </c>
      <c r="O311" s="341">
        <f t="shared" si="120"/>
        <v>1.0099713303352391</v>
      </c>
      <c r="P311" s="342">
        <f t="shared" si="121"/>
        <v>0.31159255636298216</v>
      </c>
      <c r="Q311" s="343">
        <f t="shared" si="122"/>
        <v>3.1229039927064077</v>
      </c>
      <c r="R311" s="344">
        <f t="shared" si="123"/>
        <v>-117.85096986404599</v>
      </c>
      <c r="S311" s="346">
        <f t="shared" si="124"/>
        <v>62.149030135954007</v>
      </c>
      <c r="U311" s="319">
        <f t="shared" si="130"/>
        <v>1000000000</v>
      </c>
      <c r="V311" s="319">
        <f t="shared" si="131"/>
        <v>467813641</v>
      </c>
      <c r="X311" s="345">
        <f t="shared" si="125"/>
        <v>26.554446709422983</v>
      </c>
      <c r="Y311" s="346">
        <f t="shared" si="126"/>
        <v>-19.257146467022718</v>
      </c>
      <c r="AA311" s="345">
        <f t="shared" si="127"/>
        <v>40.177578572446052</v>
      </c>
      <c r="AB311" s="346">
        <f t="shared" si="128"/>
        <v>-98.593823397023272</v>
      </c>
      <c r="AD311">
        <f t="shared" si="132"/>
        <v>0</v>
      </c>
      <c r="AE311">
        <f t="shared" si="135"/>
        <v>0</v>
      </c>
    </row>
    <row r="312" spans="1:31" x14ac:dyDescent="0.25">
      <c r="A312" s="347">
        <v>21753.5</v>
      </c>
      <c r="B312" s="364">
        <f t="shared" si="129"/>
        <v>21.753499999999999</v>
      </c>
      <c r="C312" s="337">
        <f t="shared" si="110"/>
        <v>9.486549165191505</v>
      </c>
      <c r="D312" s="338">
        <f t="shared" si="111"/>
        <v>1.4651877153495911</v>
      </c>
      <c r="E312" s="338">
        <f t="shared" si="112"/>
        <v>1.0015537140634452</v>
      </c>
      <c r="F312" s="339">
        <f t="shared" si="113"/>
        <v>5.5708258589200768E-2</v>
      </c>
      <c r="G312" s="338">
        <f t="shared" si="114"/>
        <v>1</v>
      </c>
      <c r="H312" s="339">
        <f t="shared" si="115"/>
        <v>0</v>
      </c>
      <c r="I312" s="337">
        <f t="shared" si="116"/>
        <v>28875.20340949222</v>
      </c>
      <c r="J312" s="340">
        <f t="shared" si="117"/>
        <v>1.5707616950042207</v>
      </c>
      <c r="K312" s="348">
        <f t="shared" si="133"/>
        <v>8.1802206479325008</v>
      </c>
      <c r="L312" s="349">
        <f t="shared" si="134"/>
        <v>1.448243693116982</v>
      </c>
      <c r="M312" s="337">
        <f t="shared" si="118"/>
        <v>1.0233594346716597</v>
      </c>
      <c r="N312" s="340">
        <f t="shared" si="119"/>
        <v>0.21407287943869471</v>
      </c>
      <c r="O312" s="341">
        <f t="shared" si="120"/>
        <v>1.0100945204267853</v>
      </c>
      <c r="P312" s="342">
        <f t="shared" si="121"/>
        <v>0.31340755007841004</v>
      </c>
      <c r="Q312" s="343">
        <f t="shared" si="122"/>
        <v>3.0697144288590863</v>
      </c>
      <c r="R312" s="344">
        <f t="shared" si="123"/>
        <v>-117.99939112718897</v>
      </c>
      <c r="S312" s="346">
        <f t="shared" si="124"/>
        <v>62.000608872811029</v>
      </c>
      <c r="U312" s="319">
        <f t="shared" si="130"/>
        <v>1000000000</v>
      </c>
      <c r="V312" s="319">
        <f t="shared" si="131"/>
        <v>473214762.25</v>
      </c>
      <c r="X312" s="345">
        <f t="shared" si="125"/>
        <v>26.551459763020571</v>
      </c>
      <c r="Y312" s="346">
        <f t="shared" si="126"/>
        <v>-19.285236944601341</v>
      </c>
      <c r="AA312" s="345">
        <f t="shared" si="127"/>
        <v>40.127375955001142</v>
      </c>
      <c r="AB312" s="346">
        <f t="shared" si="128"/>
        <v>-98.71415418258762</v>
      </c>
      <c r="AD312">
        <f t="shared" si="132"/>
        <v>0</v>
      </c>
      <c r="AE312">
        <f t="shared" si="135"/>
        <v>0</v>
      </c>
    </row>
    <row r="313" spans="1:31" x14ac:dyDescent="0.25">
      <c r="A313" s="347">
        <v>21878</v>
      </c>
      <c r="B313" s="364">
        <f t="shared" si="129"/>
        <v>21.878</v>
      </c>
      <c r="C313" s="337">
        <f t="shared" si="110"/>
        <v>9.5402411437304053</v>
      </c>
      <c r="D313" s="338">
        <f t="shared" si="111"/>
        <v>1.4657842758376478</v>
      </c>
      <c r="E313" s="338">
        <f t="shared" si="112"/>
        <v>1.0015715354484183</v>
      </c>
      <c r="F313" s="339">
        <f t="shared" si="113"/>
        <v>5.6026424151446028E-2</v>
      </c>
      <c r="G313" s="338">
        <f t="shared" si="114"/>
        <v>1</v>
      </c>
      <c r="H313" s="339">
        <f t="shared" si="115"/>
        <v>0</v>
      </c>
      <c r="I313" s="337">
        <f t="shared" si="116"/>
        <v>29040.462462986252</v>
      </c>
      <c r="J313" s="340">
        <f t="shared" si="117"/>
        <v>1.5707618920815558</v>
      </c>
      <c r="K313" s="348">
        <f t="shared" si="133"/>
        <v>8.2263401456491074</v>
      </c>
      <c r="L313" s="349">
        <f t="shared" si="134"/>
        <v>1.4489341936492266</v>
      </c>
      <c r="M313" s="337">
        <f t="shared" si="118"/>
        <v>1.0236244873189935</v>
      </c>
      <c r="N313" s="340">
        <f t="shared" si="119"/>
        <v>0.21526066797766061</v>
      </c>
      <c r="O313" s="341">
        <f t="shared" si="120"/>
        <v>1.0102186013687577</v>
      </c>
      <c r="P313" s="342">
        <f t="shared" si="121"/>
        <v>0.31522288142646659</v>
      </c>
      <c r="Q313" s="343">
        <f t="shared" si="122"/>
        <v>3.0167942571090576</v>
      </c>
      <c r="R313" s="344">
        <f t="shared" si="123"/>
        <v>-118.14785660199401</v>
      </c>
      <c r="S313" s="346">
        <f t="shared" si="124"/>
        <v>61.852143398005992</v>
      </c>
      <c r="U313" s="319">
        <f t="shared" si="130"/>
        <v>1000000000</v>
      </c>
      <c r="V313" s="319">
        <f t="shared" si="131"/>
        <v>478646884</v>
      </c>
      <c r="X313" s="345">
        <f t="shared" si="125"/>
        <v>26.548473764120224</v>
      </c>
      <c r="Y313" s="346">
        <f t="shared" si="126"/>
        <v>-19.313740740321041</v>
      </c>
      <c r="AA313" s="345">
        <f t="shared" si="127"/>
        <v>40.077441782151467</v>
      </c>
      <c r="AB313" s="346">
        <f t="shared" si="128"/>
        <v>-98.834115861672984</v>
      </c>
      <c r="AD313">
        <f t="shared" si="132"/>
        <v>0</v>
      </c>
      <c r="AE313">
        <f t="shared" si="135"/>
        <v>0</v>
      </c>
    </row>
    <row r="314" spans="1:31" x14ac:dyDescent="0.25">
      <c r="A314" s="347">
        <v>22005.25</v>
      </c>
      <c r="B314" s="364">
        <f t="shared" si="129"/>
        <v>22.00525</v>
      </c>
      <c r="C314" s="337">
        <f t="shared" si="110"/>
        <v>9.595122558510166</v>
      </c>
      <c r="D314" s="338">
        <f t="shared" si="111"/>
        <v>1.4663871138940929</v>
      </c>
      <c r="E314" s="338">
        <f t="shared" si="112"/>
        <v>1.0015898552470635</v>
      </c>
      <c r="F314" s="339">
        <f t="shared" si="113"/>
        <v>5.6351605733103223E-2</v>
      </c>
      <c r="G314" s="338">
        <f t="shared" si="114"/>
        <v>1</v>
      </c>
      <c r="H314" s="339">
        <f t="shared" si="115"/>
        <v>0</v>
      </c>
      <c r="I314" s="337">
        <f t="shared" si="116"/>
        <v>29209.371816859817</v>
      </c>
      <c r="J314" s="340">
        <f t="shared" si="117"/>
        <v>1.5707620912075493</v>
      </c>
      <c r="K314" s="348">
        <f t="shared" si="133"/>
        <v>8.2734823545982419</v>
      </c>
      <c r="L314" s="349">
        <f t="shared" si="134"/>
        <v>1.4496319907026052</v>
      </c>
      <c r="M314" s="337">
        <f t="shared" si="118"/>
        <v>1.023896886133826</v>
      </c>
      <c r="N314" s="340">
        <f t="shared" si="119"/>
        <v>0.21647405557098259</v>
      </c>
      <c r="O314" s="341">
        <f t="shared" si="120"/>
        <v>1.0103463468519247</v>
      </c>
      <c r="P314" s="342">
        <f t="shared" si="121"/>
        <v>0.31707866044590843</v>
      </c>
      <c r="Q314" s="343">
        <f t="shared" si="122"/>
        <v>2.9629801091670198</v>
      </c>
      <c r="R314" s="344">
        <f t="shared" si="123"/>
        <v>-118.29964602282492</v>
      </c>
      <c r="S314" s="346">
        <f t="shared" si="124"/>
        <v>61.700353977175084</v>
      </c>
      <c r="U314" s="319">
        <f t="shared" si="130"/>
        <v>1000000000</v>
      </c>
      <c r="V314" s="319">
        <f t="shared" si="131"/>
        <v>484231027.5625</v>
      </c>
      <c r="X314" s="345">
        <f t="shared" si="125"/>
        <v>26.545422515018011</v>
      </c>
      <c r="Y314" s="346">
        <f t="shared" si="126"/>
        <v>-19.343293311329457</v>
      </c>
      <c r="AA314" s="345">
        <f t="shared" si="127"/>
        <v>40.026678883311639</v>
      </c>
      <c r="AB314" s="346">
        <f t="shared" si="128"/>
        <v>-98.956352711495427</v>
      </c>
      <c r="AD314">
        <f t="shared" si="132"/>
        <v>0</v>
      </c>
      <c r="AE314">
        <f t="shared" si="135"/>
        <v>0</v>
      </c>
    </row>
    <row r="315" spans="1:31" x14ac:dyDescent="0.25">
      <c r="A315" s="347">
        <v>22132.5</v>
      </c>
      <c r="B315" s="364">
        <f t="shared" si="129"/>
        <v>22.1325</v>
      </c>
      <c r="C315" s="337">
        <f t="shared" si="110"/>
        <v>9.6500074206259523</v>
      </c>
      <c r="D315" s="338">
        <f t="shared" si="111"/>
        <v>1.4669830948265981</v>
      </c>
      <c r="E315" s="338">
        <f t="shared" si="112"/>
        <v>1.0016082809530049</v>
      </c>
      <c r="F315" s="339">
        <f t="shared" si="113"/>
        <v>5.6676775384985133E-2</v>
      </c>
      <c r="G315" s="338">
        <f t="shared" si="114"/>
        <v>1</v>
      </c>
      <c r="H315" s="339">
        <f t="shared" si="115"/>
        <v>0</v>
      </c>
      <c r="I315" s="337">
        <f t="shared" si="116"/>
        <v>29378.281170734524</v>
      </c>
      <c r="J315" s="340">
        <f t="shared" si="117"/>
        <v>1.5707622880438077</v>
      </c>
      <c r="K315" s="348">
        <f t="shared" si="133"/>
        <v>8.3206285464273808</v>
      </c>
      <c r="L315" s="349">
        <f t="shared" si="134"/>
        <v>1.4503218803991824</v>
      </c>
      <c r="M315" s="337">
        <f t="shared" si="118"/>
        <v>1.024170791638531</v>
      </c>
      <c r="N315" s="340">
        <f t="shared" si="119"/>
        <v>0.21768679592927895</v>
      </c>
      <c r="O315" s="341">
        <f t="shared" si="120"/>
        <v>1.0104750295129041</v>
      </c>
      <c r="P315" s="342">
        <f t="shared" si="121"/>
        <v>0.3189347943728551</v>
      </c>
      <c r="Q315" s="343">
        <f t="shared" si="122"/>
        <v>2.9094404652634482</v>
      </c>
      <c r="R315" s="344">
        <f t="shared" si="123"/>
        <v>-118.45147942076673</v>
      </c>
      <c r="S315" s="346">
        <f t="shared" si="124"/>
        <v>61.548520579233269</v>
      </c>
      <c r="U315" s="319">
        <f t="shared" si="130"/>
        <v>1000000000</v>
      </c>
      <c r="V315" s="319">
        <f t="shared" si="131"/>
        <v>489847556.25</v>
      </c>
      <c r="X315" s="345">
        <f t="shared" si="125"/>
        <v>26.542371709100266</v>
      </c>
      <c r="Y315" s="346">
        <f t="shared" si="126"/>
        <v>-19.373261725482696</v>
      </c>
      <c r="AA315" s="345">
        <f t="shared" si="127"/>
        <v>39.976190045325815</v>
      </c>
      <c r="AB315" s="346">
        <f t="shared" si="128"/>
        <v>-99.078217695284025</v>
      </c>
      <c r="AD315">
        <f t="shared" si="132"/>
        <v>0</v>
      </c>
      <c r="AE315">
        <f t="shared" si="135"/>
        <v>0</v>
      </c>
    </row>
    <row r="316" spans="1:31" x14ac:dyDescent="0.25">
      <c r="A316" s="347">
        <v>22259.75</v>
      </c>
      <c r="B316" s="364">
        <f t="shared" si="129"/>
        <v>22.25975</v>
      </c>
      <c r="C316" s="337">
        <f t="shared" si="110"/>
        <v>9.7048956715897852</v>
      </c>
      <c r="D316" s="338">
        <f t="shared" si="111"/>
        <v>1.4675723345542384</v>
      </c>
      <c r="E316" s="338">
        <f t="shared" si="112"/>
        <v>1.0016268125603982</v>
      </c>
      <c r="F316" s="339">
        <f t="shared" si="113"/>
        <v>5.7001933038988199E-2</v>
      </c>
      <c r="G316" s="338">
        <f t="shared" si="114"/>
        <v>1</v>
      </c>
      <c r="H316" s="339">
        <f t="shared" si="115"/>
        <v>0</v>
      </c>
      <c r="I316" s="337">
        <f t="shared" si="116"/>
        <v>29547.190524610363</v>
      </c>
      <c r="J316" s="340">
        <f t="shared" si="117"/>
        <v>1.5707624826295992</v>
      </c>
      <c r="K316" s="348">
        <f t="shared" si="133"/>
        <v>8.3677786538148453</v>
      </c>
      <c r="L316" s="349">
        <f t="shared" si="134"/>
        <v>1.4510039957439163</v>
      </c>
      <c r="M316" s="337">
        <f t="shared" si="118"/>
        <v>1.0244462026245802</v>
      </c>
      <c r="N316" s="340">
        <f t="shared" si="119"/>
        <v>0.21889888600588903</v>
      </c>
      <c r="O316" s="341">
        <f t="shared" si="120"/>
        <v>1.0106046526816275</v>
      </c>
      <c r="P316" s="342">
        <f t="shared" si="121"/>
        <v>0.32079128429233139</v>
      </c>
      <c r="Q316" s="343">
        <f t="shared" si="122"/>
        <v>2.8561719178087168</v>
      </c>
      <c r="R316" s="344">
        <f t="shared" si="123"/>
        <v>-118.60335571062899</v>
      </c>
      <c r="S316" s="346">
        <f t="shared" si="124"/>
        <v>61.396644289371011</v>
      </c>
      <c r="U316" s="319">
        <f t="shared" si="130"/>
        <v>1000000000</v>
      </c>
      <c r="V316" s="319">
        <f t="shared" si="131"/>
        <v>495496470.0625</v>
      </c>
      <c r="X316" s="345">
        <f t="shared" si="125"/>
        <v>26.53932108252998</v>
      </c>
      <c r="Y316" s="346">
        <f t="shared" si="126"/>
        <v>-19.40363818984709</v>
      </c>
      <c r="AA316" s="345">
        <f t="shared" si="127"/>
        <v>39.925972124441365</v>
      </c>
      <c r="AB316" s="346">
        <f t="shared" si="128"/>
        <v>-99.199717520781917</v>
      </c>
      <c r="AD316">
        <f t="shared" si="132"/>
        <v>0</v>
      </c>
      <c r="AE316">
        <f t="shared" si="135"/>
        <v>0</v>
      </c>
    </row>
    <row r="317" spans="1:31" x14ac:dyDescent="0.25">
      <c r="A317" s="347">
        <v>22387</v>
      </c>
      <c r="B317" s="364">
        <f t="shared" si="129"/>
        <v>22.387</v>
      </c>
      <c r="C317" s="337">
        <f t="shared" si="110"/>
        <v>9.7597872542258539</v>
      </c>
      <c r="D317" s="338">
        <f t="shared" si="111"/>
        <v>1.4681549464072206</v>
      </c>
      <c r="E317" s="338">
        <f t="shared" si="112"/>
        <v>1.0016454500633649</v>
      </c>
      <c r="F317" s="339">
        <f t="shared" si="113"/>
        <v>5.7327078627024061E-2</v>
      </c>
      <c r="G317" s="338">
        <f t="shared" si="114"/>
        <v>1</v>
      </c>
      <c r="H317" s="339">
        <f t="shared" si="115"/>
        <v>0</v>
      </c>
      <c r="I317" s="337">
        <f t="shared" si="116"/>
        <v>29716.099878487301</v>
      </c>
      <c r="J317" s="340">
        <f t="shared" si="117"/>
        <v>1.5707626750032995</v>
      </c>
      <c r="K317" s="348">
        <f t="shared" si="133"/>
        <v>8.4149326109422908</v>
      </c>
      <c r="L317" s="349">
        <f t="shared" si="134"/>
        <v>1.451678466789847</v>
      </c>
      <c r="M317" s="337">
        <f t="shared" si="118"/>
        <v>1.0247231178781062</v>
      </c>
      <c r="N317" s="340">
        <f t="shared" si="119"/>
        <v>0.22011032276506151</v>
      </c>
      <c r="O317" s="341">
        <f t="shared" si="120"/>
        <v>1.0107352197049611</v>
      </c>
      <c r="P317" s="342">
        <f t="shared" si="121"/>
        <v>0.32264813127292319</v>
      </c>
      <c r="Q317" s="343">
        <f t="shared" si="122"/>
        <v>2.8031711181165142</v>
      </c>
      <c r="R317" s="344">
        <f t="shared" si="123"/>
        <v>-118.75527382765361</v>
      </c>
      <c r="S317" s="346">
        <f t="shared" si="124"/>
        <v>61.24472617234639</v>
      </c>
      <c r="U317" s="319">
        <f t="shared" si="130"/>
        <v>1000000000</v>
      </c>
      <c r="V317" s="319">
        <f t="shared" si="131"/>
        <v>501177769</v>
      </c>
      <c r="X317" s="345">
        <f t="shared" si="125"/>
        <v>26.536270379484314</v>
      </c>
      <c r="Y317" s="346">
        <f t="shared" si="126"/>
        <v>-19.434415081195368</v>
      </c>
      <c r="AA317" s="345">
        <f t="shared" si="127"/>
        <v>39.876022027794832</v>
      </c>
      <c r="AB317" s="346">
        <f t="shared" si="128"/>
        <v>-99.320858746458271</v>
      </c>
      <c r="AD317">
        <f t="shared" si="132"/>
        <v>0</v>
      </c>
      <c r="AE317">
        <f t="shared" si="135"/>
        <v>0</v>
      </c>
    </row>
    <row r="318" spans="1:31" x14ac:dyDescent="0.25">
      <c r="A318" s="347">
        <v>22517.5</v>
      </c>
      <c r="B318" s="364">
        <f t="shared" si="129"/>
        <v>22.517499999999998</v>
      </c>
      <c r="C318" s="337">
        <f t="shared" si="110"/>
        <v>9.8160841848310341</v>
      </c>
      <c r="D318" s="338">
        <f t="shared" si="111"/>
        <v>1.468745670431973</v>
      </c>
      <c r="E318" s="338">
        <f t="shared" si="112"/>
        <v>1.0016646735541068</v>
      </c>
      <c r="F318" s="339">
        <f t="shared" si="113"/>
        <v>5.7660515919349578E-2</v>
      </c>
      <c r="G318" s="338">
        <f t="shared" si="114"/>
        <v>1</v>
      </c>
      <c r="H318" s="339">
        <f t="shared" si="115"/>
        <v>0</v>
      </c>
      <c r="I318" s="337">
        <f t="shared" si="116"/>
        <v>29889.32322372176</v>
      </c>
      <c r="J318" s="340">
        <f t="shared" si="117"/>
        <v>1.5707628700320018</v>
      </c>
      <c r="K318" s="348">
        <f t="shared" si="133"/>
        <v>8.463294824182503</v>
      </c>
      <c r="L318" s="349">
        <f t="shared" si="134"/>
        <v>1.4523623575654108</v>
      </c>
      <c r="M318" s="337">
        <f t="shared" si="118"/>
        <v>1.0250086667334748</v>
      </c>
      <c r="N318" s="340">
        <f t="shared" si="119"/>
        <v>0.22135201822453768</v>
      </c>
      <c r="O318" s="341">
        <f t="shared" si="120"/>
        <v>1.0108701052914728</v>
      </c>
      <c r="P318" s="342">
        <f t="shared" si="121"/>
        <v>0.32455277459475584</v>
      </c>
      <c r="Q318" s="343">
        <f t="shared" si="122"/>
        <v>2.7490913090177242</v>
      </c>
      <c r="R318" s="344">
        <f t="shared" si="123"/>
        <v>-118.91111432404561</v>
      </c>
      <c r="S318" s="346">
        <f t="shared" si="124"/>
        <v>61.088885675954387</v>
      </c>
      <c r="U318" s="319">
        <f t="shared" si="130"/>
        <v>1000000000</v>
      </c>
      <c r="V318" s="319">
        <f t="shared" si="131"/>
        <v>507037806.25</v>
      </c>
      <c r="X318" s="345">
        <f t="shared" si="125"/>
        <v>26.533141421412729</v>
      </c>
      <c r="Y318" s="346">
        <f t="shared" si="126"/>
        <v>-19.466386109734231</v>
      </c>
      <c r="AA318" s="345">
        <f t="shared" si="127"/>
        <v>39.825071176767622</v>
      </c>
      <c r="AB318" s="346">
        <f t="shared" si="128"/>
        <v>-99.444728214311382</v>
      </c>
      <c r="AD318">
        <f t="shared" si="132"/>
        <v>0</v>
      </c>
      <c r="AE318">
        <f t="shared" si="135"/>
        <v>0</v>
      </c>
    </row>
    <row r="319" spans="1:31" x14ac:dyDescent="0.25">
      <c r="A319" s="347">
        <v>22648</v>
      </c>
      <c r="B319" s="364">
        <f t="shared" si="129"/>
        <v>22.648</v>
      </c>
      <c r="C319" s="337">
        <f t="shared" si="110"/>
        <v>9.8723845017398251</v>
      </c>
      <c r="D319" s="338">
        <f t="shared" si="111"/>
        <v>1.4693296570867598</v>
      </c>
      <c r="E319" s="338">
        <f t="shared" si="112"/>
        <v>1.0016840084060741</v>
      </c>
      <c r="F319" s="339">
        <f t="shared" si="113"/>
        <v>5.7993940376499777E-2</v>
      </c>
      <c r="G319" s="338">
        <f t="shared" si="114"/>
        <v>1</v>
      </c>
      <c r="H319" s="339">
        <f t="shared" si="115"/>
        <v>0</v>
      </c>
      <c r="I319" s="337">
        <f t="shared" si="116"/>
        <v>30062.546568957339</v>
      </c>
      <c r="J319" s="340">
        <f t="shared" si="117"/>
        <v>1.5707630628131548</v>
      </c>
      <c r="K319" s="348">
        <f t="shared" si="133"/>
        <v>8.5116609507788397</v>
      </c>
      <c r="L319" s="349">
        <f t="shared" si="134"/>
        <v>1.4530384764583923</v>
      </c>
      <c r="M319" s="337">
        <f t="shared" si="118"/>
        <v>1.0252957950733133</v>
      </c>
      <c r="N319" s="340">
        <f t="shared" si="119"/>
        <v>0.22259302013680377</v>
      </c>
      <c r="O319" s="341">
        <f t="shared" si="120"/>
        <v>1.0110059907452786</v>
      </c>
      <c r="P319" s="342">
        <f t="shared" si="121"/>
        <v>0.32645779567251459</v>
      </c>
      <c r="Q319" s="343">
        <f t="shared" si="122"/>
        <v>2.6952861494951899</v>
      </c>
      <c r="R319" s="344">
        <f t="shared" si="123"/>
        <v>-119.06699660676288</v>
      </c>
      <c r="S319" s="346">
        <f t="shared" si="124"/>
        <v>60.933003393237115</v>
      </c>
      <c r="U319" s="319">
        <f t="shared" si="130"/>
        <v>1000000000</v>
      </c>
      <c r="V319" s="319">
        <f t="shared" si="131"/>
        <v>512931904</v>
      </c>
      <c r="X319" s="345">
        <f t="shared" si="125"/>
        <v>26.530011862650881</v>
      </c>
      <c r="Y319" s="346">
        <f t="shared" si="126"/>
        <v>-19.498762568241279</v>
      </c>
      <c r="AA319" s="345">
        <f t="shared" si="127"/>
        <v>39.774395576006938</v>
      </c>
      <c r="AB319" s="346">
        <f t="shared" si="128"/>
        <v>-99.568234038521638</v>
      </c>
      <c r="AD319">
        <f t="shared" si="132"/>
        <v>0</v>
      </c>
      <c r="AE319">
        <f t="shared" si="135"/>
        <v>0</v>
      </c>
    </row>
    <row r="320" spans="1:31" x14ac:dyDescent="0.25">
      <c r="A320" s="347">
        <v>22778.5</v>
      </c>
      <c r="B320" s="364">
        <f t="shared" si="129"/>
        <v>22.778500000000001</v>
      </c>
      <c r="C320" s="337">
        <f t="shared" si="110"/>
        <v>9.9286881473464366</v>
      </c>
      <c r="D320" s="338">
        <f t="shared" si="111"/>
        <v>1.4699070205887435</v>
      </c>
      <c r="E320" s="338">
        <f t="shared" si="112"/>
        <v>1.0017034546128183</v>
      </c>
      <c r="F320" s="339">
        <f t="shared" si="113"/>
        <v>5.8327351925085195E-2</v>
      </c>
      <c r="G320" s="338">
        <f t="shared" si="114"/>
        <v>1</v>
      </c>
      <c r="H320" s="339">
        <f t="shared" si="115"/>
        <v>0</v>
      </c>
      <c r="I320" s="337">
        <f t="shared" si="116"/>
        <v>30235.769914194021</v>
      </c>
      <c r="J320" s="340">
        <f t="shared" si="117"/>
        <v>1.5707632533853879</v>
      </c>
      <c r="K320" s="348">
        <f t="shared" si="133"/>
        <v>8.5600309243972355</v>
      </c>
      <c r="L320" s="349">
        <f t="shared" si="134"/>
        <v>1.4537069545945396</v>
      </c>
      <c r="M320" s="337">
        <f t="shared" si="118"/>
        <v>1.0255845015710174</v>
      </c>
      <c r="N320" s="340">
        <f t="shared" si="119"/>
        <v>0.22383332526348076</v>
      </c>
      <c r="O320" s="341">
        <f t="shared" si="120"/>
        <v>1.0111428797315059</v>
      </c>
      <c r="P320" s="342">
        <f t="shared" si="121"/>
        <v>0.32836319560434163</v>
      </c>
      <c r="Q320" s="343">
        <f t="shared" si="122"/>
        <v>2.6417522118978463</v>
      </c>
      <c r="R320" s="344">
        <f t="shared" si="123"/>
        <v>-119.22291959080667</v>
      </c>
      <c r="S320" s="346">
        <f t="shared" si="124"/>
        <v>60.777080409193331</v>
      </c>
      <c r="U320" s="319">
        <f t="shared" si="130"/>
        <v>1000000000</v>
      </c>
      <c r="V320" s="319">
        <f t="shared" si="131"/>
        <v>518860062.25</v>
      </c>
      <c r="X320" s="345">
        <f t="shared" si="125"/>
        <v>26.526881451826618</v>
      </c>
      <c r="Y320" s="346">
        <f t="shared" si="126"/>
        <v>-19.531536760432399</v>
      </c>
      <c r="AA320" s="345">
        <f t="shared" si="127"/>
        <v>39.72399204923385</v>
      </c>
      <c r="AB320" s="346">
        <f t="shared" si="128"/>
        <v>-99.691382830374252</v>
      </c>
      <c r="AD320">
        <f t="shared" si="132"/>
        <v>0</v>
      </c>
      <c r="AE320">
        <f t="shared" si="135"/>
        <v>0</v>
      </c>
    </row>
    <row r="321" spans="1:31" x14ac:dyDescent="0.25">
      <c r="A321" s="347">
        <v>22909</v>
      </c>
      <c r="B321" s="364">
        <f t="shared" si="129"/>
        <v>22.908999999999999</v>
      </c>
      <c r="C321" s="337">
        <f t="shared" si="110"/>
        <v>9.9849950653410318</v>
      </c>
      <c r="D321" s="338">
        <f t="shared" si="111"/>
        <v>1.4704778725966263</v>
      </c>
      <c r="E321" s="338">
        <f t="shared" si="112"/>
        <v>1.0017230121678542</v>
      </c>
      <c r="F321" s="339">
        <f t="shared" si="113"/>
        <v>5.8660750491733554E-2</v>
      </c>
      <c r="G321" s="338">
        <f t="shared" si="114"/>
        <v>1</v>
      </c>
      <c r="H321" s="339">
        <f t="shared" si="115"/>
        <v>0</v>
      </c>
      <c r="I321" s="337">
        <f t="shared" si="116"/>
        <v>30408.993259431791</v>
      </c>
      <c r="J321" s="340">
        <f t="shared" si="117"/>
        <v>1.5707634417864502</v>
      </c>
      <c r="K321" s="348">
        <f t="shared" si="133"/>
        <v>8.6084046801893166</v>
      </c>
      <c r="L321" s="349">
        <f t="shared" si="134"/>
        <v>1.4543679201798958</v>
      </c>
      <c r="M321" s="337">
        <f t="shared" si="118"/>
        <v>1.02587478489419</v>
      </c>
      <c r="N321" s="340">
        <f t="shared" si="119"/>
        <v>0.22507293037840034</v>
      </c>
      <c r="O321" s="341">
        <f t="shared" si="120"/>
        <v>1.0112807759338232</v>
      </c>
      <c r="P321" s="342">
        <f t="shared" si="121"/>
        <v>0.33026897546982087</v>
      </c>
      <c r="Q321" s="343">
        <f t="shared" si="122"/>
        <v>2.588486127912879</v>
      </c>
      <c r="R321" s="344">
        <f t="shared" si="123"/>
        <v>-119.37888221146056</v>
      </c>
      <c r="S321" s="346">
        <f t="shared" si="124"/>
        <v>60.621117788539436</v>
      </c>
      <c r="U321" s="319">
        <f t="shared" si="130"/>
        <v>1000000000</v>
      </c>
      <c r="V321" s="319">
        <f t="shared" si="131"/>
        <v>524822281</v>
      </c>
      <c r="X321" s="345">
        <f t="shared" si="125"/>
        <v>26.523749945315096</v>
      </c>
      <c r="Y321" s="346">
        <f t="shared" si="126"/>
        <v>-19.56470115795943</v>
      </c>
      <c r="AA321" s="345">
        <f t="shared" si="127"/>
        <v>39.673857471760414</v>
      </c>
      <c r="AB321" s="346">
        <f t="shared" si="128"/>
        <v>-99.81418105350113</v>
      </c>
      <c r="AD321">
        <f t="shared" si="132"/>
        <v>0</v>
      </c>
      <c r="AE321">
        <f t="shared" si="135"/>
        <v>0</v>
      </c>
    </row>
    <row r="322" spans="1:31" x14ac:dyDescent="0.25">
      <c r="A322" s="347">
        <v>23042.25</v>
      </c>
      <c r="B322" s="364">
        <f t="shared" si="129"/>
        <v>23.042249999999999</v>
      </c>
      <c r="C322" s="337">
        <f t="shared" si="110"/>
        <v>10.04249184694206</v>
      </c>
      <c r="D322" s="338">
        <f t="shared" si="111"/>
        <v>1.4710541487142401</v>
      </c>
      <c r="E322" s="338">
        <f t="shared" si="112"/>
        <v>1.0017430967411436</v>
      </c>
      <c r="F322" s="339">
        <f t="shared" si="113"/>
        <v>5.9001161227285645E-2</v>
      </c>
      <c r="G322" s="338">
        <f t="shared" si="114"/>
        <v>1</v>
      </c>
      <c r="H322" s="339">
        <f t="shared" si="115"/>
        <v>0</v>
      </c>
      <c r="I322" s="337">
        <f t="shared" si="116"/>
        <v>30585.866905049235</v>
      </c>
      <c r="J322" s="340">
        <f t="shared" si="117"/>
        <v>1.570763631955699</v>
      </c>
      <c r="K322" s="348">
        <f t="shared" si="133"/>
        <v>8.6578016430051488</v>
      </c>
      <c r="L322" s="349">
        <f t="shared" si="134"/>
        <v>1.4550351927251099</v>
      </c>
      <c r="M322" s="337">
        <f t="shared" si="118"/>
        <v>1.0261728109261539</v>
      </c>
      <c r="N322" s="340">
        <f t="shared" si="119"/>
        <v>0.22633793180674311</v>
      </c>
      <c r="O322" s="341">
        <f t="shared" si="120"/>
        <v>1.0114226211187634</v>
      </c>
      <c r="P322" s="342">
        <f t="shared" si="121"/>
        <v>0.33221530857710374</v>
      </c>
      <c r="Q322" s="343">
        <f t="shared" si="122"/>
        <v>2.5343705188813761</v>
      </c>
      <c r="R322" s="344">
        <f t="shared" si="123"/>
        <v>-119.53817121333357</v>
      </c>
      <c r="S322" s="346">
        <f t="shared" si="124"/>
        <v>60.46182878666643</v>
      </c>
      <c r="U322" s="319">
        <f t="shared" si="130"/>
        <v>1000000000</v>
      </c>
      <c r="V322" s="319">
        <f t="shared" si="131"/>
        <v>530945285.0625</v>
      </c>
      <c r="X322" s="345">
        <f t="shared" si="125"/>
        <v>26.520551073316696</v>
      </c>
      <c r="Y322" s="346">
        <f t="shared" si="126"/>
        <v>-19.598959396190267</v>
      </c>
      <c r="AA322" s="345">
        <f t="shared" si="127"/>
        <v>39.622940734727308</v>
      </c>
      <c r="AB322" s="346">
        <f t="shared" si="128"/>
        <v>-99.939211817143274</v>
      </c>
      <c r="AD322">
        <f t="shared" si="132"/>
        <v>0</v>
      </c>
      <c r="AE322">
        <f t="shared" si="135"/>
        <v>0</v>
      </c>
    </row>
    <row r="323" spans="1:31" x14ac:dyDescent="0.25">
      <c r="A323" s="347">
        <v>23175.5</v>
      </c>
      <c r="B323" s="364">
        <f t="shared" si="129"/>
        <v>23.1755</v>
      </c>
      <c r="C323" s="337">
        <f t="shared" si="110"/>
        <v>10.099991925624098</v>
      </c>
      <c r="D323" s="338">
        <f t="shared" si="111"/>
        <v>1.4716238634452823</v>
      </c>
      <c r="E323" s="338">
        <f t="shared" si="112"/>
        <v>1.0017632973912285</v>
      </c>
      <c r="F323" s="339">
        <f t="shared" si="113"/>
        <v>5.9341558273453145E-2</v>
      </c>
      <c r="G323" s="338">
        <f t="shared" si="114"/>
        <v>1</v>
      </c>
      <c r="H323" s="339">
        <f t="shared" si="115"/>
        <v>0</v>
      </c>
      <c r="I323" s="337">
        <f t="shared" si="116"/>
        <v>30762.740550667771</v>
      </c>
      <c r="J323" s="340">
        <f t="shared" si="117"/>
        <v>1.5707638199381513</v>
      </c>
      <c r="K323" s="348">
        <f t="shared" si="133"/>
        <v>8.7072024169904196</v>
      </c>
      <c r="L323" s="349">
        <f t="shared" si="134"/>
        <v>1.4556948939490479</v>
      </c>
      <c r="M323" s="337">
        <f t="shared" si="118"/>
        <v>1.0264724781141388</v>
      </c>
      <c r="N323" s="340">
        <f t="shared" si="119"/>
        <v>0.2276021966511092</v>
      </c>
      <c r="O323" s="341">
        <f t="shared" si="120"/>
        <v>1.011565524237696</v>
      </c>
      <c r="P323" s="342">
        <f t="shared" si="121"/>
        <v>0.33416204001458794</v>
      </c>
      <c r="Q323" s="343">
        <f t="shared" si="122"/>
        <v>2.4805272569954462</v>
      </c>
      <c r="R323" s="344">
        <f t="shared" si="123"/>
        <v>-119.69749935873871</v>
      </c>
      <c r="S323" s="346">
        <f t="shared" si="124"/>
        <v>60.30250064126129</v>
      </c>
      <c r="U323" s="319">
        <f t="shared" si="130"/>
        <v>1000000000</v>
      </c>
      <c r="V323" s="319">
        <f t="shared" si="131"/>
        <v>537103800.25</v>
      </c>
      <c r="X323" s="345">
        <f t="shared" si="125"/>
        <v>26.51735056921482</v>
      </c>
      <c r="Y323" s="346">
        <f t="shared" si="126"/>
        <v>-19.633609110728681</v>
      </c>
      <c r="AA323" s="345">
        <f t="shared" si="127"/>
        <v>39.572297976943254</v>
      </c>
      <c r="AB323" s="346">
        <f t="shared" si="128"/>
        <v>-100.06389024801005</v>
      </c>
      <c r="AD323">
        <f t="shared" si="132"/>
        <v>0</v>
      </c>
      <c r="AE323">
        <f t="shared" si="135"/>
        <v>0</v>
      </c>
    </row>
    <row r="324" spans="1:31" x14ac:dyDescent="0.25">
      <c r="A324" s="347">
        <v>23308.75</v>
      </c>
      <c r="B324" s="364">
        <f t="shared" si="129"/>
        <v>23.30875</v>
      </c>
      <c r="C324" s="337">
        <f t="shared" si="110"/>
        <v>10.15749524539428</v>
      </c>
      <c r="D324" s="338">
        <f t="shared" si="111"/>
        <v>1.4721871278521448</v>
      </c>
      <c r="E324" s="338">
        <f t="shared" si="112"/>
        <v>1.0017836141110867</v>
      </c>
      <c r="F324" s="339">
        <f t="shared" si="113"/>
        <v>5.9681941552182857E-2</v>
      </c>
      <c r="G324" s="338">
        <f t="shared" si="114"/>
        <v>1</v>
      </c>
      <c r="H324" s="339">
        <f t="shared" si="115"/>
        <v>0</v>
      </c>
      <c r="I324" s="337">
        <f t="shared" si="116"/>
        <v>30939.614196287388</v>
      </c>
      <c r="J324" s="340">
        <f t="shared" si="117"/>
        <v>1.5707640057713108</v>
      </c>
      <c r="K324" s="348">
        <f t="shared" si="133"/>
        <v>8.7566069376425002</v>
      </c>
      <c r="L324" s="349">
        <f t="shared" si="134"/>
        <v>1.4563471514241042</v>
      </c>
      <c r="M324" s="337">
        <f t="shared" si="118"/>
        <v>1.0267737850212153</v>
      </c>
      <c r="N324" s="340">
        <f t="shared" si="119"/>
        <v>0.22886572151668316</v>
      </c>
      <c r="O324" s="341">
        <f t="shared" si="120"/>
        <v>1.011709489271625</v>
      </c>
      <c r="P324" s="342">
        <f t="shared" si="121"/>
        <v>0.33610917087105158</v>
      </c>
      <c r="Q324" s="343">
        <f t="shared" si="122"/>
        <v>2.4269529392502998</v>
      </c>
      <c r="R324" s="344">
        <f t="shared" si="123"/>
        <v>-119.85686557621742</v>
      </c>
      <c r="S324" s="346">
        <f t="shared" si="124"/>
        <v>60.143134423782584</v>
      </c>
      <c r="U324" s="319">
        <f t="shared" si="130"/>
        <v>1000000000</v>
      </c>
      <c r="V324" s="319">
        <f t="shared" si="131"/>
        <v>543297826.5625</v>
      </c>
      <c r="X324" s="345">
        <f t="shared" si="125"/>
        <v>26.514148197034281</v>
      </c>
      <c r="Y324" s="346">
        <f t="shared" si="126"/>
        <v>-19.668642799855082</v>
      </c>
      <c r="AA324" s="345">
        <f t="shared" si="127"/>
        <v>39.521926031378648</v>
      </c>
      <c r="AB324" s="346">
        <f t="shared" si="128"/>
        <v>-100.1882227763623</v>
      </c>
      <c r="AD324">
        <f t="shared" si="132"/>
        <v>0</v>
      </c>
      <c r="AE324">
        <f t="shared" si="135"/>
        <v>0</v>
      </c>
    </row>
    <row r="325" spans="1:31" x14ac:dyDescent="0.25">
      <c r="A325" s="347">
        <v>23442</v>
      </c>
      <c r="B325" s="364">
        <f t="shared" si="129"/>
        <v>23.442</v>
      </c>
      <c r="C325" s="337">
        <f t="shared" si="110"/>
        <v>10.215001751517429</v>
      </c>
      <c r="D325" s="338">
        <f t="shared" si="111"/>
        <v>1.4727440505128504</v>
      </c>
      <c r="E325" s="338">
        <f t="shared" si="112"/>
        <v>1.0018040468936569</v>
      </c>
      <c r="F325" s="339">
        <f t="shared" si="113"/>
        <v>6.0022310985440669E-2</v>
      </c>
      <c r="G325" s="338">
        <f t="shared" si="114"/>
        <v>1</v>
      </c>
      <c r="H325" s="339">
        <f t="shared" si="115"/>
        <v>0</v>
      </c>
      <c r="I325" s="337">
        <f t="shared" si="116"/>
        <v>31116.487841908052</v>
      </c>
      <c r="J325" s="340">
        <f t="shared" si="117"/>
        <v>1.5707641894918292</v>
      </c>
      <c r="K325" s="348">
        <f t="shared" si="133"/>
        <v>8.8060151419014474</v>
      </c>
      <c r="L325" s="349">
        <f t="shared" si="134"/>
        <v>1.4569920898852362</v>
      </c>
      <c r="M325" s="337">
        <f t="shared" si="118"/>
        <v>1.0270767302042816</v>
      </c>
      <c r="N325" s="340">
        <f t="shared" si="119"/>
        <v>0.23012850302207333</v>
      </c>
      <c r="O325" s="341">
        <f t="shared" si="120"/>
        <v>1.0118545202214893</v>
      </c>
      <c r="P325" s="342">
        <f t="shared" si="121"/>
        <v>0.33805670221468992</v>
      </c>
      <c r="Q325" s="343">
        <f t="shared" si="122"/>
        <v>2.3736442213856446</v>
      </c>
      <c r="R325" s="344">
        <f t="shared" si="123"/>
        <v>-120.01626881407996</v>
      </c>
      <c r="S325" s="346">
        <f t="shared" si="124"/>
        <v>59.983731185920036</v>
      </c>
      <c r="U325" s="319">
        <f t="shared" si="130"/>
        <v>1000000000</v>
      </c>
      <c r="V325" s="319">
        <f t="shared" si="131"/>
        <v>549527364</v>
      </c>
      <c r="X325" s="345">
        <f t="shared" si="125"/>
        <v>26.510943728159596</v>
      </c>
      <c r="Y325" s="346">
        <f t="shared" si="126"/>
        <v>-19.704053125143357</v>
      </c>
      <c r="AA325" s="345">
        <f t="shared" si="127"/>
        <v>39.471821782388673</v>
      </c>
      <c r="AB325" s="346">
        <f t="shared" si="128"/>
        <v>-100.31221568893659</v>
      </c>
      <c r="AD325">
        <f t="shared" si="132"/>
        <v>0</v>
      </c>
      <c r="AE325">
        <f t="shared" si="135"/>
        <v>0</v>
      </c>
    </row>
    <row r="326" spans="1:31" x14ac:dyDescent="0.25">
      <c r="A326" s="347">
        <v>23578.5</v>
      </c>
      <c r="B326" s="364">
        <f t="shared" si="129"/>
        <v>23.578499999999998</v>
      </c>
      <c r="C326" s="337">
        <f t="shared" si="110"/>
        <v>10.273914103295793</v>
      </c>
      <c r="D326" s="338">
        <f t="shared" si="111"/>
        <v>1.473308091963494</v>
      </c>
      <c r="E326" s="338">
        <f t="shared" si="112"/>
        <v>1.0018250983727846</v>
      </c>
      <c r="F326" s="339">
        <f t="shared" si="113"/>
        <v>6.0370967674510917E-2</v>
      </c>
      <c r="G326" s="338">
        <f t="shared" si="114"/>
        <v>1</v>
      </c>
      <c r="H326" s="339">
        <f t="shared" si="115"/>
        <v>0</v>
      </c>
      <c r="I326" s="337">
        <f t="shared" si="116"/>
        <v>31297.675478886402</v>
      </c>
      <c r="J326" s="340">
        <f t="shared" si="117"/>
        <v>1.570764375540215</v>
      </c>
      <c r="K326" s="348">
        <f t="shared" si="133"/>
        <v>8.8566321793393232</v>
      </c>
      <c r="L326" s="349">
        <f t="shared" si="134"/>
        <v>1.4576452970785041</v>
      </c>
      <c r="M326" s="337">
        <f t="shared" si="118"/>
        <v>1.0273887614795107</v>
      </c>
      <c r="N326" s="340">
        <f t="shared" si="119"/>
        <v>0.23142130977852543</v>
      </c>
      <c r="O326" s="341">
        <f t="shared" si="120"/>
        <v>1.0120041979446424</v>
      </c>
      <c r="P326" s="342">
        <f t="shared" si="121"/>
        <v>0.34005215067591638</v>
      </c>
      <c r="Q326" s="343">
        <f t="shared" si="122"/>
        <v>2.3193072513950597</v>
      </c>
      <c r="R326" s="344">
        <f t="shared" si="123"/>
        <v>-120.17959724247649</v>
      </c>
      <c r="S326" s="346">
        <f t="shared" si="124"/>
        <v>59.82040275752351</v>
      </c>
      <c r="U326" s="319">
        <f t="shared" si="130"/>
        <v>1000000000</v>
      </c>
      <c r="V326" s="319">
        <f t="shared" si="131"/>
        <v>555945662.25</v>
      </c>
      <c r="X326" s="345">
        <f t="shared" si="125"/>
        <v>26.507658695990187</v>
      </c>
      <c r="Y326" s="346">
        <f t="shared" si="126"/>
        <v>-19.740710140521408</v>
      </c>
      <c r="AA326" s="345">
        <f t="shared" si="127"/>
        <v>39.420769844567502</v>
      </c>
      <c r="AB326" s="346">
        <f t="shared" si="128"/>
        <v>-100.43888710195507</v>
      </c>
      <c r="AD326">
        <f t="shared" si="132"/>
        <v>0</v>
      </c>
      <c r="AE326">
        <f t="shared" si="135"/>
        <v>0</v>
      </c>
    </row>
    <row r="327" spans="1:31" x14ac:dyDescent="0.25">
      <c r="A327" s="347">
        <v>23715</v>
      </c>
      <c r="B327" s="364">
        <f t="shared" si="129"/>
        <v>23.715</v>
      </c>
      <c r="C327" s="337">
        <f t="shared" si="110"/>
        <v>10.332829686373579</v>
      </c>
      <c r="D327" s="338">
        <f t="shared" si="111"/>
        <v>1.4738657015026237</v>
      </c>
      <c r="E327" s="338">
        <f t="shared" si="112"/>
        <v>1.001846271630134</v>
      </c>
      <c r="F327" s="339">
        <f t="shared" si="113"/>
        <v>6.0719609668774356E-2</v>
      </c>
      <c r="G327" s="338">
        <f t="shared" si="114"/>
        <v>1</v>
      </c>
      <c r="H327" s="339">
        <f t="shared" si="115"/>
        <v>0</v>
      </c>
      <c r="I327" s="337">
        <f t="shared" si="116"/>
        <v>31478.863115865817</v>
      </c>
      <c r="J327" s="340">
        <f t="shared" si="117"/>
        <v>1.5707645594468673</v>
      </c>
      <c r="K327" s="348">
        <f t="shared" si="133"/>
        <v>8.9072529527718309</v>
      </c>
      <c r="L327" s="349">
        <f t="shared" si="134"/>
        <v>1.4582910800663647</v>
      </c>
      <c r="M327" s="337">
        <f t="shared" si="118"/>
        <v>1.0277025088358556</v>
      </c>
      <c r="N327" s="340">
        <f t="shared" si="119"/>
        <v>0.23271332933120381</v>
      </c>
      <c r="O327" s="341">
        <f t="shared" si="120"/>
        <v>1.0121550027769883</v>
      </c>
      <c r="P327" s="342">
        <f t="shared" si="121"/>
        <v>0.342048021601083</v>
      </c>
      <c r="Q327" s="343">
        <f t="shared" si="122"/>
        <v>2.2652420741830279</v>
      </c>
      <c r="R327" s="344">
        <f t="shared" si="123"/>
        <v>-120.3429623463102</v>
      </c>
      <c r="S327" s="346">
        <f t="shared" si="124"/>
        <v>59.657037653689798</v>
      </c>
      <c r="U327" s="319">
        <f t="shared" si="130"/>
        <v>1000000000</v>
      </c>
      <c r="V327" s="319">
        <f t="shared" si="131"/>
        <v>562401225</v>
      </c>
      <c r="X327" s="345">
        <f t="shared" si="125"/>
        <v>26.504371000578399</v>
      </c>
      <c r="Y327" s="346">
        <f t="shared" si="126"/>
        <v>-19.777747305369829</v>
      </c>
      <c r="AA327" s="345">
        <f t="shared" si="127"/>
        <v>39.369992362767256</v>
      </c>
      <c r="AB327" s="346">
        <f t="shared" si="128"/>
        <v>-100.5652150409404</v>
      </c>
      <c r="AD327">
        <f t="shared" si="132"/>
        <v>0</v>
      </c>
      <c r="AE327">
        <f t="shared" si="135"/>
        <v>0</v>
      </c>
    </row>
    <row r="328" spans="1:31" x14ac:dyDescent="0.25">
      <c r="A328" s="347">
        <v>23851.5</v>
      </c>
      <c r="B328" s="364">
        <f t="shared" si="129"/>
        <v>23.851500000000001</v>
      </c>
      <c r="C328" s="337">
        <f t="shared" si="110"/>
        <v>10.391748445791636</v>
      </c>
      <c r="D328" s="338">
        <f t="shared" si="111"/>
        <v>1.4744169881827613</v>
      </c>
      <c r="E328" s="338">
        <f t="shared" si="112"/>
        <v>1.0018675666579844</v>
      </c>
      <c r="F328" s="339">
        <f t="shared" si="113"/>
        <v>6.106823688440962E-2</v>
      </c>
      <c r="G328" s="338">
        <f t="shared" si="114"/>
        <v>1</v>
      </c>
      <c r="H328" s="339">
        <f t="shared" si="115"/>
        <v>0</v>
      </c>
      <c r="I328" s="337">
        <f t="shared" si="116"/>
        <v>31660.050752846291</v>
      </c>
      <c r="J328" s="340">
        <f t="shared" si="117"/>
        <v>1.570764741248557</v>
      </c>
      <c r="K328" s="348">
        <f t="shared" si="133"/>
        <v>8.9578773988628946</v>
      </c>
      <c r="L328" s="349">
        <f t="shared" si="134"/>
        <v>1.4589295641767797</v>
      </c>
      <c r="M328" s="337">
        <f t="shared" si="118"/>
        <v>1.0280179707020907</v>
      </c>
      <c r="N328" s="340">
        <f t="shared" si="119"/>
        <v>0.23400455808927217</v>
      </c>
      <c r="O328" s="341">
        <f t="shared" si="120"/>
        <v>1.0123069390841186</v>
      </c>
      <c r="P328" s="342">
        <f t="shared" si="121"/>
        <v>0.34404431607060454</v>
      </c>
      <c r="Q328" s="343">
        <f t="shared" si="122"/>
        <v>2.2114452777879783</v>
      </c>
      <c r="R328" s="344">
        <f t="shared" si="123"/>
        <v>-120.50636305614003</v>
      </c>
      <c r="S328" s="346">
        <f t="shared" si="124"/>
        <v>59.493636943859968</v>
      </c>
      <c r="U328" s="319">
        <f t="shared" si="130"/>
        <v>1000000000</v>
      </c>
      <c r="V328" s="319">
        <f t="shared" si="131"/>
        <v>568894052.25</v>
      </c>
      <c r="X328" s="345">
        <f t="shared" si="125"/>
        <v>26.501080418633304</v>
      </c>
      <c r="Y328" s="346">
        <f t="shared" si="126"/>
        <v>-19.8151572352924</v>
      </c>
      <c r="AA328" s="345">
        <f t="shared" si="127"/>
        <v>39.319486148317303</v>
      </c>
      <c r="AB328" s="346">
        <f t="shared" si="128"/>
        <v>-100.69120582084763</v>
      </c>
      <c r="AD328">
        <f t="shared" si="132"/>
        <v>0</v>
      </c>
      <c r="AE328">
        <f t="shared" si="135"/>
        <v>0</v>
      </c>
    </row>
    <row r="329" spans="1:31" x14ac:dyDescent="0.25">
      <c r="A329" s="347">
        <v>23988</v>
      </c>
      <c r="B329" s="364">
        <f t="shared" si="129"/>
        <v>23.988</v>
      </c>
      <c r="C329" s="337">
        <f t="shared" si="110"/>
        <v>10.450670327827277</v>
      </c>
      <c r="D329" s="338">
        <f t="shared" si="111"/>
        <v>1.4749620586126062</v>
      </c>
      <c r="E329" s="338">
        <f t="shared" si="112"/>
        <v>1.0018889834485711</v>
      </c>
      <c r="F329" s="339">
        <f t="shared" si="113"/>
        <v>6.1416849237616825E-2</v>
      </c>
      <c r="G329" s="338">
        <f t="shared" si="114"/>
        <v>1</v>
      </c>
      <c r="H329" s="339">
        <f t="shared" si="115"/>
        <v>0</v>
      </c>
      <c r="I329" s="337">
        <f t="shared" si="116"/>
        <v>31841.238389827791</v>
      </c>
      <c r="J329" s="340">
        <f t="shared" si="117"/>
        <v>1.570764920981218</v>
      </c>
      <c r="K329" s="348">
        <f t="shared" si="133"/>
        <v>9.0085054556955928</v>
      </c>
      <c r="L329" s="349">
        <f t="shared" si="134"/>
        <v>1.459560871944436</v>
      </c>
      <c r="M329" s="337">
        <f t="shared" si="118"/>
        <v>1.028335145500338</v>
      </c>
      <c r="N329" s="340">
        <f t="shared" si="119"/>
        <v>0.23529499247683619</v>
      </c>
      <c r="O329" s="341">
        <f t="shared" si="120"/>
        <v>1.0124600112533251</v>
      </c>
      <c r="P329" s="342">
        <f t="shared" si="121"/>
        <v>0.34604103514177509</v>
      </c>
      <c r="Q329" s="343">
        <f t="shared" si="122"/>
        <v>2.1579135091701658</v>
      </c>
      <c r="R329" s="344">
        <f t="shared" si="123"/>
        <v>-120.66979832202907</v>
      </c>
      <c r="S329" s="346">
        <f t="shared" si="124"/>
        <v>59.330201677970933</v>
      </c>
      <c r="U329" s="319">
        <f t="shared" si="130"/>
        <v>1000000000</v>
      </c>
      <c r="V329" s="319">
        <f t="shared" si="131"/>
        <v>575424144</v>
      </c>
      <c r="X329" s="345">
        <f t="shared" si="125"/>
        <v>26.497786733947422</v>
      </c>
      <c r="Y329" s="346">
        <f t="shared" si="126"/>
        <v>-19.852932706743911</v>
      </c>
      <c r="AA329" s="345">
        <f t="shared" si="127"/>
        <v>39.269248064385373</v>
      </c>
      <c r="AB329" s="346">
        <f t="shared" si="128"/>
        <v>-100.81686561528515</v>
      </c>
      <c r="AD329">
        <f t="shared" si="132"/>
        <v>0</v>
      </c>
      <c r="AE329">
        <f t="shared" si="135"/>
        <v>0</v>
      </c>
    </row>
    <row r="330" spans="1:31" x14ac:dyDescent="0.25">
      <c r="A330" s="347">
        <v>24127.75</v>
      </c>
      <c r="B330" s="364">
        <f t="shared" si="129"/>
        <v>24.127749999999999</v>
      </c>
      <c r="C330" s="337">
        <f t="shared" si="110"/>
        <v>10.510998292005008</v>
      </c>
      <c r="D330" s="338">
        <f t="shared" si="111"/>
        <v>1.4755137757160892</v>
      </c>
      <c r="E330" s="338">
        <f t="shared" si="112"/>
        <v>1.0019110363005082</v>
      </c>
      <c r="F330" s="339">
        <f t="shared" si="113"/>
        <v>6.1773746400023415E-2</v>
      </c>
      <c r="G330" s="338">
        <f t="shared" si="114"/>
        <v>1</v>
      </c>
      <c r="H330" s="339">
        <f t="shared" si="115"/>
        <v>0</v>
      </c>
      <c r="I330" s="337">
        <f t="shared" si="116"/>
        <v>32026.740018167056</v>
      </c>
      <c r="J330" s="340">
        <f t="shared" si="117"/>
        <v>1.5707651028863878</v>
      </c>
      <c r="K330" s="348">
        <f t="shared" si="133"/>
        <v>9.0603426199672921</v>
      </c>
      <c r="L330" s="349">
        <f t="shared" si="134"/>
        <v>1.4601999012749214</v>
      </c>
      <c r="M330" s="337">
        <f t="shared" si="118"/>
        <v>1.0286616450185748</v>
      </c>
      <c r="N330" s="340">
        <f t="shared" si="119"/>
        <v>0.23661532480835079</v>
      </c>
      <c r="O330" s="341">
        <f t="shared" si="120"/>
        <v>1.0126179093525458</v>
      </c>
      <c r="P330" s="342">
        <f t="shared" si="121"/>
        <v>0.3480857361091978</v>
      </c>
      <c r="Q330" s="343">
        <f t="shared" si="122"/>
        <v>2.1033783019607561</v>
      </c>
      <c r="R330" s="344">
        <f t="shared" si="123"/>
        <v>-120.83715962733568</v>
      </c>
      <c r="S330" s="346">
        <f t="shared" si="124"/>
        <v>59.16284037266432</v>
      </c>
      <c r="U330" s="319">
        <f t="shared" si="130"/>
        <v>1000000000</v>
      </c>
      <c r="V330" s="319">
        <f t="shared" si="131"/>
        <v>582148320.0625</v>
      </c>
      <c r="X330" s="345">
        <f t="shared" si="125"/>
        <v>26.494411195190807</v>
      </c>
      <c r="Y330" s="346">
        <f t="shared" si="126"/>
        <v>-19.89197891571559</v>
      </c>
      <c r="AA330" s="345">
        <f t="shared" si="127"/>
        <v>39.218088395932575</v>
      </c>
      <c r="AB330" s="346">
        <f t="shared" si="128"/>
        <v>-100.94518071162008</v>
      </c>
      <c r="AD330">
        <f t="shared" si="132"/>
        <v>0</v>
      </c>
      <c r="AE330">
        <f t="shared" si="135"/>
        <v>0</v>
      </c>
    </row>
    <row r="331" spans="1:31" x14ac:dyDescent="0.25">
      <c r="A331" s="347">
        <v>24267.5</v>
      </c>
      <c r="B331" s="364">
        <f t="shared" si="129"/>
        <v>24.267499999999998</v>
      </c>
      <c r="C331" s="337">
        <f t="shared" si="110"/>
        <v>10.571329419126396</v>
      </c>
      <c r="D331" s="338">
        <f t="shared" si="111"/>
        <v>1.4760591956275768</v>
      </c>
      <c r="E331" s="338">
        <f t="shared" si="112"/>
        <v>1.0019332167658215</v>
      </c>
      <c r="F331" s="339">
        <f t="shared" si="113"/>
        <v>6.2130627806144249E-2</v>
      </c>
      <c r="G331" s="338">
        <f t="shared" si="114"/>
        <v>1</v>
      </c>
      <c r="H331" s="339">
        <f t="shared" si="115"/>
        <v>0</v>
      </c>
      <c r="I331" s="337">
        <f t="shared" si="116"/>
        <v>32212.241646507358</v>
      </c>
      <c r="J331" s="340">
        <f t="shared" si="117"/>
        <v>1.5707652826964718</v>
      </c>
      <c r="K331" s="348">
        <f t="shared" si="133"/>
        <v>9.1121834420104744</v>
      </c>
      <c r="L331" s="349">
        <f t="shared" si="134"/>
        <v>1.46083165975935</v>
      </c>
      <c r="M331" s="337">
        <f t="shared" si="118"/>
        <v>1.0289899366396589</v>
      </c>
      <c r="N331" s="340">
        <f t="shared" si="119"/>
        <v>0.23793481695437593</v>
      </c>
      <c r="O331" s="341">
        <f t="shared" si="120"/>
        <v>1.0127770074227165</v>
      </c>
      <c r="P331" s="342">
        <f t="shared" si="121"/>
        <v>0.35013088430622563</v>
      </c>
      <c r="Q331" s="343">
        <f t="shared" si="122"/>
        <v>2.0491139636596816</v>
      </c>
      <c r="R331" s="344">
        <f t="shared" si="123"/>
        <v>-121.00455498692615</v>
      </c>
      <c r="S331" s="346">
        <f t="shared" si="124"/>
        <v>58.995445013073848</v>
      </c>
      <c r="U331" s="319">
        <f t="shared" si="130"/>
        <v>1000000000</v>
      </c>
      <c r="V331" s="319">
        <f t="shared" si="131"/>
        <v>588911556.25</v>
      </c>
      <c r="X331" s="345">
        <f t="shared" si="125"/>
        <v>26.491031967286638</v>
      </c>
      <c r="Y331" s="346">
        <f t="shared" si="126"/>
        <v>-19.931393454358123</v>
      </c>
      <c r="AA331" s="345">
        <f t="shared" si="127"/>
        <v>39.16720328553567</v>
      </c>
      <c r="AB331" s="346">
        <f t="shared" si="128"/>
        <v>-101.07316153256802</v>
      </c>
      <c r="AD331">
        <f t="shared" si="132"/>
        <v>0</v>
      </c>
      <c r="AE331">
        <f t="shared" si="135"/>
        <v>0</v>
      </c>
    </row>
    <row r="332" spans="1:31" x14ac:dyDescent="0.25">
      <c r="A332" s="347">
        <v>24407.25</v>
      </c>
      <c r="B332" s="364">
        <f t="shared" si="129"/>
        <v>24.407250000000001</v>
      </c>
      <c r="C332" s="337">
        <f t="shared" si="110"/>
        <v>10.631663655345509</v>
      </c>
      <c r="D332" s="338">
        <f t="shared" si="111"/>
        <v>1.4765984252286539</v>
      </c>
      <c r="E332" s="338">
        <f t="shared" si="112"/>
        <v>1.0019555248360366</v>
      </c>
      <c r="F332" s="339">
        <f t="shared" si="113"/>
        <v>6.2487493366120805E-2</v>
      </c>
      <c r="G332" s="338">
        <f t="shared" si="114"/>
        <v>1</v>
      </c>
      <c r="H332" s="339">
        <f t="shared" si="115"/>
        <v>0</v>
      </c>
      <c r="I332" s="337">
        <f t="shared" si="116"/>
        <v>32397.743274848701</v>
      </c>
      <c r="J332" s="340">
        <f t="shared" si="117"/>
        <v>1.5707654604474577</v>
      </c>
      <c r="K332" s="348">
        <f t="shared" si="133"/>
        <v>9.1640278597491935</v>
      </c>
      <c r="L332" s="349">
        <f t="shared" si="134"/>
        <v>1.4614562702909886</v>
      </c>
      <c r="M332" s="337">
        <f t="shared" si="118"/>
        <v>1.0293200186488691</v>
      </c>
      <c r="N332" s="340">
        <f t="shared" si="119"/>
        <v>0.23925346512639667</v>
      </c>
      <c r="O332" s="341">
        <f t="shared" si="120"/>
        <v>1.0129373102422867</v>
      </c>
      <c r="P332" s="342">
        <f t="shared" si="121"/>
        <v>0.35217648079141689</v>
      </c>
      <c r="Q332" s="343">
        <f t="shared" si="122"/>
        <v>1.9951170791793491</v>
      </c>
      <c r="R332" s="344">
        <f t="shared" si="123"/>
        <v>-121.17198333419414</v>
      </c>
      <c r="S332" s="346">
        <f t="shared" si="124"/>
        <v>58.828016665805862</v>
      </c>
      <c r="U332" s="319">
        <f t="shared" si="130"/>
        <v>1000000000</v>
      </c>
      <c r="V332" s="319">
        <f t="shared" si="131"/>
        <v>595713852.5625</v>
      </c>
      <c r="X332" s="345">
        <f t="shared" si="125"/>
        <v>26.487648839790111</v>
      </c>
      <c r="Y332" s="346">
        <f t="shared" si="126"/>
        <v>-19.971169066401984</v>
      </c>
      <c r="AA332" s="345">
        <f t="shared" si="127"/>
        <v>39.116589528551863</v>
      </c>
      <c r="AB332" s="346">
        <f t="shared" si="128"/>
        <v>-101.20081426779215</v>
      </c>
      <c r="AD332">
        <f t="shared" si="132"/>
        <v>0</v>
      </c>
      <c r="AE332">
        <f t="shared" si="135"/>
        <v>0</v>
      </c>
    </row>
    <row r="333" spans="1:31" x14ac:dyDescent="0.25">
      <c r="A333" s="347">
        <v>24547</v>
      </c>
      <c r="B333" s="364">
        <f t="shared" si="129"/>
        <v>24.547000000000001</v>
      </c>
      <c r="C333" s="337">
        <f t="shared" ref="C333:C396" si="136">SQRT(1+(A333/pole1)^2)</f>
        <v>10.692000948029063</v>
      </c>
      <c r="D333" s="338">
        <f t="shared" ref="D333:D396" si="137">ATAN(A333/pole1)</f>
        <v>1.4771315690028675</v>
      </c>
      <c r="E333" s="338">
        <f t="shared" ref="E333:E396" si="138">SQRT(1+(A333/Zero1)^2)</f>
        <v>1.0019779605026302</v>
      </c>
      <c r="F333" s="339">
        <f t="shared" ref="F333:F396" si="139">ATAN(A333/Zero1)</f>
        <v>6.2844342990118748E-2</v>
      </c>
      <c r="G333" s="338">
        <f t="shared" ref="G333:G396" si="140">IF(VIN_nom&gt;Vout, 1, SQRT(1+(A333/z_RHP)^2))</f>
        <v>1</v>
      </c>
      <c r="H333" s="339">
        <f t="shared" ref="H333:H396" si="141">IF(VIN_nom&gt;Vout, 0, -ATAN(A333/z_RHP))</f>
        <v>0</v>
      </c>
      <c r="I333" s="337">
        <f t="shared" ref="I333:I396" si="142">SQRT(1+(A333/Pole2)^2)</f>
        <v>32583.244903191051</v>
      </c>
      <c r="J333" s="340">
        <f t="shared" ref="J333:J396" si="143">ATAN(A333/Pole2)</f>
        <v>1.5707656361745139</v>
      </c>
      <c r="K333" s="348">
        <f t="shared" si="133"/>
        <v>9.2158758125000997</v>
      </c>
      <c r="L333" s="349">
        <f t="shared" si="134"/>
        <v>1.4620738530201418</v>
      </c>
      <c r="M333" s="337">
        <f t="shared" ref="M333:M396" si="144">SQRT(1+(A333/pole4)^2)</f>
        <v>1.0296518893243369</v>
      </c>
      <c r="N333" s="340">
        <f t="shared" ref="N333:N396" si="145">ATAN(A333/pole4)</f>
        <v>0.24057126555248295</v>
      </c>
      <c r="O333" s="341">
        <f t="shared" ref="O333:O396" si="146">SQRT((1-(V333/pterm2))^2+(A333/pterm1)^2)</f>
        <v>1.0130988226132516</v>
      </c>
      <c r="P333" s="342">
        <f t="shared" ref="P333:P396" si="147">IF((ATAN((A333/pterm1)/(1-A333^2/pterm2))&gt;0),ATAN((A333/pterm1)/(1-A333^2/pterm2)),PI()+ATAN((A333/pterm1)/(1-A333^2/pterm2)))</f>
        <v>0.3542225265974237</v>
      </c>
      <c r="Q333" s="343">
        <f t="shared" ref="Q333:Q396" si="148">20*LOG10(((E333*K333*G333)/(C333*I333*O333*M333))*Adc)</f>
        <v>1.9413842923964408</v>
      </c>
      <c r="R333" s="344">
        <f t="shared" ref="R333:R396" si="149">((F333+L333+H333)-(D333+J333+P333+N333))*radconv</f>
        <v>-121.33944362171361</v>
      </c>
      <c r="S333" s="346">
        <f t="shared" ref="S333:S396" si="150">IF(R333&gt;0,R333,R333+180)</f>
        <v>58.660556378286387</v>
      </c>
      <c r="U333" s="319">
        <f t="shared" si="130"/>
        <v>1000000000</v>
      </c>
      <c r="V333" s="319">
        <f t="shared" si="131"/>
        <v>602555209</v>
      </c>
      <c r="X333" s="345">
        <f t="shared" ref="X333:X396" si="151">20*LOG10((K333/(I333*M333))*AEA)</f>
        <v>26.484261609057992</v>
      </c>
      <c r="Y333" s="346">
        <f t="shared" ref="Y333:Y396" si="152">(L333-(J333+N333))*radconv</f>
        <v>-20.011298653641141</v>
      </c>
      <c r="AA333" s="345">
        <f t="shared" ref="AA333:AA396" si="153">20*LOG10((E333*G333/(C333*O333))*Acs*Am)</f>
        <v>39.066243972501077</v>
      </c>
      <c r="AB333" s="346">
        <f t="shared" ref="AB333:AB396" si="154">(F333+H333-(D333+P333))*radconv</f>
        <v>-101.32814496807249</v>
      </c>
      <c r="AD333">
        <f t="shared" si="132"/>
        <v>0</v>
      </c>
      <c r="AE333">
        <f t="shared" si="135"/>
        <v>0</v>
      </c>
    </row>
    <row r="334" spans="1:31" x14ac:dyDescent="0.25">
      <c r="A334" s="347">
        <v>24690</v>
      </c>
      <c r="B334" s="364">
        <f t="shared" ref="B334:B397" si="155">A334/1000</f>
        <v>24.69</v>
      </c>
      <c r="C334" s="337">
        <f t="shared" si="136"/>
        <v>10.753744543808292</v>
      </c>
      <c r="D334" s="338">
        <f t="shared" si="137"/>
        <v>1.477670918249802</v>
      </c>
      <c r="E334" s="338">
        <f t="shared" si="138"/>
        <v>1.0020010500018899</v>
      </c>
      <c r="F334" s="339">
        <f t="shared" si="139"/>
        <v>6.320947485269969E-2</v>
      </c>
      <c r="G334" s="338">
        <f t="shared" si="140"/>
        <v>1</v>
      </c>
      <c r="H334" s="339">
        <f t="shared" si="141"/>
        <v>0</v>
      </c>
      <c r="I334" s="337">
        <f t="shared" si="142"/>
        <v>32773.060522891225</v>
      </c>
      <c r="J334" s="340">
        <f t="shared" si="143"/>
        <v>1.5707658139290184</v>
      </c>
      <c r="K334" s="348">
        <f t="shared" si="133"/>
        <v>9.2689331289933321</v>
      </c>
      <c r="L334" s="349">
        <f t="shared" si="134"/>
        <v>1.4626986458196043</v>
      </c>
      <c r="M334" s="337">
        <f t="shared" si="144"/>
        <v>1.0299933276640962</v>
      </c>
      <c r="N334" s="340">
        <f t="shared" si="145"/>
        <v>0.24191883103504275</v>
      </c>
      <c r="O334" s="341">
        <f t="shared" si="146"/>
        <v>1.0132653481919631</v>
      </c>
      <c r="P334" s="342">
        <f t="shared" si="147"/>
        <v>0.35631662103026285</v>
      </c>
      <c r="Q334" s="343">
        <f t="shared" si="148"/>
        <v>1.8866718471466992</v>
      </c>
      <c r="R334" s="344">
        <f t="shared" si="149"/>
        <v>-121.51083032452597</v>
      </c>
      <c r="S334" s="346">
        <f t="shared" si="150"/>
        <v>58.489169675474031</v>
      </c>
      <c r="U334" s="319">
        <f t="shared" ref="U334:U397" si="156">IF(Q334&lt;0,A334,1000000000)</f>
        <v>1000000000</v>
      </c>
      <c r="V334" s="319">
        <f t="shared" ref="V334:V397" si="157">A334^2</f>
        <v>609596100</v>
      </c>
      <c r="X334" s="345">
        <f t="shared" si="151"/>
        <v>26.480791152500242</v>
      </c>
      <c r="Y334" s="346">
        <f t="shared" si="152"/>
        <v>-20.052720662560194</v>
      </c>
      <c r="AA334" s="345">
        <f t="shared" si="153"/>
        <v>39.015001983809086</v>
      </c>
      <c r="AB334" s="346">
        <f t="shared" si="154"/>
        <v>-101.45810966196578</v>
      </c>
      <c r="AD334">
        <f t="shared" ref="AD334:AD397" si="158">SUM((Q335&lt;0)*(Q334&gt;0))*A334</f>
        <v>0</v>
      </c>
      <c r="AE334">
        <f t="shared" si="135"/>
        <v>0</v>
      </c>
    </row>
    <row r="335" spans="1:31" x14ac:dyDescent="0.25">
      <c r="A335" s="347">
        <v>24833</v>
      </c>
      <c r="B335" s="364">
        <f t="shared" si="155"/>
        <v>24.832999999999998</v>
      </c>
      <c r="C335" s="337">
        <f t="shared" si="136"/>
        <v>10.815491232108535</v>
      </c>
      <c r="D335" s="338">
        <f t="shared" si="137"/>
        <v>1.4782041092560574</v>
      </c>
      <c r="E335" s="338">
        <f t="shared" si="138"/>
        <v>1.0020242730830422</v>
      </c>
      <c r="F335" s="339">
        <f t="shared" si="139"/>
        <v>6.3574589839242843E-2</v>
      </c>
      <c r="G335" s="338">
        <f t="shared" si="140"/>
        <v>1</v>
      </c>
      <c r="H335" s="339">
        <f t="shared" si="141"/>
        <v>0</v>
      </c>
      <c r="I335" s="337">
        <f t="shared" si="142"/>
        <v>32962.876142592431</v>
      </c>
      <c r="J335" s="340">
        <f t="shared" si="143"/>
        <v>1.570765989636336</v>
      </c>
      <c r="K335" s="348">
        <f t="shared" si="133"/>
        <v>9.3219940225747191</v>
      </c>
      <c r="L335" s="349">
        <f t="shared" si="134"/>
        <v>1.4633163262027888</v>
      </c>
      <c r="M335" s="337">
        <f t="shared" si="144"/>
        <v>1.0303366351608254</v>
      </c>
      <c r="N335" s="340">
        <f t="shared" si="145"/>
        <v>0.24326550094582525</v>
      </c>
      <c r="O335" s="341">
        <f t="shared" si="146"/>
        <v>1.0134331504824252</v>
      </c>
      <c r="P335" s="342">
        <f t="shared" si="147"/>
        <v>0.35841118802958744</v>
      </c>
      <c r="Q335" s="343">
        <f t="shared" si="148"/>
        <v>1.8322289995077288</v>
      </c>
      <c r="R335" s="344">
        <f t="shared" si="149"/>
        <v>-121.68224831078572</v>
      </c>
      <c r="S335" s="346">
        <f t="shared" si="150"/>
        <v>58.317751689214276</v>
      </c>
      <c r="U335" s="319">
        <f t="shared" si="156"/>
        <v>1000000000</v>
      </c>
      <c r="V335" s="319">
        <f t="shared" si="157"/>
        <v>616677889</v>
      </c>
      <c r="X335" s="345">
        <f t="shared" si="151"/>
        <v>26.477315989081063</v>
      </c>
      <c r="Y335" s="346">
        <f t="shared" si="152"/>
        <v>-20.094498753136257</v>
      </c>
      <c r="AA335" s="345">
        <f t="shared" si="153"/>
        <v>38.964034299589294</v>
      </c>
      <c r="AB335" s="346">
        <f t="shared" si="154"/>
        <v>-101.58774955764947</v>
      </c>
      <c r="AD335">
        <f t="shared" si="158"/>
        <v>0</v>
      </c>
      <c r="AE335">
        <f t="shared" si="135"/>
        <v>0</v>
      </c>
    </row>
    <row r="336" spans="1:31" x14ac:dyDescent="0.25">
      <c r="A336" s="347">
        <v>24976</v>
      </c>
      <c r="B336" s="364">
        <f t="shared" si="155"/>
        <v>24.975999999999999</v>
      </c>
      <c r="C336" s="337">
        <f t="shared" si="136"/>
        <v>10.877240960263975</v>
      </c>
      <c r="D336" s="338">
        <f t="shared" si="137"/>
        <v>1.4787312465962283</v>
      </c>
      <c r="E336" s="338">
        <f t="shared" si="138"/>
        <v>1.0020476297367997</v>
      </c>
      <c r="F336" s="339">
        <f t="shared" si="139"/>
        <v>6.3939687853578758E-2</v>
      </c>
      <c r="G336" s="338">
        <f t="shared" si="140"/>
        <v>1</v>
      </c>
      <c r="H336" s="339">
        <f t="shared" si="141"/>
        <v>0</v>
      </c>
      <c r="I336" s="337">
        <f t="shared" si="142"/>
        <v>33152.691762294635</v>
      </c>
      <c r="J336" s="340">
        <f t="shared" si="143"/>
        <v>1.5707661633316303</v>
      </c>
      <c r="K336" s="348">
        <f t="shared" si="133"/>
        <v>9.3750584325075259</v>
      </c>
      <c r="L336" s="349">
        <f t="shared" si="134"/>
        <v>1.4639270144667449</v>
      </c>
      <c r="M336" s="337">
        <f t="shared" si="144"/>
        <v>1.0306818099467443</v>
      </c>
      <c r="N336" s="340">
        <f t="shared" si="145"/>
        <v>0.24461127129776711</v>
      </c>
      <c r="O336" s="341">
        <f t="shared" si="146"/>
        <v>1.0136022347055715</v>
      </c>
      <c r="P336" s="342">
        <f t="shared" si="147"/>
        <v>0.36050622861672399</v>
      </c>
      <c r="Q336" s="343">
        <f t="shared" si="148"/>
        <v>1.7780523367097656</v>
      </c>
      <c r="R336" s="344">
        <f t="shared" si="149"/>
        <v>-121.85369651726319</v>
      </c>
      <c r="S336" s="346">
        <f t="shared" si="150"/>
        <v>58.146303482736812</v>
      </c>
      <c r="U336" s="319">
        <f t="shared" si="156"/>
        <v>1000000000</v>
      </c>
      <c r="V336" s="319">
        <f t="shared" si="157"/>
        <v>623800576</v>
      </c>
      <c r="X336" s="345">
        <f t="shared" si="151"/>
        <v>26.473835921295358</v>
      </c>
      <c r="Y336" s="346">
        <f t="shared" si="152"/>
        <v>-20.136625806428928</v>
      </c>
      <c r="AA336" s="345">
        <f t="shared" si="153"/>
        <v>38.913337704577039</v>
      </c>
      <c r="AB336" s="346">
        <f t="shared" si="154"/>
        <v>-101.71707071083426</v>
      </c>
      <c r="AD336">
        <f t="shared" si="158"/>
        <v>0</v>
      </c>
      <c r="AE336">
        <f t="shared" si="135"/>
        <v>0</v>
      </c>
    </row>
    <row r="337" spans="1:31" x14ac:dyDescent="0.25">
      <c r="A337" s="347">
        <v>25119</v>
      </c>
      <c r="B337" s="364">
        <f t="shared" si="155"/>
        <v>25.119</v>
      </c>
      <c r="C337" s="337">
        <f t="shared" si="136"/>
        <v>10.938993676795407</v>
      </c>
      <c r="D337" s="338">
        <f t="shared" si="137"/>
        <v>1.4792524324971674</v>
      </c>
      <c r="E337" s="338">
        <f t="shared" si="138"/>
        <v>1.0020711199538226</v>
      </c>
      <c r="F337" s="339">
        <f t="shared" si="139"/>
        <v>6.430476879956501E-2</v>
      </c>
      <c r="G337" s="338">
        <f t="shared" si="140"/>
        <v>1</v>
      </c>
      <c r="H337" s="339">
        <f t="shared" si="141"/>
        <v>0</v>
      </c>
      <c r="I337" s="337">
        <f t="shared" si="142"/>
        <v>33342.507381997835</v>
      </c>
      <c r="J337" s="340">
        <f t="shared" si="143"/>
        <v>1.5707663350492642</v>
      </c>
      <c r="K337" s="348">
        <f t="shared" si="133"/>
        <v>9.4281262994184125</v>
      </c>
      <c r="L337" s="349">
        <f t="shared" si="134"/>
        <v>1.4645308282212004</v>
      </c>
      <c r="M337" s="337">
        <f t="shared" si="144"/>
        <v>1.031028850146422</v>
      </c>
      <c r="N337" s="340">
        <f t="shared" si="145"/>
        <v>0.24595613812216316</v>
      </c>
      <c r="O337" s="341">
        <f t="shared" si="146"/>
        <v>1.0137726061078116</v>
      </c>
      <c r="P337" s="342">
        <f t="shared" si="147"/>
        <v>0.36260174378404281</v>
      </c>
      <c r="Q337" s="343">
        <f t="shared" si="148"/>
        <v>1.7241385048636899</v>
      </c>
      <c r="R337" s="344">
        <f t="shared" si="149"/>
        <v>-122.02517389953053</v>
      </c>
      <c r="S337" s="346">
        <f t="shared" si="150"/>
        <v>57.974826100469471</v>
      </c>
      <c r="U337" s="319">
        <f t="shared" si="156"/>
        <v>1000000000</v>
      </c>
      <c r="V337" s="319">
        <f t="shared" si="157"/>
        <v>630964161</v>
      </c>
      <c r="X337" s="345">
        <f t="shared" si="151"/>
        <v>26.470350758154776</v>
      </c>
      <c r="Y337" s="346">
        <f t="shared" si="152"/>
        <v>-20.179094858475953</v>
      </c>
      <c r="AA337" s="345">
        <f t="shared" si="153"/>
        <v>38.862909035871539</v>
      </c>
      <c r="AB337" s="346">
        <f t="shared" si="154"/>
        <v>-101.84607904105457</v>
      </c>
      <c r="AD337">
        <f t="shared" si="158"/>
        <v>0</v>
      </c>
      <c r="AE337">
        <f t="shared" si="135"/>
        <v>0</v>
      </c>
    </row>
    <row r="338" spans="1:31" x14ac:dyDescent="0.25">
      <c r="A338" s="347">
        <v>25265.25</v>
      </c>
      <c r="B338" s="364">
        <f t="shared" si="155"/>
        <v>25.265250000000002</v>
      </c>
      <c r="C338" s="337">
        <f t="shared" si="136"/>
        <v>11.002152902739258</v>
      </c>
      <c r="D338" s="338">
        <f t="shared" si="137"/>
        <v>1.479779411813368</v>
      </c>
      <c r="E338" s="338">
        <f t="shared" si="138"/>
        <v>1.0020952821806774</v>
      </c>
      <c r="F338" s="339">
        <f t="shared" si="139"/>
        <v>6.4678129284975142E-2</v>
      </c>
      <c r="G338" s="338">
        <f t="shared" si="140"/>
        <v>1</v>
      </c>
      <c r="H338" s="339">
        <f t="shared" si="141"/>
        <v>0</v>
      </c>
      <c r="I338" s="337">
        <f t="shared" si="142"/>
        <v>33536.636993058928</v>
      </c>
      <c r="J338" s="340">
        <f t="shared" si="143"/>
        <v>1.5707665086589768</v>
      </c>
      <c r="K338" s="348">
        <f t="shared" si="133"/>
        <v>9.4824037694470942</v>
      </c>
      <c r="L338" s="349">
        <f t="shared" si="134"/>
        <v>1.465141374205079</v>
      </c>
      <c r="M338" s="337">
        <f t="shared" si="144"/>
        <v>1.0313857051500286</v>
      </c>
      <c r="N338" s="340">
        <f t="shared" si="145"/>
        <v>0.2473306314218493</v>
      </c>
      <c r="O338" s="341">
        <f t="shared" si="146"/>
        <v>1.0139481864743443</v>
      </c>
      <c r="P338" s="342">
        <f t="shared" si="147"/>
        <v>0.36474537618143194</v>
      </c>
      <c r="Q338" s="343">
        <f t="shared" si="148"/>
        <v>1.6692677825493827</v>
      </c>
      <c r="R338" s="344">
        <f t="shared" si="149"/>
        <v>-122.20057760365682</v>
      </c>
      <c r="S338" s="346">
        <f t="shared" si="150"/>
        <v>57.799422396343175</v>
      </c>
      <c r="U338" s="319">
        <f t="shared" si="156"/>
        <v>1000000000</v>
      </c>
      <c r="V338" s="319">
        <f t="shared" si="157"/>
        <v>638332857.5625</v>
      </c>
      <c r="X338" s="345">
        <f t="shared" si="151"/>
        <v>26.466780923943428</v>
      </c>
      <c r="Y338" s="346">
        <f t="shared" si="152"/>
        <v>-20.222875762595919</v>
      </c>
      <c r="AA338" s="345">
        <f t="shared" si="153"/>
        <v>38.811608147768581</v>
      </c>
      <c r="AB338" s="346">
        <f t="shared" si="154"/>
        <v>-101.97770184106091</v>
      </c>
      <c r="AD338">
        <f t="shared" si="158"/>
        <v>0</v>
      </c>
      <c r="AE338">
        <f t="shared" si="135"/>
        <v>0</v>
      </c>
    </row>
    <row r="339" spans="1:31" x14ac:dyDescent="0.25">
      <c r="A339" s="347">
        <v>25411.5</v>
      </c>
      <c r="B339" s="364">
        <f t="shared" si="155"/>
        <v>25.4115</v>
      </c>
      <c r="C339" s="337">
        <f t="shared" si="136"/>
        <v>11.065315149180389</v>
      </c>
      <c r="D339" s="338">
        <f t="shared" si="137"/>
        <v>1.4803003751410224</v>
      </c>
      <c r="E339" s="338">
        <f t="shared" si="138"/>
        <v>1.0021195840909154</v>
      </c>
      <c r="F339" s="339">
        <f t="shared" si="139"/>
        <v>6.50514717140626E-2</v>
      </c>
      <c r="G339" s="338">
        <f t="shared" si="140"/>
        <v>1</v>
      </c>
      <c r="H339" s="339">
        <f t="shared" si="141"/>
        <v>0</v>
      </c>
      <c r="I339" s="337">
        <f t="shared" si="142"/>
        <v>33730.766604121018</v>
      </c>
      <c r="J339" s="340">
        <f t="shared" si="143"/>
        <v>1.5707666802703488</v>
      </c>
      <c r="K339" s="348">
        <f t="shared" si="133"/>
        <v>9.5366847339612022</v>
      </c>
      <c r="L339" s="349">
        <f t="shared" si="134"/>
        <v>1.4657449701925833</v>
      </c>
      <c r="M339" s="337">
        <f t="shared" si="144"/>
        <v>1.031744507330298</v>
      </c>
      <c r="N339" s="340">
        <f t="shared" si="145"/>
        <v>0.2487041713201692</v>
      </c>
      <c r="O339" s="341">
        <f t="shared" si="146"/>
        <v>1.0141251243740603</v>
      </c>
      <c r="P339" s="342">
        <f t="shared" si="147"/>
        <v>0.36688950698223599</v>
      </c>
      <c r="Q339" s="343">
        <f t="shared" si="148"/>
        <v>1.614665060670585</v>
      </c>
      <c r="R339" s="344">
        <f t="shared" si="149"/>
        <v>-122.37600967308205</v>
      </c>
      <c r="S339" s="346">
        <f t="shared" si="150"/>
        <v>57.623990326917948</v>
      </c>
      <c r="U339" s="319">
        <f t="shared" si="156"/>
        <v>1000000000</v>
      </c>
      <c r="V339" s="319">
        <f t="shared" si="157"/>
        <v>645744332.25</v>
      </c>
      <c r="X339" s="345">
        <f t="shared" si="151"/>
        <v>26.463205376009679</v>
      </c>
      <c r="Y339" s="346">
        <f t="shared" si="152"/>
        <v>-20.267000131805197</v>
      </c>
      <c r="AA339" s="345">
        <f t="shared" si="153"/>
        <v>38.760580973823529</v>
      </c>
      <c r="AB339" s="346">
        <f t="shared" si="154"/>
        <v>-102.10900954127683</v>
      </c>
      <c r="AD339">
        <f t="shared" si="158"/>
        <v>0</v>
      </c>
      <c r="AE339">
        <f t="shared" si="135"/>
        <v>0</v>
      </c>
    </row>
    <row r="340" spans="1:31" x14ac:dyDescent="0.25">
      <c r="A340" s="347">
        <v>25557.75</v>
      </c>
      <c r="B340" s="364">
        <f t="shared" si="155"/>
        <v>25.557749999999999</v>
      </c>
      <c r="C340" s="337">
        <f t="shared" si="136"/>
        <v>11.128480364688215</v>
      </c>
      <c r="D340" s="338">
        <f t="shared" si="137"/>
        <v>1.4808154246351035</v>
      </c>
      <c r="E340" s="338">
        <f t="shared" si="138"/>
        <v>1.0021440256743741</v>
      </c>
      <c r="F340" s="339">
        <f t="shared" si="139"/>
        <v>6.5424795984068404E-2</v>
      </c>
      <c r="G340" s="338">
        <f t="shared" si="140"/>
        <v>1</v>
      </c>
      <c r="H340" s="339">
        <f t="shared" si="141"/>
        <v>0</v>
      </c>
      <c r="I340" s="337">
        <f t="shared" si="142"/>
        <v>33924.896215184097</v>
      </c>
      <c r="J340" s="340">
        <f t="shared" si="143"/>
        <v>1.5707668499176852</v>
      </c>
      <c r="K340" s="348">
        <f t="shared" si="133"/>
        <v>9.5909691336286631</v>
      </c>
      <c r="L340" s="349">
        <f t="shared" si="134"/>
        <v>1.4663417337500058</v>
      </c>
      <c r="M340" s="337">
        <f t="shared" si="144"/>
        <v>1.0321052546564744</v>
      </c>
      <c r="N340" s="340">
        <f t="shared" si="145"/>
        <v>0.25007675363148685</v>
      </c>
      <c r="O340" s="341">
        <f t="shared" si="146"/>
        <v>1.0143034255013745</v>
      </c>
      <c r="P340" s="342">
        <f t="shared" si="147"/>
        <v>0.36903413715314998</v>
      </c>
      <c r="Q340" s="343">
        <f t="shared" si="148"/>
        <v>1.5603269338329897</v>
      </c>
      <c r="R340" s="344">
        <f t="shared" si="149"/>
        <v>-122.55146904822406</v>
      </c>
      <c r="S340" s="346">
        <f t="shared" si="150"/>
        <v>57.448530951775936</v>
      </c>
      <c r="U340" s="319">
        <f t="shared" si="156"/>
        <v>1000000000</v>
      </c>
      <c r="V340" s="319">
        <f t="shared" si="157"/>
        <v>653198585.0625</v>
      </c>
      <c r="X340" s="345">
        <f t="shared" si="151"/>
        <v>26.45962392982295</v>
      </c>
      <c r="Y340" s="346">
        <f t="shared" si="152"/>
        <v>-20.31146099219767</v>
      </c>
      <c r="AA340" s="345">
        <f t="shared" si="153"/>
        <v>38.709824293172666</v>
      </c>
      <c r="AB340" s="346">
        <f t="shared" si="154"/>
        <v>-102.24000805602638</v>
      </c>
      <c r="AD340">
        <f t="shared" si="158"/>
        <v>0</v>
      </c>
      <c r="AE340">
        <f t="shared" si="135"/>
        <v>0</v>
      </c>
    </row>
    <row r="341" spans="1:31" x14ac:dyDescent="0.25">
      <c r="A341" s="347">
        <v>25704</v>
      </c>
      <c r="B341" s="364">
        <f t="shared" si="155"/>
        <v>25.704000000000001</v>
      </c>
      <c r="C341" s="337">
        <f t="shared" si="136"/>
        <v>11.191648498990862</v>
      </c>
      <c r="D341" s="338">
        <f t="shared" si="137"/>
        <v>1.4813246601569561</v>
      </c>
      <c r="E341" s="338">
        <f t="shared" si="138"/>
        <v>1.0021686069208344</v>
      </c>
      <c r="F341" s="339">
        <f t="shared" si="139"/>
        <v>6.5798101992263852E-2</v>
      </c>
      <c r="G341" s="338">
        <f t="shared" si="140"/>
        <v>1</v>
      </c>
      <c r="H341" s="339">
        <f t="shared" si="141"/>
        <v>0</v>
      </c>
      <c r="I341" s="337">
        <f t="shared" si="142"/>
        <v>34119.025826248129</v>
      </c>
      <c r="J341" s="340">
        <f t="shared" si="143"/>
        <v>1.570767017634511</v>
      </c>
      <c r="K341" s="348">
        <f t="shared" si="133"/>
        <v>9.6452569104493886</v>
      </c>
      <c r="L341" s="349">
        <f t="shared" si="134"/>
        <v>1.4669317798164954</v>
      </c>
      <c r="M341" s="337">
        <f t="shared" si="144"/>
        <v>1.0324679450896388</v>
      </c>
      <c r="N341" s="340">
        <f t="shared" si="145"/>
        <v>0.25144837419043303</v>
      </c>
      <c r="O341" s="341">
        <f t="shared" si="146"/>
        <v>1.0144830955781801</v>
      </c>
      <c r="P341" s="342">
        <f t="shared" si="147"/>
        <v>0.37117926762858111</v>
      </c>
      <c r="Q341" s="343">
        <f t="shared" si="148"/>
        <v>1.5062500553225224</v>
      </c>
      <c r="R341" s="344">
        <f t="shared" si="149"/>
        <v>-122.72695468787464</v>
      </c>
      <c r="S341" s="346">
        <f t="shared" si="150"/>
        <v>57.273045312125362</v>
      </c>
      <c r="U341" s="319">
        <f t="shared" si="156"/>
        <v>1000000000</v>
      </c>
      <c r="V341" s="319">
        <f t="shared" si="157"/>
        <v>660695616</v>
      </c>
      <c r="X341" s="345">
        <f t="shared" si="151"/>
        <v>26.45603640708422</v>
      </c>
      <c r="Y341" s="346">
        <f t="shared" si="152"/>
        <v>-20.356251521507964</v>
      </c>
      <c r="AA341" s="345">
        <f t="shared" si="153"/>
        <v>38.659334937400935</v>
      </c>
      <c r="AB341" s="346">
        <f t="shared" si="154"/>
        <v>-102.37070316636665</v>
      </c>
      <c r="AD341">
        <f t="shared" si="158"/>
        <v>0</v>
      </c>
      <c r="AE341">
        <f t="shared" si="135"/>
        <v>0</v>
      </c>
    </row>
    <row r="342" spans="1:31" x14ac:dyDescent="0.25">
      <c r="A342" s="347">
        <v>25853.75</v>
      </c>
      <c r="B342" s="364">
        <f t="shared" si="155"/>
        <v>25.853750000000002</v>
      </c>
      <c r="C342" s="337">
        <f t="shared" si="136"/>
        <v>11.256331322412812</v>
      </c>
      <c r="D342" s="338">
        <f t="shared" si="137"/>
        <v>1.4818401601256146</v>
      </c>
      <c r="E342" s="338">
        <f t="shared" si="138"/>
        <v>1.0021939211422459</v>
      </c>
      <c r="F342" s="339">
        <f t="shared" si="139"/>
        <v>6.618032278960384E-2</v>
      </c>
      <c r="G342" s="338">
        <f t="shared" si="140"/>
        <v>1</v>
      </c>
      <c r="H342" s="339">
        <f t="shared" si="141"/>
        <v>0</v>
      </c>
      <c r="I342" s="337">
        <f t="shared" si="142"/>
        <v>34317.80127415913</v>
      </c>
      <c r="J342" s="340">
        <f t="shared" si="143"/>
        <v>1.5707671873989268</v>
      </c>
      <c r="K342" s="348">
        <f t="shared" si="133"/>
        <v>9.700847322062792</v>
      </c>
      <c r="L342" s="349">
        <f t="shared" si="134"/>
        <v>1.4675291034528559</v>
      </c>
      <c r="M342" s="337">
        <f t="shared" si="144"/>
        <v>1.0328413265717609</v>
      </c>
      <c r="N342" s="340">
        <f t="shared" si="145"/>
        <v>0.25285181897536996</v>
      </c>
      <c r="O342" s="341">
        <f t="shared" si="146"/>
        <v>1.0146684899399705</v>
      </c>
      <c r="P342" s="342">
        <f t="shared" si="147"/>
        <v>0.37337625390912571</v>
      </c>
      <c r="Q342" s="343">
        <f t="shared" si="148"/>
        <v>1.4511462953333458</v>
      </c>
      <c r="R342" s="344">
        <f t="shared" si="149"/>
        <v>-122.90666612999108</v>
      </c>
      <c r="S342" s="346">
        <f t="shared" si="150"/>
        <v>57.093333870008919</v>
      </c>
      <c r="U342" s="319">
        <f t="shared" si="156"/>
        <v>1000000000</v>
      </c>
      <c r="V342" s="319">
        <f t="shared" si="157"/>
        <v>668416389.0625</v>
      </c>
      <c r="X342" s="345">
        <f t="shared" si="151"/>
        <v>26.452356552781833</v>
      </c>
      <c r="Y342" s="346">
        <f t="shared" si="152"/>
        <v>-20.402448587934959</v>
      </c>
      <c r="AA342" s="345">
        <f t="shared" si="153"/>
        <v>38.607911031714139</v>
      </c>
      <c r="AB342" s="346">
        <f t="shared" si="154"/>
        <v>-102.5042175420561</v>
      </c>
      <c r="AD342">
        <f t="shared" si="158"/>
        <v>0</v>
      </c>
      <c r="AE342">
        <f t="shared" si="135"/>
        <v>0</v>
      </c>
    </row>
    <row r="343" spans="1:31" x14ac:dyDescent="0.25">
      <c r="A343" s="347">
        <v>26003.5</v>
      </c>
      <c r="B343" s="364">
        <f t="shared" si="155"/>
        <v>26.003499999999999</v>
      </c>
      <c r="C343" s="337">
        <f t="shared" si="136"/>
        <v>11.321017102913006</v>
      </c>
      <c r="D343" s="338">
        <f t="shared" si="137"/>
        <v>1.4823497693234644</v>
      </c>
      <c r="E343" s="338">
        <f t="shared" si="138"/>
        <v>1.0022193817695029</v>
      </c>
      <c r="F343" s="339">
        <f t="shared" si="139"/>
        <v>6.6562524222716357E-2</v>
      </c>
      <c r="G343" s="338">
        <f t="shared" si="140"/>
        <v>1</v>
      </c>
      <c r="H343" s="339">
        <f t="shared" si="141"/>
        <v>0</v>
      </c>
      <c r="I343" s="337">
        <f t="shared" si="142"/>
        <v>34516.576722071106</v>
      </c>
      <c r="J343" s="340">
        <f t="shared" si="143"/>
        <v>1.5707673552080503</v>
      </c>
      <c r="K343" s="348">
        <f t="shared" ref="K343:K406" si="159">SQRT(1+(A343/Zero2)^2)</f>
        <v>9.7564411554516273</v>
      </c>
      <c r="L343" s="349">
        <f t="shared" ref="L343:L406" si="160">ATAN(A343/Zero2)</f>
        <v>1.4681196199979589</v>
      </c>
      <c r="M343" s="337">
        <f t="shared" si="144"/>
        <v>1.0332167409246353</v>
      </c>
      <c r="N343" s="340">
        <f t="shared" si="145"/>
        <v>0.25425424665106233</v>
      </c>
      <c r="O343" s="341">
        <f t="shared" si="146"/>
        <v>1.0148553317871294</v>
      </c>
      <c r="P343" s="342">
        <f t="shared" si="147"/>
        <v>0.37557376660532016</v>
      </c>
      <c r="Q343" s="343">
        <f t="shared" si="148"/>
        <v>1.3963095186226662</v>
      </c>
      <c r="R343" s="344">
        <f t="shared" si="149"/>
        <v>-123.08640295618846</v>
      </c>
      <c r="S343" s="346">
        <f t="shared" si="150"/>
        <v>56.913597043811535</v>
      </c>
      <c r="U343" s="319">
        <f t="shared" si="156"/>
        <v>1000000000</v>
      </c>
      <c r="V343" s="319">
        <f t="shared" si="157"/>
        <v>676182012.25</v>
      </c>
      <c r="X343" s="345">
        <f t="shared" si="151"/>
        <v>26.448669968400576</v>
      </c>
      <c r="Y343" s="346">
        <f t="shared" si="152"/>
        <v>-20.44897728386514</v>
      </c>
      <c r="AA343" s="345">
        <f t="shared" si="153"/>
        <v>38.556760839384722</v>
      </c>
      <c r="AB343" s="346">
        <f t="shared" si="154"/>
        <v>-102.6374256723233</v>
      </c>
      <c r="AD343">
        <f t="shared" si="158"/>
        <v>0</v>
      </c>
      <c r="AE343">
        <f t="shared" si="135"/>
        <v>0</v>
      </c>
    </row>
    <row r="344" spans="1:31" x14ac:dyDescent="0.25">
      <c r="A344" s="347">
        <v>26153.25</v>
      </c>
      <c r="B344" s="364">
        <f t="shared" si="155"/>
        <v>26.15325</v>
      </c>
      <c r="C344" s="337">
        <f t="shared" si="136"/>
        <v>11.385705790091169</v>
      </c>
      <c r="D344" s="338">
        <f t="shared" si="137"/>
        <v>1.4828535878900155</v>
      </c>
      <c r="E344" s="338">
        <f t="shared" si="138"/>
        <v>1.0022449887914471</v>
      </c>
      <c r="F344" s="339">
        <f t="shared" si="139"/>
        <v>6.6944706181419039E-2</v>
      </c>
      <c r="G344" s="338">
        <f t="shared" si="140"/>
        <v>1</v>
      </c>
      <c r="H344" s="339">
        <f t="shared" si="141"/>
        <v>0</v>
      </c>
      <c r="I344" s="337">
        <f t="shared" si="142"/>
        <v>34715.352169984042</v>
      </c>
      <c r="J344" s="340">
        <f t="shared" si="143"/>
        <v>1.5707675210954688</v>
      </c>
      <c r="K344" s="348">
        <f t="shared" si="159"/>
        <v>9.8120383524537864</v>
      </c>
      <c r="L344" s="349">
        <f t="shared" si="160"/>
        <v>1.4687034447479161</v>
      </c>
      <c r="M344" s="337">
        <f t="shared" si="144"/>
        <v>1.0335941859331703</v>
      </c>
      <c r="N344" s="340">
        <f t="shared" si="145"/>
        <v>0.25565565281220859</v>
      </c>
      <c r="O344" s="341">
        <f t="shared" si="146"/>
        <v>1.0150436273511458</v>
      </c>
      <c r="P344" s="342">
        <f t="shared" si="147"/>
        <v>0.37777180661405185</v>
      </c>
      <c r="Q344" s="343">
        <f t="shared" si="148"/>
        <v>1.3417363149443031</v>
      </c>
      <c r="R344" s="344">
        <f t="shared" si="149"/>
        <v>-123.26616410527755</v>
      </c>
      <c r="S344" s="346">
        <f t="shared" si="150"/>
        <v>56.733835894722446</v>
      </c>
      <c r="U344" s="319">
        <f t="shared" si="156"/>
        <v>1000000000</v>
      </c>
      <c r="V344" s="319">
        <f t="shared" si="157"/>
        <v>683992485.5625</v>
      </c>
      <c r="X344" s="345">
        <f t="shared" si="151"/>
        <v>26.444976481522588</v>
      </c>
      <c r="Y344" s="346">
        <f t="shared" si="152"/>
        <v>-20.495830752837097</v>
      </c>
      <c r="AA344" s="345">
        <f t="shared" si="153"/>
        <v>38.505881122584341</v>
      </c>
      <c r="AB344" s="346">
        <f t="shared" si="154"/>
        <v>-102.77033335244042</v>
      </c>
      <c r="AD344">
        <f t="shared" si="158"/>
        <v>0</v>
      </c>
      <c r="AE344">
        <f t="shared" si="135"/>
        <v>0</v>
      </c>
    </row>
    <row r="345" spans="1:31" x14ac:dyDescent="0.25">
      <c r="A345" s="347">
        <v>26303</v>
      </c>
      <c r="B345" s="364">
        <f t="shared" si="155"/>
        <v>26.303000000000001</v>
      </c>
      <c r="C345" s="337">
        <f t="shared" si="136"/>
        <v>11.450397334683721</v>
      </c>
      <c r="D345" s="338">
        <f t="shared" si="137"/>
        <v>1.4833517137136487</v>
      </c>
      <c r="E345" s="338">
        <f t="shared" si="138"/>
        <v>1.002270742196858</v>
      </c>
      <c r="F345" s="339">
        <f t="shared" si="139"/>
        <v>6.7326868555563524E-2</v>
      </c>
      <c r="G345" s="338">
        <f t="shared" si="140"/>
        <v>1</v>
      </c>
      <c r="H345" s="339">
        <f t="shared" si="141"/>
        <v>0</v>
      </c>
      <c r="I345" s="337">
        <f t="shared" si="142"/>
        <v>34914.127617897931</v>
      </c>
      <c r="J345" s="340">
        <f t="shared" si="143"/>
        <v>1.5707676850940047</v>
      </c>
      <c r="K345" s="348">
        <f t="shared" si="159"/>
        <v>9.8676388562144908</v>
      </c>
      <c r="L345" s="349">
        <f t="shared" si="160"/>
        <v>1.4692806904187199</v>
      </c>
      <c r="M345" s="337">
        <f t="shared" si="144"/>
        <v>1.0339736593735349</v>
      </c>
      <c r="N345" s="340">
        <f t="shared" si="145"/>
        <v>0.25705603307597158</v>
      </c>
      <c r="O345" s="341">
        <f t="shared" si="146"/>
        <v>1.0152333828932574</v>
      </c>
      <c r="P345" s="342">
        <f t="shared" si="147"/>
        <v>0.37997037479604828</v>
      </c>
      <c r="Q345" s="343">
        <f t="shared" si="148"/>
        <v>1.2874233328110307</v>
      </c>
      <c r="R345" s="344">
        <f t="shared" si="149"/>
        <v>-123.44594853408833</v>
      </c>
      <c r="S345" s="346">
        <f t="shared" si="150"/>
        <v>56.55405146591167</v>
      </c>
      <c r="U345" s="319">
        <f t="shared" si="156"/>
        <v>1000000000</v>
      </c>
      <c r="V345" s="319">
        <f t="shared" si="157"/>
        <v>691847809</v>
      </c>
      <c r="X345" s="345">
        <f t="shared" si="151"/>
        <v>26.441275925717193</v>
      </c>
      <c r="Y345" s="346">
        <f t="shared" si="152"/>
        <v>-20.543002287462748</v>
      </c>
      <c r="AA345" s="345">
        <f t="shared" si="153"/>
        <v>38.455268696256468</v>
      </c>
      <c r="AB345" s="346">
        <f t="shared" si="154"/>
        <v>-102.90294624662558</v>
      </c>
      <c r="AD345">
        <f t="shared" si="158"/>
        <v>0</v>
      </c>
      <c r="AE345">
        <f t="shared" si="135"/>
        <v>0</v>
      </c>
    </row>
    <row r="346" spans="1:31" x14ac:dyDescent="0.25">
      <c r="A346" s="347">
        <v>26456</v>
      </c>
      <c r="B346" s="364">
        <f t="shared" si="155"/>
        <v>26.456</v>
      </c>
      <c r="C346" s="337">
        <f t="shared" si="136"/>
        <v>11.516495770409458</v>
      </c>
      <c r="D346" s="338">
        <f t="shared" si="137"/>
        <v>1.4838548704156744</v>
      </c>
      <c r="E346" s="338">
        <f t="shared" si="138"/>
        <v>1.0022972056958639</v>
      </c>
      <c r="F346" s="339">
        <f t="shared" si="139"/>
        <v>6.7717304596549427E-2</v>
      </c>
      <c r="G346" s="338">
        <f t="shared" si="140"/>
        <v>1</v>
      </c>
      <c r="H346" s="339">
        <f t="shared" si="141"/>
        <v>0</v>
      </c>
      <c r="I346" s="337">
        <f t="shared" si="142"/>
        <v>35117.21705716983</v>
      </c>
      <c r="J346" s="340">
        <f t="shared" si="143"/>
        <v>1.5707678507343219</v>
      </c>
      <c r="K346" s="348">
        <f t="shared" si="159"/>
        <v>9.9244494060761905</v>
      </c>
      <c r="L346" s="349">
        <f t="shared" si="160"/>
        <v>1.4698637837838711</v>
      </c>
      <c r="M346" s="337">
        <f t="shared" si="144"/>
        <v>1.0343634610857129</v>
      </c>
      <c r="N346" s="340">
        <f t="shared" si="145"/>
        <v>0.25848574149375758</v>
      </c>
      <c r="O346" s="341">
        <f t="shared" si="146"/>
        <v>1.0154287710639169</v>
      </c>
      <c r="P346" s="342">
        <f t="shared" si="147"/>
        <v>0.38221720449659746</v>
      </c>
      <c r="Q346" s="343">
        <f t="shared" si="148"/>
        <v>1.2321969325855886</v>
      </c>
      <c r="R346" s="344">
        <f t="shared" si="149"/>
        <v>-123.62965777144515</v>
      </c>
      <c r="S346" s="346">
        <f t="shared" si="150"/>
        <v>56.370342228554847</v>
      </c>
      <c r="U346" s="319">
        <f t="shared" si="156"/>
        <v>1000000000</v>
      </c>
      <c r="V346" s="319">
        <f t="shared" si="157"/>
        <v>699919936</v>
      </c>
      <c r="X346" s="345">
        <f t="shared" si="151"/>
        <v>26.437487589555634</v>
      </c>
      <c r="Y346" s="346">
        <f t="shared" si="152"/>
        <v>-20.591519247397496</v>
      </c>
      <c r="AA346" s="345">
        <f t="shared" si="153"/>
        <v>38.40383063219258</v>
      </c>
      <c r="AB346" s="346">
        <f t="shared" si="154"/>
        <v>-103.03813852404767</v>
      </c>
      <c r="AD346">
        <f t="shared" si="158"/>
        <v>0</v>
      </c>
      <c r="AE346">
        <f t="shared" ref="AE346:AE409" si="161">IF(AD346&gt;0,S346,0)</f>
        <v>0</v>
      </c>
    </row>
    <row r="347" spans="1:31" x14ac:dyDescent="0.25">
      <c r="A347" s="347">
        <v>26609</v>
      </c>
      <c r="B347" s="364">
        <f t="shared" si="155"/>
        <v>26.609000000000002</v>
      </c>
      <c r="C347" s="337">
        <f t="shared" si="136"/>
        <v>11.582597088450772</v>
      </c>
      <c r="D347" s="338">
        <f t="shared" si="137"/>
        <v>1.4843522842607979</v>
      </c>
      <c r="E347" s="338">
        <f t="shared" si="138"/>
        <v>1.002323821977277</v>
      </c>
      <c r="F347" s="339">
        <f t="shared" si="139"/>
        <v>6.8107719961322796E-2</v>
      </c>
      <c r="G347" s="338">
        <f t="shared" si="140"/>
        <v>1</v>
      </c>
      <c r="H347" s="339">
        <f t="shared" si="141"/>
        <v>0</v>
      </c>
      <c r="I347" s="337">
        <f t="shared" si="142"/>
        <v>35320.306496442681</v>
      </c>
      <c r="J347" s="340">
        <f t="shared" si="143"/>
        <v>1.5707680144697973</v>
      </c>
      <c r="K347" s="348">
        <f t="shared" si="159"/>
        <v>9.9812632918178679</v>
      </c>
      <c r="L347" s="349">
        <f t="shared" si="160"/>
        <v>1.4704402393457741</v>
      </c>
      <c r="M347" s="337">
        <f t="shared" si="144"/>
        <v>1.0347553755097612</v>
      </c>
      <c r="N347" s="340">
        <f t="shared" si="145"/>
        <v>0.25991436982350802</v>
      </c>
      <c r="O347" s="341">
        <f t="shared" si="146"/>
        <v>1.0156256965799093</v>
      </c>
      <c r="P347" s="342">
        <f t="shared" si="147"/>
        <v>0.38446458724524379</v>
      </c>
      <c r="Q347" s="343">
        <f t="shared" si="148"/>
        <v>1.1772352803914874</v>
      </c>
      <c r="R347" s="344">
        <f t="shared" si="149"/>
        <v>-123.81338916380679</v>
      </c>
      <c r="S347" s="346">
        <f t="shared" si="150"/>
        <v>56.186610836193211</v>
      </c>
      <c r="U347" s="319">
        <f t="shared" si="156"/>
        <v>1000000000</v>
      </c>
      <c r="V347" s="319">
        <f t="shared" si="157"/>
        <v>708038881</v>
      </c>
      <c r="X347" s="345">
        <f t="shared" si="151"/>
        <v>26.433691541343336</v>
      </c>
      <c r="Y347" s="346">
        <f t="shared" si="152"/>
        <v>-20.640354531818637</v>
      </c>
      <c r="AA347" s="345">
        <f t="shared" si="153"/>
        <v>38.352665028210787</v>
      </c>
      <c r="AB347" s="346">
        <f t="shared" si="154"/>
        <v>-103.17303463198814</v>
      </c>
      <c r="AD347">
        <f t="shared" si="158"/>
        <v>0</v>
      </c>
      <c r="AE347">
        <f t="shared" si="161"/>
        <v>0</v>
      </c>
    </row>
    <row r="348" spans="1:31" x14ac:dyDescent="0.25">
      <c r="A348" s="347">
        <v>26762</v>
      </c>
      <c r="B348" s="364">
        <f t="shared" si="155"/>
        <v>26.762</v>
      </c>
      <c r="C348" s="337">
        <f t="shared" si="136"/>
        <v>11.648701239739998</v>
      </c>
      <c r="D348" s="338">
        <f t="shared" si="137"/>
        <v>1.4848440527696027</v>
      </c>
      <c r="E348" s="338">
        <f t="shared" si="138"/>
        <v>1.0023505910289261</v>
      </c>
      <c r="F348" s="339">
        <f t="shared" si="139"/>
        <v>6.8498114532518029E-2</v>
      </c>
      <c r="G348" s="338">
        <f t="shared" si="140"/>
        <v>1</v>
      </c>
      <c r="H348" s="339">
        <f t="shared" si="141"/>
        <v>0</v>
      </c>
      <c r="I348" s="337">
        <f t="shared" si="142"/>
        <v>35523.395935716479</v>
      </c>
      <c r="J348" s="340">
        <f t="shared" si="143"/>
        <v>1.5707681763331012</v>
      </c>
      <c r="K348" s="348">
        <f t="shared" si="159"/>
        <v>10.038080456797925</v>
      </c>
      <c r="L348" s="349">
        <f t="shared" si="160"/>
        <v>1.4710101694311573</v>
      </c>
      <c r="M348" s="337">
        <f t="shared" si="144"/>
        <v>1.03514940024602</v>
      </c>
      <c r="N348" s="340">
        <f t="shared" si="145"/>
        <v>0.26134191346373181</v>
      </c>
      <c r="O348" s="341">
        <f t="shared" si="146"/>
        <v>1.0158241662144905</v>
      </c>
      <c r="P348" s="342">
        <f t="shared" si="147"/>
        <v>0.3867125238419436</v>
      </c>
      <c r="Q348" s="343">
        <f t="shared" si="148"/>
        <v>1.1225349831625591</v>
      </c>
      <c r="R348" s="344">
        <f t="shared" si="149"/>
        <v>-123.99714165362803</v>
      </c>
      <c r="S348" s="346">
        <f t="shared" si="150"/>
        <v>56.002858346371966</v>
      </c>
      <c r="U348" s="319">
        <f t="shared" si="156"/>
        <v>1000000000</v>
      </c>
      <c r="V348" s="319">
        <f t="shared" si="157"/>
        <v>716204644</v>
      </c>
      <c r="X348" s="345">
        <f t="shared" si="151"/>
        <v>26.429887621684706</v>
      </c>
      <c r="Y348" s="346">
        <f t="shared" si="152"/>
        <v>-20.689501443104543</v>
      </c>
      <c r="AA348" s="345">
        <f t="shared" si="153"/>
        <v>38.301768650640483</v>
      </c>
      <c r="AB348" s="346">
        <f t="shared" si="154"/>
        <v>-103.30764021052349</v>
      </c>
      <c r="AD348">
        <f t="shared" si="158"/>
        <v>0</v>
      </c>
      <c r="AE348">
        <f t="shared" si="161"/>
        <v>0</v>
      </c>
    </row>
    <row r="349" spans="1:31" x14ac:dyDescent="0.25">
      <c r="A349" s="347">
        <v>26915</v>
      </c>
      <c r="B349" s="364">
        <f t="shared" si="155"/>
        <v>26.914999999999999</v>
      </c>
      <c r="C349" s="337">
        <f t="shared" si="136"/>
        <v>11.714808176314902</v>
      </c>
      <c r="D349" s="338">
        <f t="shared" si="137"/>
        <v>1.4853302712724916</v>
      </c>
      <c r="E349" s="338">
        <f t="shared" si="138"/>
        <v>1.0023775128385726</v>
      </c>
      <c r="F349" s="339">
        <f t="shared" si="139"/>
        <v>6.8888488192807351E-2</v>
      </c>
      <c r="G349" s="338">
        <f t="shared" si="140"/>
        <v>1</v>
      </c>
      <c r="H349" s="339">
        <f t="shared" si="141"/>
        <v>0</v>
      </c>
      <c r="I349" s="337">
        <f t="shared" si="142"/>
        <v>35726.485374991185</v>
      </c>
      <c r="J349" s="340">
        <f t="shared" si="143"/>
        <v>1.5707683363561609</v>
      </c>
      <c r="K349" s="348">
        <f t="shared" si="159"/>
        <v>10.094900845646714</v>
      </c>
      <c r="L349" s="349">
        <f t="shared" si="160"/>
        <v>1.4715736838549462</v>
      </c>
      <c r="M349" s="337">
        <f t="shared" si="144"/>
        <v>1.0355455328855696</v>
      </c>
      <c r="N349" s="340">
        <f t="shared" si="145"/>
        <v>0.26276836783760649</v>
      </c>
      <c r="O349" s="341">
        <f t="shared" si="146"/>
        <v>1.0160241867728086</v>
      </c>
      <c r="P349" s="342">
        <f t="shared" si="147"/>
        <v>0.3889610150465232</v>
      </c>
      <c r="Q349" s="343">
        <f t="shared" si="148"/>
        <v>1.0680927061651113</v>
      </c>
      <c r="R349" s="344">
        <f t="shared" si="149"/>
        <v>-124.18091420086087</v>
      </c>
      <c r="S349" s="346">
        <f t="shared" si="150"/>
        <v>55.819085799139131</v>
      </c>
      <c r="U349" s="319">
        <f t="shared" si="156"/>
        <v>1000000000</v>
      </c>
      <c r="V349" s="319">
        <f t="shared" si="157"/>
        <v>724417225</v>
      </c>
      <c r="X349" s="345">
        <f t="shared" si="151"/>
        <v>26.426075676887205</v>
      </c>
      <c r="Y349" s="346">
        <f t="shared" si="152"/>
        <v>-20.738953428920134</v>
      </c>
      <c r="AA349" s="345">
        <f t="shared" si="153"/>
        <v>38.251138318440532</v>
      </c>
      <c r="AB349" s="346">
        <f t="shared" si="154"/>
        <v>-103.44196077194073</v>
      </c>
      <c r="AD349">
        <f t="shared" si="158"/>
        <v>0</v>
      </c>
      <c r="AE349">
        <f t="shared" si="161"/>
        <v>0</v>
      </c>
    </row>
    <row r="350" spans="1:31" x14ac:dyDescent="0.25">
      <c r="A350" s="347">
        <v>27071.75</v>
      </c>
      <c r="B350" s="364">
        <f t="shared" si="155"/>
        <v>27.071750000000002</v>
      </c>
      <c r="C350" s="337">
        <f t="shared" si="136"/>
        <v>11.782538220449474</v>
      </c>
      <c r="D350" s="338">
        <f t="shared" si="137"/>
        <v>1.485822748610331</v>
      </c>
      <c r="E350" s="338">
        <f t="shared" si="138"/>
        <v>1.0024052529036085</v>
      </c>
      <c r="F350" s="339">
        <f t="shared" si="139"/>
        <v>6.9288408026365864E-2</v>
      </c>
      <c r="G350" s="338">
        <f t="shared" si="140"/>
        <v>1</v>
      </c>
      <c r="H350" s="339">
        <f t="shared" si="141"/>
        <v>0</v>
      </c>
      <c r="I350" s="337">
        <f t="shared" si="142"/>
        <v>35934.552496602002</v>
      </c>
      <c r="J350" s="340">
        <f t="shared" si="143"/>
        <v>1.5707684984255237</v>
      </c>
      <c r="K350" s="348">
        <f t="shared" si="159"/>
        <v>10.153117177856123</v>
      </c>
      <c r="L350" s="349">
        <f t="shared" si="160"/>
        <v>1.4721444686951537</v>
      </c>
      <c r="M350" s="337">
        <f t="shared" si="144"/>
        <v>1.0359535581630321</v>
      </c>
      <c r="N350" s="340">
        <f t="shared" si="145"/>
        <v>0.26422864992915984</v>
      </c>
      <c r="O350" s="341">
        <f t="shared" si="146"/>
        <v>1.0162307253530745</v>
      </c>
      <c r="P350" s="342">
        <f t="shared" si="147"/>
        <v>0.3912651922461281</v>
      </c>
      <c r="Q350" s="343">
        <f t="shared" si="148"/>
        <v>1.0125802167614022</v>
      </c>
      <c r="R350" s="344">
        <f t="shared" si="149"/>
        <v>-124.36921070850234</v>
      </c>
      <c r="S350" s="346">
        <f t="shared" si="150"/>
        <v>55.630789291497663</v>
      </c>
      <c r="U350" s="319">
        <f t="shared" si="156"/>
        <v>1000000000</v>
      </c>
      <c r="V350" s="319">
        <f t="shared" si="157"/>
        <v>732879648.0625</v>
      </c>
      <c r="X350" s="345">
        <f t="shared" si="151"/>
        <v>26.422161824588294</v>
      </c>
      <c r="Y350" s="346">
        <f t="shared" si="152"/>
        <v>-20.789927153259473</v>
      </c>
      <c r="AA350" s="345">
        <f t="shared" si="153"/>
        <v>38.199539681335736</v>
      </c>
      <c r="AB350" s="346">
        <f t="shared" si="154"/>
        <v>-103.57928355524284</v>
      </c>
      <c r="AD350">
        <f t="shared" si="158"/>
        <v>0</v>
      </c>
      <c r="AE350">
        <f t="shared" si="161"/>
        <v>0</v>
      </c>
    </row>
    <row r="351" spans="1:31" x14ac:dyDescent="0.25">
      <c r="A351" s="347">
        <v>27228.5</v>
      </c>
      <c r="B351" s="364">
        <f t="shared" si="155"/>
        <v>27.2285</v>
      </c>
      <c r="C351" s="337">
        <f t="shared" si="136"/>
        <v>11.850271089583041</v>
      </c>
      <c r="D351" s="338">
        <f t="shared" si="137"/>
        <v>1.486309596336856</v>
      </c>
      <c r="E351" s="338">
        <f t="shared" si="138"/>
        <v>1.0024331532803161</v>
      </c>
      <c r="F351" s="339">
        <f t="shared" si="139"/>
        <v>6.9688305662217412E-2</v>
      </c>
      <c r="G351" s="338">
        <f t="shared" si="140"/>
        <v>1</v>
      </c>
      <c r="H351" s="339">
        <f t="shared" si="141"/>
        <v>0</v>
      </c>
      <c r="I351" s="337">
        <f t="shared" si="142"/>
        <v>36142.61961821375</v>
      </c>
      <c r="J351" s="340">
        <f t="shared" si="143"/>
        <v>1.5707686586288729</v>
      </c>
      <c r="K351" s="348">
        <f t="shared" si="159"/>
        <v>10.21133678018616</v>
      </c>
      <c r="L351" s="349">
        <f t="shared" si="160"/>
        <v>1.4727087450952994</v>
      </c>
      <c r="M351" s="337">
        <f t="shared" si="144"/>
        <v>1.0363637907902807</v>
      </c>
      <c r="N351" s="340">
        <f t="shared" si="145"/>
        <v>0.26568777905857449</v>
      </c>
      <c r="O351" s="341">
        <f t="shared" si="146"/>
        <v>1.0164389063771946</v>
      </c>
      <c r="P351" s="342">
        <f t="shared" si="147"/>
        <v>0.3935699530581363</v>
      </c>
      <c r="Q351" s="343">
        <f t="shared" si="148"/>
        <v>0.95733164640457391</v>
      </c>
      <c r="R351" s="344">
        <f t="shared" si="149"/>
        <v>-124.55752611290522</v>
      </c>
      <c r="S351" s="346">
        <f t="shared" si="150"/>
        <v>55.442473887094778</v>
      </c>
      <c r="U351" s="319">
        <f t="shared" si="156"/>
        <v>1000000000</v>
      </c>
      <c r="V351" s="319">
        <f t="shared" si="157"/>
        <v>741391212.25</v>
      </c>
      <c r="X351" s="345">
        <f t="shared" si="151"/>
        <v>26.418239239896003</v>
      </c>
      <c r="Y351" s="346">
        <f t="shared" si="152"/>
        <v>-20.841207616966717</v>
      </c>
      <c r="AA351" s="345">
        <f t="shared" si="153"/>
        <v>38.148213695671195</v>
      </c>
      <c r="AB351" s="346">
        <f t="shared" si="154"/>
        <v>-103.71631849593849</v>
      </c>
      <c r="AD351">
        <f t="shared" si="158"/>
        <v>0</v>
      </c>
      <c r="AE351">
        <f t="shared" si="161"/>
        <v>0</v>
      </c>
    </row>
    <row r="352" spans="1:31" x14ac:dyDescent="0.25">
      <c r="A352" s="347">
        <v>27385.25</v>
      </c>
      <c r="B352" s="364">
        <f t="shared" si="155"/>
        <v>27.385249999999999</v>
      </c>
      <c r="C352" s="337">
        <f t="shared" si="136"/>
        <v>11.918006735550176</v>
      </c>
      <c r="D352" s="338">
        <f t="shared" si="137"/>
        <v>1.4867909102064887</v>
      </c>
      <c r="E352" s="338">
        <f t="shared" si="138"/>
        <v>1.0024612139553097</v>
      </c>
      <c r="F352" s="339">
        <f t="shared" si="139"/>
        <v>7.0088180974319014E-2</v>
      </c>
      <c r="G352" s="338">
        <f t="shared" si="140"/>
        <v>1</v>
      </c>
      <c r="H352" s="339">
        <f t="shared" si="141"/>
        <v>0</v>
      </c>
      <c r="I352" s="337">
        <f t="shared" si="142"/>
        <v>36350.686739826415</v>
      </c>
      <c r="J352" s="340">
        <f t="shared" si="143"/>
        <v>1.5707688169982514</v>
      </c>
      <c r="K352" s="348">
        <f t="shared" si="159"/>
        <v>10.269559597020486</v>
      </c>
      <c r="L352" s="349">
        <f t="shared" si="160"/>
        <v>1.4732666233908969</v>
      </c>
      <c r="M352" s="337">
        <f t="shared" si="144"/>
        <v>1.0367762281470965</v>
      </c>
      <c r="N352" s="340">
        <f t="shared" si="145"/>
        <v>0.26714575038502641</v>
      </c>
      <c r="O352" s="341">
        <f t="shared" si="146"/>
        <v>1.0166487372663164</v>
      </c>
      <c r="P352" s="342">
        <f t="shared" si="147"/>
        <v>0.39587529816738898</v>
      </c>
      <c r="Q352" s="343">
        <f t="shared" si="148"/>
        <v>0.90234359093388672</v>
      </c>
      <c r="R352" s="344">
        <f t="shared" si="149"/>
        <v>-124.74585934957196</v>
      </c>
      <c r="S352" s="346">
        <f t="shared" si="150"/>
        <v>55.254140650428042</v>
      </c>
      <c r="U352" s="319">
        <f t="shared" si="156"/>
        <v>1000000000</v>
      </c>
      <c r="V352" s="319">
        <f t="shared" si="157"/>
        <v>749951917.5625</v>
      </c>
      <c r="X352" s="345">
        <f t="shared" si="151"/>
        <v>26.414307774953866</v>
      </c>
      <c r="Y352" s="346">
        <f t="shared" si="152"/>
        <v>-20.892788222759737</v>
      </c>
      <c r="AA352" s="345">
        <f t="shared" si="153"/>
        <v>38.097157105142657</v>
      </c>
      <c r="AB352" s="346">
        <f t="shared" si="154"/>
        <v>-103.85307112681222</v>
      </c>
      <c r="AD352">
        <f t="shared" si="158"/>
        <v>0</v>
      </c>
      <c r="AE352">
        <f t="shared" si="161"/>
        <v>0</v>
      </c>
    </row>
    <row r="353" spans="1:31" x14ac:dyDescent="0.25">
      <c r="A353" s="347">
        <v>27542</v>
      </c>
      <c r="B353" s="364">
        <f t="shared" si="155"/>
        <v>27.542000000000002</v>
      </c>
      <c r="C353" s="337">
        <f t="shared" si="136"/>
        <v>11.985745111272298</v>
      </c>
      <c r="D353" s="338">
        <f t="shared" si="137"/>
        <v>1.4872667838193867</v>
      </c>
      <c r="E353" s="338">
        <f t="shared" si="138"/>
        <v>1.002489434915129</v>
      </c>
      <c r="F353" s="339">
        <f t="shared" si="139"/>
        <v>7.0488033836670308E-2</v>
      </c>
      <c r="G353" s="338">
        <f t="shared" si="140"/>
        <v>1</v>
      </c>
      <c r="H353" s="339">
        <f t="shared" si="141"/>
        <v>0</v>
      </c>
      <c r="I353" s="337">
        <f t="shared" si="142"/>
        <v>36558.753861439982</v>
      </c>
      <c r="J353" s="340">
        <f t="shared" si="143"/>
        <v>1.5707689735649721</v>
      </c>
      <c r="K353" s="348">
        <f t="shared" si="159"/>
        <v>10.327785573993864</v>
      </c>
      <c r="L353" s="349">
        <f t="shared" si="160"/>
        <v>1.4738182114453993</v>
      </c>
      <c r="M353" s="337">
        <f t="shared" si="144"/>
        <v>1.0371908676033572</v>
      </c>
      <c r="N353" s="340">
        <f t="shared" si="145"/>
        <v>0.26860255909506003</v>
      </c>
      <c r="O353" s="341">
        <f t="shared" si="146"/>
        <v>1.0168602254761159</v>
      </c>
      <c r="P353" s="342">
        <f t="shared" si="147"/>
        <v>0.3981812282137181</v>
      </c>
      <c r="Q353" s="343">
        <f t="shared" si="148"/>
        <v>0.84761270474038863</v>
      </c>
      <c r="R353" s="344">
        <f t="shared" si="149"/>
        <v>-124.93420937115835</v>
      </c>
      <c r="S353" s="346">
        <f t="shared" si="150"/>
        <v>55.065790628841654</v>
      </c>
      <c r="U353" s="319">
        <f t="shared" si="156"/>
        <v>1000000000</v>
      </c>
      <c r="V353" s="319">
        <f t="shared" si="157"/>
        <v>758561764</v>
      </c>
      <c r="X353" s="345">
        <f t="shared" si="151"/>
        <v>26.410367287398103</v>
      </c>
      <c r="Y353" s="346">
        <f t="shared" si="152"/>
        <v>-20.94466251652133</v>
      </c>
      <c r="AA353" s="345">
        <f t="shared" si="153"/>
        <v>38.046366706504912</v>
      </c>
      <c r="AB353" s="346">
        <f t="shared" si="154"/>
        <v>-103.98954685463698</v>
      </c>
      <c r="AD353">
        <f t="shared" si="158"/>
        <v>0</v>
      </c>
      <c r="AE353">
        <f t="shared" si="161"/>
        <v>0</v>
      </c>
    </row>
    <row r="354" spans="1:31" x14ac:dyDescent="0.25">
      <c r="A354" s="347">
        <v>27702.5</v>
      </c>
      <c r="B354" s="364">
        <f t="shared" si="155"/>
        <v>27.702500000000001</v>
      </c>
      <c r="C354" s="337">
        <f t="shared" si="136"/>
        <v>12.055106802731972</v>
      </c>
      <c r="D354" s="338">
        <f t="shared" si="137"/>
        <v>1.4877485004896136</v>
      </c>
      <c r="E354" s="338">
        <f t="shared" si="138"/>
        <v>1.0025184970859309</v>
      </c>
      <c r="F354" s="339">
        <f t="shared" si="139"/>
        <v>7.0897429163630885E-2</v>
      </c>
      <c r="G354" s="338">
        <f t="shared" si="140"/>
        <v>1</v>
      </c>
      <c r="H354" s="339">
        <f t="shared" si="141"/>
        <v>0</v>
      </c>
      <c r="I354" s="337">
        <f t="shared" si="142"/>
        <v>36771.798665389717</v>
      </c>
      <c r="J354" s="340">
        <f t="shared" si="143"/>
        <v>1.5707691320414057</v>
      </c>
      <c r="K354" s="348">
        <f t="shared" si="159"/>
        <v>10.387407735865805</v>
      </c>
      <c r="L354" s="349">
        <f t="shared" si="160"/>
        <v>1.4743765877502522</v>
      </c>
      <c r="M354" s="337">
        <f t="shared" si="144"/>
        <v>1.037617705658838</v>
      </c>
      <c r="N354" s="340">
        <f t="shared" si="145"/>
        <v>0.27009301001976899</v>
      </c>
      <c r="O354" s="341">
        <f t="shared" si="146"/>
        <v>1.0170784983037175</v>
      </c>
      <c r="P354" s="342">
        <f t="shared" si="147"/>
        <v>0.40054293076642222</v>
      </c>
      <c r="Q354" s="343">
        <f t="shared" si="148"/>
        <v>0.79183550446755624</v>
      </c>
      <c r="R354" s="344">
        <f t="shared" si="149"/>
        <v>-125.12708168979164</v>
      </c>
      <c r="S354" s="346">
        <f t="shared" si="150"/>
        <v>54.872918310208362</v>
      </c>
      <c r="U354" s="319">
        <f t="shared" si="156"/>
        <v>1000000000</v>
      </c>
      <c r="V354" s="319">
        <f t="shared" si="157"/>
        <v>767428506.25</v>
      </c>
      <c r="X354" s="345">
        <f t="shared" si="151"/>
        <v>26.406323037721855</v>
      </c>
      <c r="Y354" s="346">
        <f t="shared" si="152"/>
        <v>-20.998075538522166</v>
      </c>
      <c r="AA354" s="345">
        <f t="shared" si="153"/>
        <v>37.994633755908332</v>
      </c>
      <c r="AB354" s="346">
        <f t="shared" si="154"/>
        <v>-104.12900615126945</v>
      </c>
      <c r="AD354">
        <f t="shared" si="158"/>
        <v>0</v>
      </c>
      <c r="AE354">
        <f t="shared" si="161"/>
        <v>0</v>
      </c>
    </row>
    <row r="355" spans="1:31" x14ac:dyDescent="0.25">
      <c r="A355" s="347">
        <v>27863</v>
      </c>
      <c r="B355" s="364">
        <f t="shared" si="155"/>
        <v>27.863</v>
      </c>
      <c r="C355" s="337">
        <f t="shared" si="136"/>
        <v>12.124471259583533</v>
      </c>
      <c r="D355" s="338">
        <f t="shared" si="137"/>
        <v>1.4882247054388023</v>
      </c>
      <c r="E355" s="338">
        <f t="shared" si="138"/>
        <v>1.0025477272736201</v>
      </c>
      <c r="F355" s="339">
        <f t="shared" si="139"/>
        <v>7.1306800686616975E-2</v>
      </c>
      <c r="G355" s="338">
        <f t="shared" si="140"/>
        <v>1</v>
      </c>
      <c r="H355" s="339">
        <f t="shared" si="141"/>
        <v>0</v>
      </c>
      <c r="I355" s="337">
        <f t="shared" si="142"/>
        <v>36984.843469340361</v>
      </c>
      <c r="J355" s="340">
        <f t="shared" si="143"/>
        <v>1.570769288692087</v>
      </c>
      <c r="K355" s="348">
        <f t="shared" si="159"/>
        <v>10.447033099399416</v>
      </c>
      <c r="L355" s="349">
        <f t="shared" si="160"/>
        <v>1.4749285904752794</v>
      </c>
      <c r="M355" s="337">
        <f t="shared" si="144"/>
        <v>1.0380468468253072</v>
      </c>
      <c r="N355" s="340">
        <f t="shared" si="145"/>
        <v>0.27158223190942005</v>
      </c>
      <c r="O355" s="341">
        <f t="shared" si="146"/>
        <v>1.0172985246287674</v>
      </c>
      <c r="P355" s="342">
        <f t="shared" si="147"/>
        <v>0.40290524779062736</v>
      </c>
      <c r="Q355" s="343">
        <f t="shared" si="148"/>
        <v>0.73632100863323047</v>
      </c>
      <c r="R355" s="344">
        <f t="shared" si="149"/>
        <v>-125.31996943665732</v>
      </c>
      <c r="S355" s="346">
        <f t="shared" si="150"/>
        <v>54.680030563342683</v>
      </c>
      <c r="U355" s="319">
        <f t="shared" si="156"/>
        <v>1000000000</v>
      </c>
      <c r="V355" s="319">
        <f t="shared" si="157"/>
        <v>776346769</v>
      </c>
      <c r="X355" s="345">
        <f t="shared" si="151"/>
        <v>26.402269043350842</v>
      </c>
      <c r="Y355" s="346">
        <f t="shared" si="152"/>
        <v>-21.051783216618166</v>
      </c>
      <c r="AA355" s="345">
        <f t="shared" si="153"/>
        <v>37.943173254445014</v>
      </c>
      <c r="AB355" s="346">
        <f t="shared" si="154"/>
        <v>-104.26818622003914</v>
      </c>
      <c r="AD355">
        <f t="shared" si="158"/>
        <v>0</v>
      </c>
      <c r="AE355">
        <f t="shared" si="161"/>
        <v>0</v>
      </c>
    </row>
    <row r="356" spans="1:31" x14ac:dyDescent="0.25">
      <c r="A356" s="347">
        <v>28023.5</v>
      </c>
      <c r="B356" s="364">
        <f t="shared" si="155"/>
        <v>28.023499999999999</v>
      </c>
      <c r="C356" s="337">
        <f t="shared" si="136"/>
        <v>12.193838434634317</v>
      </c>
      <c r="D356" s="338">
        <f t="shared" si="137"/>
        <v>1.4886954925128089</v>
      </c>
      <c r="E356" s="338">
        <f t="shared" si="138"/>
        <v>1.0025771254635005</v>
      </c>
      <c r="F356" s="339">
        <f t="shared" si="139"/>
        <v>7.1716148270507568E-2</v>
      </c>
      <c r="G356" s="338">
        <f t="shared" si="140"/>
        <v>1</v>
      </c>
      <c r="H356" s="339">
        <f t="shared" si="141"/>
        <v>0</v>
      </c>
      <c r="I356" s="337">
        <f t="shared" si="142"/>
        <v>37197.888273291908</v>
      </c>
      <c r="J356" s="340">
        <f t="shared" si="143"/>
        <v>1.5707694435483861</v>
      </c>
      <c r="K356" s="348">
        <f t="shared" si="159"/>
        <v>10.506661610086359</v>
      </c>
      <c r="L356" s="349">
        <f t="shared" si="160"/>
        <v>1.4754743277972169</v>
      </c>
      <c r="M356" s="337">
        <f t="shared" si="144"/>
        <v>1.0384782882475503</v>
      </c>
      <c r="N356" s="340">
        <f t="shared" si="145"/>
        <v>0.27307021968624495</v>
      </c>
      <c r="O356" s="341">
        <f t="shared" si="146"/>
        <v>1.0175203125664327</v>
      </c>
      <c r="P356" s="342">
        <f t="shared" si="147"/>
        <v>0.40526817982521018</v>
      </c>
      <c r="Q356" s="343">
        <f t="shared" si="148"/>
        <v>0.68106580786980297</v>
      </c>
      <c r="R356" s="344">
        <f t="shared" si="149"/>
        <v>-125.51287154013636</v>
      </c>
      <c r="S356" s="346">
        <f t="shared" si="150"/>
        <v>54.487128459863641</v>
      </c>
      <c r="U356" s="319">
        <f t="shared" si="156"/>
        <v>1000000000</v>
      </c>
      <c r="V356" s="319">
        <f t="shared" si="157"/>
        <v>785316552.25</v>
      </c>
      <c r="X356" s="345">
        <f t="shared" si="151"/>
        <v>26.398205168196888</v>
      </c>
      <c r="Y356" s="346">
        <f t="shared" si="152"/>
        <v>-21.105779063601556</v>
      </c>
      <c r="AA356" s="345">
        <f t="shared" si="153"/>
        <v>37.891981928835548</v>
      </c>
      <c r="AB356" s="346">
        <f t="shared" si="154"/>
        <v>-104.4070924765348</v>
      </c>
      <c r="AD356">
        <f t="shared" si="158"/>
        <v>0</v>
      </c>
      <c r="AE356">
        <f t="shared" si="161"/>
        <v>0</v>
      </c>
    </row>
    <row r="357" spans="1:31" x14ac:dyDescent="0.25">
      <c r="A357" s="347">
        <v>28184</v>
      </c>
      <c r="B357" s="364">
        <f t="shared" si="155"/>
        <v>28.184000000000001</v>
      </c>
      <c r="C357" s="337">
        <f t="shared" si="136"/>
        <v>12.263208281757615</v>
      </c>
      <c r="D357" s="338">
        <f t="shared" si="137"/>
        <v>1.4891609534437726</v>
      </c>
      <c r="E357" s="338">
        <f t="shared" si="138"/>
        <v>1.0026066916407945</v>
      </c>
      <c r="F357" s="339">
        <f t="shared" si="139"/>
        <v>7.2125471780229516E-2</v>
      </c>
      <c r="G357" s="338">
        <f t="shared" si="140"/>
        <v>1</v>
      </c>
      <c r="H357" s="339">
        <f t="shared" si="141"/>
        <v>0</v>
      </c>
      <c r="I357" s="337">
        <f t="shared" si="142"/>
        <v>37410.933077244343</v>
      </c>
      <c r="J357" s="340">
        <f t="shared" si="143"/>
        <v>1.5707695966409587</v>
      </c>
      <c r="K357" s="348">
        <f t="shared" si="159"/>
        <v>10.566293214645864</v>
      </c>
      <c r="L357" s="349">
        <f t="shared" si="160"/>
        <v>1.476013905465912</v>
      </c>
      <c r="M357" s="337">
        <f t="shared" si="144"/>
        <v>1.0389120270598022</v>
      </c>
      <c r="N357" s="340">
        <f t="shared" si="145"/>
        <v>0.27455696830274728</v>
      </c>
      <c r="O357" s="341">
        <f t="shared" si="146"/>
        <v>1.0177438702691286</v>
      </c>
      <c r="P357" s="342">
        <f t="shared" si="147"/>
        <v>0.40763172735870273</v>
      </c>
      <c r="Q357" s="343">
        <f t="shared" si="148"/>
        <v>0.62606655144516865</v>
      </c>
      <c r="R357" s="344">
        <f t="shared" si="149"/>
        <v>-125.70578694535941</v>
      </c>
      <c r="S357" s="346">
        <f t="shared" si="150"/>
        <v>54.294213054640593</v>
      </c>
      <c r="U357" s="319">
        <f t="shared" si="156"/>
        <v>1000000000</v>
      </c>
      <c r="V357" s="319">
        <f t="shared" si="157"/>
        <v>794337856</v>
      </c>
      <c r="X357" s="345">
        <f t="shared" si="151"/>
        <v>26.394131281449354</v>
      </c>
      <c r="Y357" s="346">
        <f t="shared" si="152"/>
        <v>-21.160056733008627</v>
      </c>
      <c r="AA357" s="345">
        <f t="shared" si="153"/>
        <v>37.841056559158439</v>
      </c>
      <c r="AB357" s="346">
        <f t="shared" si="154"/>
        <v>-104.54573021235079</v>
      </c>
      <c r="AD357">
        <f t="shared" si="158"/>
        <v>0</v>
      </c>
      <c r="AE357">
        <f t="shared" si="161"/>
        <v>0</v>
      </c>
    </row>
    <row r="358" spans="1:31" x14ac:dyDescent="0.25">
      <c r="A358" s="347">
        <v>28348</v>
      </c>
      <c r="B358" s="364">
        <f t="shared" si="155"/>
        <v>28.347999999999999</v>
      </c>
      <c r="C358" s="337">
        <f t="shared" si="136"/>
        <v>12.334093580183183</v>
      </c>
      <c r="D358" s="338">
        <f t="shared" si="137"/>
        <v>1.4896311562781481</v>
      </c>
      <c r="E358" s="338">
        <f t="shared" si="138"/>
        <v>1.0026370760701959</v>
      </c>
      <c r="F358" s="339">
        <f t="shared" si="139"/>
        <v>7.254369633994294E-2</v>
      </c>
      <c r="G358" s="338">
        <f t="shared" si="140"/>
        <v>1</v>
      </c>
      <c r="H358" s="339">
        <f t="shared" si="141"/>
        <v>0</v>
      </c>
      <c r="I358" s="337">
        <f t="shared" si="142"/>
        <v>37628.623718043986</v>
      </c>
      <c r="J358" s="340">
        <f t="shared" si="143"/>
        <v>1.5707697512813299</v>
      </c>
      <c r="K358" s="348">
        <f t="shared" si="159"/>
        <v>10.627228338496387</v>
      </c>
      <c r="L358" s="349">
        <f t="shared" si="160"/>
        <v>1.4765589945841808</v>
      </c>
      <c r="M358" s="337">
        <f t="shared" si="144"/>
        <v>1.0393575944427069</v>
      </c>
      <c r="N358" s="340">
        <f t="shared" si="145"/>
        <v>0.27607485302041895</v>
      </c>
      <c r="O358" s="341">
        <f t="shared" si="146"/>
        <v>1.0179741396582584</v>
      </c>
      <c r="P358" s="342">
        <f t="shared" si="147"/>
        <v>0.41004745266099529</v>
      </c>
      <c r="Q358" s="343">
        <f t="shared" si="148"/>
        <v>0.57012888512967119</v>
      </c>
      <c r="R358" s="344">
        <f t="shared" si="149"/>
        <v>-125.90292188804882</v>
      </c>
      <c r="S358" s="346">
        <f t="shared" si="150"/>
        <v>54.097078111951177</v>
      </c>
      <c r="U358" s="319">
        <f t="shared" si="156"/>
        <v>1000000000</v>
      </c>
      <c r="V358" s="319">
        <f t="shared" si="157"/>
        <v>803609104</v>
      </c>
      <c r="X358" s="345">
        <f t="shared" si="151"/>
        <v>26.389958083829299</v>
      </c>
      <c r="Y358" s="346">
        <f t="shared" si="152"/>
        <v>-21.215802675487616</v>
      </c>
      <c r="AA358" s="345">
        <f t="shared" si="153"/>
        <v>37.789292090463</v>
      </c>
      <c r="AB358" s="346">
        <f t="shared" si="154"/>
        <v>-104.6871192125612</v>
      </c>
      <c r="AD358">
        <f t="shared" si="158"/>
        <v>0</v>
      </c>
      <c r="AE358">
        <f t="shared" si="161"/>
        <v>0</v>
      </c>
    </row>
    <row r="359" spans="1:31" x14ac:dyDescent="0.25">
      <c r="A359" s="347">
        <v>28512</v>
      </c>
      <c r="B359" s="364">
        <f t="shared" si="155"/>
        <v>28.512</v>
      </c>
      <c r="C359" s="337">
        <f t="shared" si="136"/>
        <v>12.404981574396805</v>
      </c>
      <c r="D359" s="338">
        <f t="shared" si="137"/>
        <v>1.4900959852868176</v>
      </c>
      <c r="E359" s="338">
        <f t="shared" si="138"/>
        <v>1.0026676358619884</v>
      </c>
      <c r="F359" s="339">
        <f t="shared" si="139"/>
        <v>7.2961895479097594E-2</v>
      </c>
      <c r="G359" s="338">
        <f t="shared" si="140"/>
        <v>1</v>
      </c>
      <c r="H359" s="339">
        <f t="shared" si="141"/>
        <v>0</v>
      </c>
      <c r="I359" s="337">
        <f t="shared" si="142"/>
        <v>37846.314358844509</v>
      </c>
      <c r="J359" s="340">
        <f t="shared" si="143"/>
        <v>1.5707699041427294</v>
      </c>
      <c r="K359" s="348">
        <f t="shared" si="159"/>
        <v>10.688166583927366</v>
      </c>
      <c r="L359" s="349">
        <f t="shared" si="160"/>
        <v>1.4770978682441342</v>
      </c>
      <c r="M359" s="337">
        <f t="shared" si="144"/>
        <v>1.0398055544230191</v>
      </c>
      <c r="N359" s="340">
        <f t="shared" si="145"/>
        <v>0.27759143338597991</v>
      </c>
      <c r="O359" s="341">
        <f t="shared" si="146"/>
        <v>1.0182062741674975</v>
      </c>
      <c r="P359" s="342">
        <f t="shared" si="147"/>
        <v>0.41246382146865962</v>
      </c>
      <c r="Q359" s="343">
        <f t="shared" si="148"/>
        <v>0.51445155584087066</v>
      </c>
      <c r="R359" s="344">
        <f t="shared" si="149"/>
        <v>-126.10006854356874</v>
      </c>
      <c r="S359" s="346">
        <f t="shared" si="150"/>
        <v>53.899931456431261</v>
      </c>
      <c r="U359" s="319">
        <f t="shared" si="156"/>
        <v>1000000000</v>
      </c>
      <c r="V359" s="319">
        <f t="shared" si="157"/>
        <v>812934144</v>
      </c>
      <c r="X359" s="345">
        <f t="shared" si="151"/>
        <v>26.385774173191457</v>
      </c>
      <c r="Y359" s="346">
        <f t="shared" si="152"/>
        <v>-21.271829901697632</v>
      </c>
      <c r="AA359" s="345">
        <f t="shared" si="153"/>
        <v>37.737798671812051</v>
      </c>
      <c r="AB359" s="346">
        <f t="shared" si="154"/>
        <v>-104.82823864187112</v>
      </c>
      <c r="AD359">
        <f t="shared" si="158"/>
        <v>0</v>
      </c>
      <c r="AE359">
        <f t="shared" si="161"/>
        <v>0</v>
      </c>
    </row>
    <row r="360" spans="1:31" x14ac:dyDescent="0.25">
      <c r="A360" s="347">
        <v>28676</v>
      </c>
      <c r="B360" s="364">
        <f t="shared" si="155"/>
        <v>28.675999999999998</v>
      </c>
      <c r="C360" s="337">
        <f t="shared" si="136"/>
        <v>12.475872218446021</v>
      </c>
      <c r="D360" s="338">
        <f t="shared" si="137"/>
        <v>1.4905555318729529</v>
      </c>
      <c r="E360" s="338">
        <f t="shared" si="138"/>
        <v>1.0026983710001385</v>
      </c>
      <c r="F360" s="339">
        <f t="shared" si="139"/>
        <v>7.3380069053746347E-2</v>
      </c>
      <c r="G360" s="338">
        <f t="shared" si="140"/>
        <v>1</v>
      </c>
      <c r="H360" s="339">
        <f t="shared" si="141"/>
        <v>0</v>
      </c>
      <c r="I360" s="337">
        <f t="shared" si="142"/>
        <v>38064.004999645913</v>
      </c>
      <c r="J360" s="340">
        <f t="shared" si="143"/>
        <v>1.5707700552556794</v>
      </c>
      <c r="K360" s="348">
        <f t="shared" si="159"/>
        <v>10.749107897848733</v>
      </c>
      <c r="L360" s="349">
        <f t="shared" si="160"/>
        <v>1.4776306318444348</v>
      </c>
      <c r="M360" s="337">
        <f t="shared" si="144"/>
        <v>1.0402559039098036</v>
      </c>
      <c r="N360" s="340">
        <f t="shared" si="145"/>
        <v>0.27910670411269323</v>
      </c>
      <c r="O360" s="341">
        <f t="shared" si="146"/>
        <v>1.0184402826136298</v>
      </c>
      <c r="P360" s="342">
        <f t="shared" si="147"/>
        <v>0.41488083413860166</v>
      </c>
      <c r="Q360" s="343">
        <f t="shared" si="148"/>
        <v>0.45903116992070842</v>
      </c>
      <c r="R360" s="344">
        <f t="shared" si="149"/>
        <v>-126.29722583757453</v>
      </c>
      <c r="S360" s="346">
        <f t="shared" si="150"/>
        <v>53.70277416242547</v>
      </c>
      <c r="U360" s="319">
        <f t="shared" si="156"/>
        <v>1000000000</v>
      </c>
      <c r="V360" s="319">
        <f t="shared" si="157"/>
        <v>822312976</v>
      </c>
      <c r="X360" s="345">
        <f t="shared" si="151"/>
        <v>26.381579425947479</v>
      </c>
      <c r="Y360" s="346">
        <f t="shared" si="152"/>
        <v>-21.328132071581216</v>
      </c>
      <c r="AA360" s="345">
        <f t="shared" si="153"/>
        <v>37.686573033135858</v>
      </c>
      <c r="AB360" s="346">
        <f t="shared" si="154"/>
        <v>-104.96909376599332</v>
      </c>
      <c r="AD360">
        <f t="shared" si="158"/>
        <v>0</v>
      </c>
      <c r="AE360">
        <f t="shared" si="161"/>
        <v>0</v>
      </c>
    </row>
    <row r="361" spans="1:31" x14ac:dyDescent="0.25">
      <c r="A361" s="347">
        <v>28840</v>
      </c>
      <c r="B361" s="364">
        <f t="shared" si="155"/>
        <v>28.84</v>
      </c>
      <c r="C361" s="337">
        <f t="shared" si="136"/>
        <v>12.546765467415222</v>
      </c>
      <c r="D361" s="338">
        <f t="shared" si="137"/>
        <v>1.4910098853829377</v>
      </c>
      <c r="E361" s="338">
        <f t="shared" si="138"/>
        <v>1.002729281468522</v>
      </c>
      <c r="F361" s="339">
        <f t="shared" si="139"/>
        <v>7.3798216919995413E-2</v>
      </c>
      <c r="G361" s="338">
        <f t="shared" si="140"/>
        <v>1</v>
      </c>
      <c r="H361" s="339">
        <f t="shared" si="141"/>
        <v>0</v>
      </c>
      <c r="I361" s="337">
        <f t="shared" si="142"/>
        <v>38281.695640448168</v>
      </c>
      <c r="J361" s="340">
        <f t="shared" si="143"/>
        <v>1.5707702046500076</v>
      </c>
      <c r="K361" s="348">
        <f t="shared" si="159"/>
        <v>10.810052228364944</v>
      </c>
      <c r="L361" s="349">
        <f t="shared" si="160"/>
        <v>1.4781573884209558</v>
      </c>
      <c r="M361" s="337">
        <f t="shared" si="144"/>
        <v>1.0407086398010019</v>
      </c>
      <c r="N361" s="340">
        <f t="shared" si="145"/>
        <v>0.28062065994700486</v>
      </c>
      <c r="O361" s="341">
        <f t="shared" si="146"/>
        <v>1.0186761738532313</v>
      </c>
      <c r="P361" s="342">
        <f t="shared" si="147"/>
        <v>0.41729849097190702</v>
      </c>
      <c r="Q361" s="343">
        <f t="shared" si="148"/>
        <v>0.403864391951746</v>
      </c>
      <c r="R361" s="344">
        <f t="shared" si="149"/>
        <v>-126.49439271191413</v>
      </c>
      <c r="S361" s="346">
        <f t="shared" si="150"/>
        <v>53.505607288085869</v>
      </c>
      <c r="U361" s="319">
        <f t="shared" si="156"/>
        <v>1000000000</v>
      </c>
      <c r="V361" s="319">
        <f t="shared" si="157"/>
        <v>831745600</v>
      </c>
      <c r="X361" s="345">
        <f t="shared" si="151"/>
        <v>26.377373723538451</v>
      </c>
      <c r="Y361" s="346">
        <f t="shared" si="152"/>
        <v>-21.384702982320196</v>
      </c>
      <c r="AA361" s="345">
        <f t="shared" si="153"/>
        <v>37.635611957575918</v>
      </c>
      <c r="AB361" s="346">
        <f t="shared" si="154"/>
        <v>-105.10968972959395</v>
      </c>
      <c r="AD361">
        <f t="shared" si="158"/>
        <v>0</v>
      </c>
      <c r="AE361">
        <f t="shared" si="161"/>
        <v>0</v>
      </c>
    </row>
    <row r="362" spans="1:31" x14ac:dyDescent="0.25">
      <c r="A362" s="347">
        <v>29008</v>
      </c>
      <c r="B362" s="364">
        <f t="shared" si="155"/>
        <v>29.007999999999999</v>
      </c>
      <c r="C362" s="337">
        <f t="shared" si="136"/>
        <v>12.61939047512346</v>
      </c>
      <c r="D362" s="338">
        <f t="shared" si="137"/>
        <v>1.4914700273669457</v>
      </c>
      <c r="E362" s="338">
        <f t="shared" si="138"/>
        <v>1.0027611276307242</v>
      </c>
      <c r="F362" s="339">
        <f t="shared" si="139"/>
        <v>7.4226536707734339E-2</v>
      </c>
      <c r="G362" s="338">
        <f t="shared" si="140"/>
        <v>1</v>
      </c>
      <c r="H362" s="339">
        <f t="shared" si="141"/>
        <v>0</v>
      </c>
      <c r="I362" s="337">
        <f t="shared" si="142"/>
        <v>38504.695809075754</v>
      </c>
      <c r="J362" s="340">
        <f t="shared" si="143"/>
        <v>1.5707703559365611</v>
      </c>
      <c r="K362" s="348">
        <f t="shared" si="159"/>
        <v>10.872486080796227</v>
      </c>
      <c r="L362" s="349">
        <f t="shared" si="160"/>
        <v>1.47869086942834</v>
      </c>
      <c r="M362" s="337">
        <f t="shared" si="144"/>
        <v>1.0411748891985002</v>
      </c>
      <c r="N362" s="340">
        <f t="shared" si="145"/>
        <v>0.28217017268738148</v>
      </c>
      <c r="O362" s="341">
        <f t="shared" si="146"/>
        <v>1.0189197800734004</v>
      </c>
      <c r="P362" s="342">
        <f t="shared" si="147"/>
        <v>0.41977578322274472</v>
      </c>
      <c r="Q362" s="343">
        <f t="shared" si="148"/>
        <v>0.347611617824305</v>
      </c>
      <c r="R362" s="344">
        <f t="shared" si="149"/>
        <v>-126.69637737851231</v>
      </c>
      <c r="S362" s="346">
        <f t="shared" si="150"/>
        <v>53.30362262148769</v>
      </c>
      <c r="U362" s="319">
        <f t="shared" si="156"/>
        <v>1000000000</v>
      </c>
      <c r="V362" s="319">
        <f t="shared" si="157"/>
        <v>841464064</v>
      </c>
      <c r="X362" s="345">
        <f t="shared" si="151"/>
        <v>26.373053964982759</v>
      </c>
      <c r="Y362" s="346">
        <f t="shared" si="152"/>
        <v>-21.442925980619563</v>
      </c>
      <c r="AA362" s="345">
        <f t="shared" si="153"/>
        <v>37.58367894200417</v>
      </c>
      <c r="AB362" s="346">
        <f t="shared" si="154"/>
        <v>-105.25345139789273</v>
      </c>
      <c r="AD362">
        <f t="shared" si="158"/>
        <v>0</v>
      </c>
      <c r="AE362">
        <f t="shared" si="161"/>
        <v>0</v>
      </c>
    </row>
    <row r="363" spans="1:31" x14ac:dyDescent="0.25">
      <c r="A363" s="347">
        <v>29176</v>
      </c>
      <c r="B363" s="364">
        <f t="shared" si="155"/>
        <v>29.175999999999998</v>
      </c>
      <c r="C363" s="337">
        <f t="shared" si="136"/>
        <v>12.692018124165168</v>
      </c>
      <c r="D363" s="338">
        <f t="shared" si="137"/>
        <v>1.491924903297152</v>
      </c>
      <c r="E363" s="338">
        <f t="shared" si="138"/>
        <v>1.0027931577456135</v>
      </c>
      <c r="F363" s="339">
        <f t="shared" si="139"/>
        <v>7.4654829212204621E-2</v>
      </c>
      <c r="G363" s="338">
        <f t="shared" si="140"/>
        <v>1</v>
      </c>
      <c r="H363" s="339">
        <f t="shared" si="141"/>
        <v>0</v>
      </c>
      <c r="I363" s="337">
        <f t="shared" si="142"/>
        <v>38727.695977704207</v>
      </c>
      <c r="J363" s="340">
        <f t="shared" si="143"/>
        <v>1.5707705054808507</v>
      </c>
      <c r="K363" s="348">
        <f t="shared" si="159"/>
        <v>10.934922992223441</v>
      </c>
      <c r="L363" s="349">
        <f t="shared" si="160"/>
        <v>1.4792182583775404</v>
      </c>
      <c r="M363" s="337">
        <f t="shared" si="144"/>
        <v>1.0416436362048054</v>
      </c>
      <c r="N363" s="340">
        <f t="shared" si="145"/>
        <v>0.28371829455860914</v>
      </c>
      <c r="O363" s="341">
        <f t="shared" si="146"/>
        <v>1.0191653809921897</v>
      </c>
      <c r="P363" s="342">
        <f t="shared" si="147"/>
        <v>0.42225375190180336</v>
      </c>
      <c r="Q363" s="343">
        <f t="shared" si="148"/>
        <v>0.29161806967849957</v>
      </c>
      <c r="R363" s="344">
        <f t="shared" si="149"/>
        <v>-126.89836990061731</v>
      </c>
      <c r="S363" s="346">
        <f t="shared" si="150"/>
        <v>53.101630099382689</v>
      </c>
      <c r="U363" s="319">
        <f t="shared" si="156"/>
        <v>1000000000</v>
      </c>
      <c r="V363" s="319">
        <f t="shared" si="157"/>
        <v>851238976</v>
      </c>
      <c r="X363" s="345">
        <f t="shared" si="151"/>
        <v>26.368722473955945</v>
      </c>
      <c r="Y363" s="346">
        <f t="shared" si="152"/>
        <v>-21.501418237385266</v>
      </c>
      <c r="AA363" s="345">
        <f t="shared" si="153"/>
        <v>37.532016884885181</v>
      </c>
      <c r="AB363" s="346">
        <f t="shared" si="154"/>
        <v>-105.39695166323204</v>
      </c>
      <c r="AD363">
        <f t="shared" si="158"/>
        <v>0</v>
      </c>
      <c r="AE363">
        <f t="shared" si="161"/>
        <v>0</v>
      </c>
    </row>
    <row r="364" spans="1:31" x14ac:dyDescent="0.25">
      <c r="A364" s="347">
        <v>29344</v>
      </c>
      <c r="B364" s="364">
        <f t="shared" si="155"/>
        <v>29.344000000000001</v>
      </c>
      <c r="C364" s="337">
        <f t="shared" si="136"/>
        <v>12.764648369454765</v>
      </c>
      <c r="D364" s="338">
        <f t="shared" si="137"/>
        <v>1.4923746028744835</v>
      </c>
      <c r="E364" s="338">
        <f t="shared" si="138"/>
        <v>1.0028253717955633</v>
      </c>
      <c r="F364" s="339">
        <f t="shared" si="139"/>
        <v>7.5083094278900891E-2</v>
      </c>
      <c r="G364" s="338">
        <f t="shared" si="140"/>
        <v>1</v>
      </c>
      <c r="H364" s="339">
        <f t="shared" si="141"/>
        <v>0</v>
      </c>
      <c r="I364" s="337">
        <f t="shared" si="142"/>
        <v>38950.696146333517</v>
      </c>
      <c r="J364" s="340">
        <f t="shared" si="143"/>
        <v>1.5707706533128014</v>
      </c>
      <c r="K364" s="348">
        <f t="shared" si="159"/>
        <v>10.99736291054475</v>
      </c>
      <c r="L364" s="349">
        <f t="shared" si="160"/>
        <v>1.4797396587396077</v>
      </c>
      <c r="M364" s="337">
        <f t="shared" si="144"/>
        <v>1.0421148774496174</v>
      </c>
      <c r="N364" s="340">
        <f t="shared" si="145"/>
        <v>0.2852650200218565</v>
      </c>
      <c r="O364" s="341">
        <f t="shared" si="146"/>
        <v>1.0194129862586592</v>
      </c>
      <c r="P364" s="342">
        <f t="shared" si="147"/>
        <v>0.42473239714901267</v>
      </c>
      <c r="Q364" s="343">
        <f t="shared" si="148"/>
        <v>0.23588034352479431</v>
      </c>
      <c r="R364" s="344">
        <f t="shared" si="149"/>
        <v>-127.10036919049203</v>
      </c>
      <c r="S364" s="346">
        <f t="shared" si="150"/>
        <v>52.899630809507968</v>
      </c>
      <c r="U364" s="319">
        <f t="shared" si="156"/>
        <v>1000000000</v>
      </c>
      <c r="V364" s="319">
        <f t="shared" si="157"/>
        <v>861070336</v>
      </c>
      <c r="X364" s="345">
        <f t="shared" si="151"/>
        <v>26.364379138363642</v>
      </c>
      <c r="Y364" s="346">
        <f t="shared" si="152"/>
        <v>-21.560173508525693</v>
      </c>
      <c r="AA364" s="345">
        <f t="shared" si="153"/>
        <v>37.480622494323782</v>
      </c>
      <c r="AB364" s="346">
        <f t="shared" si="154"/>
        <v>-105.54019568196631</v>
      </c>
      <c r="AD364">
        <f t="shared" si="158"/>
        <v>0</v>
      </c>
      <c r="AE364">
        <f t="shared" si="161"/>
        <v>0</v>
      </c>
    </row>
    <row r="365" spans="1:31" x14ac:dyDescent="0.25">
      <c r="A365" s="347">
        <v>29512</v>
      </c>
      <c r="B365" s="364">
        <f t="shared" si="155"/>
        <v>29.512</v>
      </c>
      <c r="C365" s="337">
        <f t="shared" si="136"/>
        <v>12.837281166925417</v>
      </c>
      <c r="D365" s="338">
        <f t="shared" si="137"/>
        <v>1.4928192137782548</v>
      </c>
      <c r="E365" s="338">
        <f t="shared" si="138"/>
        <v>1.0028577697628485</v>
      </c>
      <c r="F365" s="339">
        <f t="shared" si="139"/>
        <v>7.5511331753377778E-2</v>
      </c>
      <c r="G365" s="338">
        <f t="shared" si="140"/>
        <v>1</v>
      </c>
      <c r="H365" s="339">
        <f t="shared" si="141"/>
        <v>0</v>
      </c>
      <c r="I365" s="337">
        <f t="shared" si="142"/>
        <v>39173.696314963665</v>
      </c>
      <c r="J365" s="340">
        <f t="shared" si="143"/>
        <v>1.5707707994616558</v>
      </c>
      <c r="K365" s="348">
        <f t="shared" si="159"/>
        <v>11.059805784832442</v>
      </c>
      <c r="L365" s="349">
        <f t="shared" si="160"/>
        <v>1.4802551716620262</v>
      </c>
      <c r="M365" s="337">
        <f t="shared" si="144"/>
        <v>1.0425886095508117</v>
      </c>
      <c r="N365" s="340">
        <f t="shared" si="145"/>
        <v>0.28681034357500534</v>
      </c>
      <c r="O365" s="341">
        <f t="shared" si="146"/>
        <v>1.0196626055647462</v>
      </c>
      <c r="P365" s="342">
        <f t="shared" si="147"/>
        <v>0.42721171904181582</v>
      </c>
      <c r="Q365" s="343">
        <f t="shared" si="148"/>
        <v>0.18039509381349961</v>
      </c>
      <c r="R365" s="344">
        <f t="shared" si="149"/>
        <v>-127.30237417618062</v>
      </c>
      <c r="S365" s="346">
        <f t="shared" si="150"/>
        <v>52.697625823819379</v>
      </c>
      <c r="U365" s="319">
        <f t="shared" si="156"/>
        <v>1000000000</v>
      </c>
      <c r="V365" s="319">
        <f t="shared" si="157"/>
        <v>870958144</v>
      </c>
      <c r="X365" s="345">
        <f t="shared" si="151"/>
        <v>26.360023850953201</v>
      </c>
      <c r="Y365" s="346">
        <f t="shared" si="152"/>
        <v>-21.61918568514421</v>
      </c>
      <c r="AA365" s="345">
        <f t="shared" si="153"/>
        <v>37.429492532022927</v>
      </c>
      <c r="AB365" s="346">
        <f t="shared" si="154"/>
        <v>-105.68318849103645</v>
      </c>
      <c r="AD365">
        <f t="shared" si="158"/>
        <v>0</v>
      </c>
      <c r="AE365">
        <f t="shared" si="161"/>
        <v>0</v>
      </c>
    </row>
    <row r="366" spans="1:31" x14ac:dyDescent="0.25">
      <c r="A366" s="347">
        <v>29684</v>
      </c>
      <c r="B366" s="364">
        <f t="shared" si="155"/>
        <v>29.684000000000001</v>
      </c>
      <c r="C366" s="337">
        <f t="shared" si="136"/>
        <v>12.911645915795086</v>
      </c>
      <c r="D366" s="338">
        <f t="shared" si="137"/>
        <v>1.4932692282942128</v>
      </c>
      <c r="E366" s="338">
        <f t="shared" si="138"/>
        <v>1.0028911296296366</v>
      </c>
      <c r="F366" s="339">
        <f t="shared" si="139"/>
        <v>7.5949736611511248E-2</v>
      </c>
      <c r="G366" s="338">
        <f t="shared" si="140"/>
        <v>1</v>
      </c>
      <c r="H366" s="339">
        <f t="shared" si="141"/>
        <v>0</v>
      </c>
      <c r="I366" s="337">
        <f t="shared" si="142"/>
        <v>39402.006011419202</v>
      </c>
      <c r="J366" s="340">
        <f t="shared" si="143"/>
        <v>1.5707709473764015</v>
      </c>
      <c r="K366" s="348">
        <f t="shared" si="159"/>
        <v>11.123738404615645</v>
      </c>
      <c r="L366" s="349">
        <f t="shared" si="160"/>
        <v>1.4807769625752381</v>
      </c>
      <c r="M366" s="337">
        <f t="shared" si="144"/>
        <v>1.0430761979653245</v>
      </c>
      <c r="N366" s="340">
        <f t="shared" si="145"/>
        <v>0.28839100246358695</v>
      </c>
      <c r="O366" s="341">
        <f t="shared" si="146"/>
        <v>1.0199202648934185</v>
      </c>
      <c r="P366" s="342">
        <f t="shared" si="147"/>
        <v>0.42975077342652312</v>
      </c>
      <c r="Q366" s="343">
        <f t="shared" si="148"/>
        <v>0.12384689823434278</v>
      </c>
      <c r="R366" s="344">
        <f t="shared" si="149"/>
        <v>-127.50919360195074</v>
      </c>
      <c r="S366" s="346">
        <f t="shared" si="150"/>
        <v>52.490806398049259</v>
      </c>
      <c r="U366" s="319">
        <f t="shared" si="156"/>
        <v>1000000000</v>
      </c>
      <c r="V366" s="319">
        <f t="shared" si="157"/>
        <v>881139856</v>
      </c>
      <c r="X366" s="345">
        <f t="shared" si="151"/>
        <v>26.355552377088994</v>
      </c>
      <c r="Y366" s="346">
        <f t="shared" si="152"/>
        <v>-21.679862826154459</v>
      </c>
      <c r="AA366" s="345">
        <f t="shared" si="153"/>
        <v>37.37741581030798</v>
      </c>
      <c r="AB366" s="346">
        <f t="shared" si="154"/>
        <v>-105.82933077579629</v>
      </c>
      <c r="AD366">
        <f t="shared" si="158"/>
        <v>0</v>
      </c>
      <c r="AE366">
        <f t="shared" si="161"/>
        <v>0</v>
      </c>
    </row>
    <row r="367" spans="1:31" x14ac:dyDescent="0.25">
      <c r="A367" s="347">
        <v>29856</v>
      </c>
      <c r="B367" s="364">
        <f t="shared" si="155"/>
        <v>29.856000000000002</v>
      </c>
      <c r="C367" s="337">
        <f t="shared" si="136"/>
        <v>12.986013249494253</v>
      </c>
      <c r="D367" s="338">
        <f t="shared" si="137"/>
        <v>1.4937140886801621</v>
      </c>
      <c r="E367" s="338">
        <f t="shared" si="138"/>
        <v>1.0029246822380715</v>
      </c>
      <c r="F367" s="339">
        <f t="shared" si="139"/>
        <v>7.6388112220433263E-2</v>
      </c>
      <c r="G367" s="338">
        <f t="shared" si="140"/>
        <v>1</v>
      </c>
      <c r="H367" s="339">
        <f t="shared" si="141"/>
        <v>0</v>
      </c>
      <c r="I367" s="337">
        <f t="shared" si="142"/>
        <v>39630.31570787559</v>
      </c>
      <c r="J367" s="340">
        <f t="shared" si="143"/>
        <v>1.5707710935868779</v>
      </c>
      <c r="K367" s="348">
        <f t="shared" si="159"/>
        <v>11.187674018397059</v>
      </c>
      <c r="L367" s="349">
        <f t="shared" si="160"/>
        <v>1.4812927897386834</v>
      </c>
      <c r="M367" s="337">
        <f t="shared" si="144"/>
        <v>1.0435663900483731</v>
      </c>
      <c r="N367" s="340">
        <f t="shared" si="145"/>
        <v>0.28997018033597766</v>
      </c>
      <c r="O367" s="341">
        <f t="shared" si="146"/>
        <v>1.0201800560065331</v>
      </c>
      <c r="P367" s="342">
        <f t="shared" si="147"/>
        <v>0.43229053702415954</v>
      </c>
      <c r="Q367" s="343">
        <f t="shared" si="148"/>
        <v>6.755642984397224E-2</v>
      </c>
      <c r="R367" s="344">
        <f t="shared" si="149"/>
        <v>-127.71601677265537</v>
      </c>
      <c r="S367" s="346">
        <f t="shared" si="150"/>
        <v>52.283983227344635</v>
      </c>
      <c r="U367" s="319">
        <f t="shared" si="156"/>
        <v>1000000000</v>
      </c>
      <c r="V367" s="319">
        <f t="shared" si="157"/>
        <v>891380736</v>
      </c>
      <c r="X367" s="345">
        <f t="shared" si="151"/>
        <v>26.35106816284571</v>
      </c>
      <c r="Y367" s="346">
        <f t="shared" si="152"/>
        <v>-21.740796711232111</v>
      </c>
      <c r="AA367" s="345">
        <f t="shared" si="153"/>
        <v>37.325609556160892</v>
      </c>
      <c r="AB367" s="346">
        <f t="shared" si="154"/>
        <v>-105.97522006142326</v>
      </c>
      <c r="AD367">
        <f t="shared" si="158"/>
        <v>0</v>
      </c>
      <c r="AE367">
        <f t="shared" si="161"/>
        <v>0</v>
      </c>
    </row>
    <row r="368" spans="1:31" x14ac:dyDescent="0.25">
      <c r="A368" s="347">
        <v>30028</v>
      </c>
      <c r="B368" s="364">
        <f t="shared" si="155"/>
        <v>30.027999999999999</v>
      </c>
      <c r="C368" s="337">
        <f t="shared" si="136"/>
        <v>13.060383123867961</v>
      </c>
      <c r="D368" s="338">
        <f t="shared" si="137"/>
        <v>1.4941538828061516</v>
      </c>
      <c r="E368" s="338">
        <f t="shared" si="138"/>
        <v>1.0029584275688095</v>
      </c>
      <c r="F368" s="339">
        <f t="shared" si="139"/>
        <v>7.6826458414599744E-2</v>
      </c>
      <c r="G368" s="338">
        <f t="shared" si="140"/>
        <v>1</v>
      </c>
      <c r="H368" s="339">
        <f t="shared" si="141"/>
        <v>0</v>
      </c>
      <c r="I368" s="337">
        <f t="shared" si="142"/>
        <v>39858.625404332815</v>
      </c>
      <c r="J368" s="340">
        <f t="shared" si="143"/>
        <v>1.5707712381223706</v>
      </c>
      <c r="K368" s="348">
        <f t="shared" si="159"/>
        <v>11.251612575137829</v>
      </c>
      <c r="L368" s="349">
        <f t="shared" si="160"/>
        <v>1.481802754544536</v>
      </c>
      <c r="M368" s="337">
        <f t="shared" si="144"/>
        <v>1.044059182132643</v>
      </c>
      <c r="N368" s="340">
        <f t="shared" si="145"/>
        <v>0.29154787140746563</v>
      </c>
      <c r="O368" s="341">
        <f t="shared" si="146"/>
        <v>1.0204419894429972</v>
      </c>
      <c r="P368" s="342">
        <f t="shared" si="147"/>
        <v>0.43483100971262811</v>
      </c>
      <c r="Q368" s="343">
        <f t="shared" si="148"/>
        <v>1.1520280131038925E-2</v>
      </c>
      <c r="R368" s="344">
        <f t="shared" si="149"/>
        <v>-127.92284258626158</v>
      </c>
      <c r="S368" s="346">
        <f t="shared" si="150"/>
        <v>52.077157413738419</v>
      </c>
      <c r="U368" s="319">
        <f t="shared" si="156"/>
        <v>1000000000</v>
      </c>
      <c r="V368" s="319">
        <f t="shared" si="157"/>
        <v>901680784</v>
      </c>
      <c r="X368" s="345">
        <f t="shared" si="151"/>
        <v>26.346571107875473</v>
      </c>
      <c r="Y368" s="346">
        <f t="shared" si="152"/>
        <v>-21.801981201271914</v>
      </c>
      <c r="AA368" s="345">
        <f t="shared" si="153"/>
        <v>37.274070461418198</v>
      </c>
      <c r="AB368" s="346">
        <f t="shared" si="154"/>
        <v>-106.12086138498967</v>
      </c>
      <c r="AD368">
        <f t="shared" si="158"/>
        <v>30028</v>
      </c>
      <c r="AE368">
        <f t="shared" si="161"/>
        <v>52.077157413738419</v>
      </c>
    </row>
    <row r="369" spans="1:31" x14ac:dyDescent="0.25">
      <c r="A369" s="347">
        <v>30200</v>
      </c>
      <c r="B369" s="364">
        <f t="shared" si="155"/>
        <v>30.2</v>
      </c>
      <c r="C369" s="337">
        <f t="shared" si="136"/>
        <v>13.134755495759798</v>
      </c>
      <c r="D369" s="338">
        <f t="shared" si="137"/>
        <v>1.4945886965600008</v>
      </c>
      <c r="E369" s="338">
        <f t="shared" si="138"/>
        <v>1.002992365602398</v>
      </c>
      <c r="F369" s="339">
        <f t="shared" si="139"/>
        <v>7.7264775028534044E-2</v>
      </c>
      <c r="G369" s="338">
        <f t="shared" si="140"/>
        <v>1</v>
      </c>
      <c r="H369" s="339">
        <f t="shared" si="141"/>
        <v>0</v>
      </c>
      <c r="I369" s="337">
        <f t="shared" si="142"/>
        <v>40086.935100790863</v>
      </c>
      <c r="J369" s="340">
        <f t="shared" si="143"/>
        <v>1.5707713810114989</v>
      </c>
      <c r="K369" s="348">
        <f t="shared" si="159"/>
        <v>11.315554024950369</v>
      </c>
      <c r="L369" s="349">
        <f t="shared" si="160"/>
        <v>1.4823069561055553</v>
      </c>
      <c r="M369" s="337">
        <f t="shared" si="144"/>
        <v>1.0445545705383077</v>
      </c>
      <c r="N369" s="340">
        <f t="shared" si="145"/>
        <v>0.29312406993383283</v>
      </c>
      <c r="O369" s="341">
        <f t="shared" si="146"/>
        <v>1.0207060757877338</v>
      </c>
      <c r="P369" s="342">
        <f t="shared" si="147"/>
        <v>0.43737219130008126</v>
      </c>
      <c r="Q369" s="343">
        <f t="shared" si="148"/>
        <v>-4.4264900909761859E-2</v>
      </c>
      <c r="R369" s="344">
        <f t="shared" si="149"/>
        <v>-128.12966995604549</v>
      </c>
      <c r="S369" s="346">
        <f t="shared" si="150"/>
        <v>51.87033004395451</v>
      </c>
      <c r="U369" s="319">
        <f t="shared" si="156"/>
        <v>30200</v>
      </c>
      <c r="V369" s="319">
        <f t="shared" si="157"/>
        <v>912040000</v>
      </c>
      <c r="X369" s="345">
        <f t="shared" si="151"/>
        <v>26.342061116480192</v>
      </c>
      <c r="Y369" s="346">
        <f t="shared" si="152"/>
        <v>-21.863410290051373</v>
      </c>
      <c r="AA369" s="345">
        <f t="shared" si="153"/>
        <v>37.222795271772675</v>
      </c>
      <c r="AB369" s="346">
        <f t="shared" si="154"/>
        <v>-106.26625966599413</v>
      </c>
      <c r="AD369">
        <f t="shared" si="158"/>
        <v>0</v>
      </c>
      <c r="AE369">
        <f t="shared" si="161"/>
        <v>0</v>
      </c>
    </row>
    <row r="370" spans="1:31" x14ac:dyDescent="0.25">
      <c r="A370" s="347">
        <v>30375.75</v>
      </c>
      <c r="B370" s="364">
        <f t="shared" si="155"/>
        <v>30.37575</v>
      </c>
      <c r="C370" s="337">
        <f t="shared" si="136"/>
        <v>13.210751894220296</v>
      </c>
      <c r="D370" s="338">
        <f t="shared" si="137"/>
        <v>1.4950279331799472</v>
      </c>
      <c r="E370" s="338">
        <f t="shared" si="138"/>
        <v>1.003027242594398</v>
      </c>
      <c r="F370" s="339">
        <f t="shared" si="139"/>
        <v>7.7712617237254797E-2</v>
      </c>
      <c r="G370" s="338">
        <f t="shared" si="140"/>
        <v>1</v>
      </c>
      <c r="H370" s="339">
        <f t="shared" si="141"/>
        <v>0</v>
      </c>
      <c r="I370" s="337">
        <f t="shared" si="142"/>
        <v>40320.222479585318</v>
      </c>
      <c r="J370" s="340">
        <f t="shared" si="143"/>
        <v>1.5707715253444432</v>
      </c>
      <c r="K370" s="348">
        <f t="shared" si="159"/>
        <v>11.380892484707841</v>
      </c>
      <c r="L370" s="349">
        <f t="shared" si="160"/>
        <v>1.482816298144241</v>
      </c>
      <c r="M370" s="337">
        <f t="shared" si="144"/>
        <v>1.0450634375688812</v>
      </c>
      <c r="N370" s="340">
        <f t="shared" si="145"/>
        <v>0.29473308560820238</v>
      </c>
      <c r="O370" s="341">
        <f t="shared" si="146"/>
        <v>1.0209781547174093</v>
      </c>
      <c r="P370" s="342">
        <f t="shared" si="147"/>
        <v>0.43996950853394556</v>
      </c>
      <c r="Q370" s="343">
        <f t="shared" si="148"/>
        <v>-0.10101051846938609</v>
      </c>
      <c r="R370" s="344">
        <f t="shared" si="149"/>
        <v>-128.34100713576203</v>
      </c>
      <c r="S370" s="346">
        <f t="shared" si="150"/>
        <v>51.658992864237973</v>
      </c>
      <c r="U370" s="319">
        <f t="shared" si="156"/>
        <v>30375.75</v>
      </c>
      <c r="V370" s="319">
        <f t="shared" si="157"/>
        <v>922686188.0625</v>
      </c>
      <c r="X370" s="345">
        <f t="shared" si="151"/>
        <v>26.337439339352365</v>
      </c>
      <c r="Y370" s="346">
        <f t="shared" si="152"/>
        <v>-21.926425217958421</v>
      </c>
      <c r="AA370" s="345">
        <f t="shared" si="153"/>
        <v>37.170671431340871</v>
      </c>
      <c r="AB370" s="346">
        <f t="shared" si="154"/>
        <v>-106.41458191780362</v>
      </c>
      <c r="AD370">
        <f t="shared" si="158"/>
        <v>0</v>
      </c>
      <c r="AE370">
        <f t="shared" si="161"/>
        <v>0</v>
      </c>
    </row>
    <row r="371" spans="1:31" x14ac:dyDescent="0.25">
      <c r="A371" s="347">
        <v>30551.5</v>
      </c>
      <c r="B371" s="364">
        <f t="shared" si="155"/>
        <v>30.551500000000001</v>
      </c>
      <c r="C371" s="337">
        <f t="shared" si="136"/>
        <v>13.286750812259069</v>
      </c>
      <c r="D371" s="338">
        <f t="shared" si="137"/>
        <v>1.4954621451016636</v>
      </c>
      <c r="E371" s="338">
        <f t="shared" si="138"/>
        <v>1.0030623207421807</v>
      </c>
      <c r="F371" s="339">
        <f t="shared" si="139"/>
        <v>7.8160428212755304E-2</v>
      </c>
      <c r="G371" s="338">
        <f t="shared" si="140"/>
        <v>1</v>
      </c>
      <c r="H371" s="339">
        <f t="shared" si="141"/>
        <v>0</v>
      </c>
      <c r="I371" s="337">
        <f t="shared" si="142"/>
        <v>40553.509858380596</v>
      </c>
      <c r="J371" s="340">
        <f t="shared" si="143"/>
        <v>1.5707716680168131</v>
      </c>
      <c r="K371" s="348">
        <f t="shared" si="159"/>
        <v>11.446233863294085</v>
      </c>
      <c r="L371" s="349">
        <f t="shared" si="160"/>
        <v>1.4833198251050828</v>
      </c>
      <c r="M371" s="337">
        <f t="shared" si="144"/>
        <v>1.0455750075594075</v>
      </c>
      <c r="N371" s="340">
        <f t="shared" si="145"/>
        <v>0.29634053094991808</v>
      </c>
      <c r="O371" s="341">
        <f t="shared" si="146"/>
        <v>1.0212525039452258</v>
      </c>
      <c r="P371" s="342">
        <f t="shared" si="147"/>
        <v>0.44256756528619751</v>
      </c>
      <c r="Q371" s="343">
        <f t="shared" si="148"/>
        <v>-0.15750099514522975</v>
      </c>
      <c r="R371" s="344">
        <f t="shared" si="149"/>
        <v>-128.55234369313146</v>
      </c>
      <c r="S371" s="346">
        <f t="shared" si="150"/>
        <v>51.447656306868538</v>
      </c>
      <c r="U371" s="319">
        <f t="shared" si="156"/>
        <v>30551.5</v>
      </c>
      <c r="V371" s="319">
        <f t="shared" si="157"/>
        <v>933394152.25</v>
      </c>
      <c r="X371" s="345">
        <f t="shared" si="151"/>
        <v>26.332803867746971</v>
      </c>
      <c r="Y371" s="346">
        <f t="shared" si="152"/>
        <v>-21.989683256706343</v>
      </c>
      <c r="AA371" s="345">
        <f t="shared" si="153"/>
        <v>37.118816426270428</v>
      </c>
      <c r="AB371" s="346">
        <f t="shared" si="154"/>
        <v>-106.56266043642515</v>
      </c>
      <c r="AD371">
        <f t="shared" si="158"/>
        <v>0</v>
      </c>
      <c r="AE371">
        <f t="shared" si="161"/>
        <v>0</v>
      </c>
    </row>
    <row r="372" spans="1:31" x14ac:dyDescent="0.25">
      <c r="A372" s="347">
        <v>30727.25</v>
      </c>
      <c r="B372" s="364">
        <f t="shared" si="155"/>
        <v>30.727250000000002</v>
      </c>
      <c r="C372" s="337">
        <f t="shared" si="136"/>
        <v>13.362752206886794</v>
      </c>
      <c r="D372" s="338">
        <f t="shared" si="137"/>
        <v>1.4958914178947544</v>
      </c>
      <c r="E372" s="338">
        <f t="shared" si="138"/>
        <v>1.0030976000246428</v>
      </c>
      <c r="F372" s="339">
        <f t="shared" si="139"/>
        <v>7.8608207778718395E-2</v>
      </c>
      <c r="G372" s="338">
        <f t="shared" si="140"/>
        <v>1</v>
      </c>
      <c r="H372" s="339">
        <f t="shared" si="141"/>
        <v>0</v>
      </c>
      <c r="I372" s="337">
        <f t="shared" si="142"/>
        <v>40786.797237176695</v>
      </c>
      <c r="J372" s="340">
        <f t="shared" si="143"/>
        <v>1.570771809057103</v>
      </c>
      <c r="K372" s="348">
        <f t="shared" si="159"/>
        <v>11.51157811100602</v>
      </c>
      <c r="L372" s="349">
        <f t="shared" si="160"/>
        <v>1.4838176357565647</v>
      </c>
      <c r="M372" s="337">
        <f t="shared" si="144"/>
        <v>1.046089276544393</v>
      </c>
      <c r="N372" s="340">
        <f t="shared" si="145"/>
        <v>0.29794639996202427</v>
      </c>
      <c r="O372" s="341">
        <f t="shared" si="146"/>
        <v>1.0215291349106692</v>
      </c>
      <c r="P372" s="342">
        <f t="shared" si="147"/>
        <v>0.44516636112474645</v>
      </c>
      <c r="Q372" s="343">
        <f t="shared" si="148"/>
        <v>-0.21373972416042289</v>
      </c>
      <c r="R372" s="344">
        <f t="shared" si="149"/>
        <v>-128.7636785152913</v>
      </c>
      <c r="S372" s="346">
        <f t="shared" si="150"/>
        <v>51.236321484708697</v>
      </c>
      <c r="U372" s="319">
        <f t="shared" si="156"/>
        <v>30727.25</v>
      </c>
      <c r="V372" s="319">
        <f t="shared" si="157"/>
        <v>944163892.5625</v>
      </c>
      <c r="X372" s="345">
        <f t="shared" si="151"/>
        <v>26.328154613636791</v>
      </c>
      <c r="Y372" s="346">
        <f t="shared" si="152"/>
        <v>-22.053178405310202</v>
      </c>
      <c r="AA372" s="345">
        <f t="shared" si="153"/>
        <v>37.067226951365413</v>
      </c>
      <c r="AB372" s="346">
        <f t="shared" si="154"/>
        <v>-106.7105001099811</v>
      </c>
      <c r="AD372">
        <f t="shared" si="158"/>
        <v>0</v>
      </c>
      <c r="AE372">
        <f t="shared" si="161"/>
        <v>0</v>
      </c>
    </row>
    <row r="373" spans="1:31" x14ac:dyDescent="0.25">
      <c r="A373" s="347">
        <v>30903</v>
      </c>
      <c r="B373" s="364">
        <f t="shared" si="155"/>
        <v>30.902999999999999</v>
      </c>
      <c r="C373" s="337">
        <f t="shared" si="136"/>
        <v>13.438756036085248</v>
      </c>
      <c r="D373" s="338">
        <f t="shared" si="137"/>
        <v>1.4963158352004207</v>
      </c>
      <c r="E373" s="338">
        <f t="shared" si="138"/>
        <v>1.0031330804205632</v>
      </c>
      <c r="F373" s="339">
        <f t="shared" si="139"/>
        <v>7.9055955758902091E-2</v>
      </c>
      <c r="G373" s="338">
        <f t="shared" si="140"/>
        <v>1</v>
      </c>
      <c r="H373" s="339">
        <f t="shared" si="141"/>
        <v>0</v>
      </c>
      <c r="I373" s="337">
        <f t="shared" si="142"/>
        <v>41020.084615973596</v>
      </c>
      <c r="J373" s="340">
        <f t="shared" si="143"/>
        <v>1.5707719484931584</v>
      </c>
      <c r="K373" s="348">
        <f t="shared" si="159"/>
        <v>11.576925179260575</v>
      </c>
      <c r="L373" s="349">
        <f t="shared" si="160"/>
        <v>1.4843098266486181</v>
      </c>
      <c r="M373" s="337">
        <f t="shared" si="144"/>
        <v>1.0466062405452381</v>
      </c>
      <c r="N373" s="340">
        <f t="shared" si="145"/>
        <v>0.29955068669184182</v>
      </c>
      <c r="O373" s="341">
        <f t="shared" si="146"/>
        <v>1.0218080591021299</v>
      </c>
      <c r="P373" s="342">
        <f t="shared" si="147"/>
        <v>0.44776589554030005</v>
      </c>
      <c r="Q373" s="343">
        <f t="shared" si="148"/>
        <v>-0.26973004061744099</v>
      </c>
      <c r="R373" s="344">
        <f t="shared" si="149"/>
        <v>-128.97501050407544</v>
      </c>
      <c r="S373" s="346">
        <f t="shared" si="150"/>
        <v>51.024989495924558</v>
      </c>
      <c r="U373" s="319">
        <f t="shared" si="156"/>
        <v>30903</v>
      </c>
      <c r="V373" s="319">
        <f t="shared" si="157"/>
        <v>954995409</v>
      </c>
      <c r="X373" s="345">
        <f t="shared" si="151"/>
        <v>26.323491493425134</v>
      </c>
      <c r="Y373" s="346">
        <f t="shared" si="152"/>
        <v>-22.116904792398458</v>
      </c>
      <c r="AA373" s="345">
        <f t="shared" si="153"/>
        <v>37.015899755120053</v>
      </c>
      <c r="AB373" s="346">
        <f t="shared" si="154"/>
        <v>-106.85810571167694</v>
      </c>
      <c r="AD373">
        <f t="shared" si="158"/>
        <v>0</v>
      </c>
      <c r="AE373">
        <f t="shared" si="161"/>
        <v>0</v>
      </c>
    </row>
    <row r="374" spans="1:31" x14ac:dyDescent="0.25">
      <c r="A374" s="347">
        <v>31083</v>
      </c>
      <c r="B374" s="364">
        <f t="shared" si="155"/>
        <v>31.082999999999998</v>
      </c>
      <c r="C374" s="337">
        <f t="shared" si="136"/>
        <v>13.516600276397922</v>
      </c>
      <c r="D374" s="338">
        <f t="shared" si="137"/>
        <v>1.4967455681953943</v>
      </c>
      <c r="E374" s="338">
        <f t="shared" si="138"/>
        <v>1.0031696272511175</v>
      </c>
      <c r="F374" s="339">
        <f t="shared" si="139"/>
        <v>7.9514498290326904E-2</v>
      </c>
      <c r="G374" s="338">
        <f t="shared" si="140"/>
        <v>1</v>
      </c>
      <c r="H374" s="339">
        <f t="shared" si="141"/>
        <v>0</v>
      </c>
      <c r="I374" s="337">
        <f t="shared" si="142"/>
        <v>41259.013368085041</v>
      </c>
      <c r="J374" s="340">
        <f t="shared" si="143"/>
        <v>1.5707720896666071</v>
      </c>
      <c r="K374" s="348">
        <f t="shared" si="159"/>
        <v>11.643855349395245</v>
      </c>
      <c r="L374" s="349">
        <f t="shared" si="160"/>
        <v>1.4848081931099562</v>
      </c>
      <c r="M374" s="337">
        <f t="shared" si="144"/>
        <v>1.0471384951987697</v>
      </c>
      <c r="N374" s="340">
        <f t="shared" si="145"/>
        <v>0.3011921220938511</v>
      </c>
      <c r="O374" s="341">
        <f t="shared" si="146"/>
        <v>1.0220961173943217</v>
      </c>
      <c r="P374" s="342">
        <f t="shared" si="147"/>
        <v>0.4504290570665852</v>
      </c>
      <c r="Q374" s="343">
        <f t="shared" si="148"/>
        <v>-0.32682024854304387</v>
      </c>
      <c r="R374" s="344">
        <f t="shared" si="149"/>
        <v>-129.19144886972785</v>
      </c>
      <c r="S374" s="346">
        <f t="shared" si="150"/>
        <v>50.80855113027215</v>
      </c>
      <c r="U374" s="319">
        <f t="shared" si="156"/>
        <v>31083</v>
      </c>
      <c r="V374" s="319">
        <f t="shared" si="157"/>
        <v>966152889</v>
      </c>
      <c r="X374" s="345">
        <f t="shared" si="151"/>
        <v>26.318701153311174</v>
      </c>
      <c r="Y374" s="346">
        <f t="shared" si="152"/>
        <v>-22.182405907109047</v>
      </c>
      <c r="AA374" s="345">
        <f t="shared" si="153"/>
        <v>36.963599887308412</v>
      </c>
      <c r="AB374" s="346">
        <f t="shared" si="154"/>
        <v>-107.00904296261879</v>
      </c>
      <c r="AD374">
        <f t="shared" si="158"/>
        <v>0</v>
      </c>
      <c r="AE374">
        <f t="shared" si="161"/>
        <v>0</v>
      </c>
    </row>
    <row r="375" spans="1:31" x14ac:dyDescent="0.25">
      <c r="A375" s="347">
        <v>31263</v>
      </c>
      <c r="B375" s="364">
        <f t="shared" si="155"/>
        <v>31.263000000000002</v>
      </c>
      <c r="C375" s="337">
        <f t="shared" si="136"/>
        <v>13.594446984240518</v>
      </c>
      <c r="D375" s="338">
        <f t="shared" si="137"/>
        <v>1.4971703796557465</v>
      </c>
      <c r="E375" s="338">
        <f t="shared" si="138"/>
        <v>1.0032063849939805</v>
      </c>
      <c r="F375" s="339">
        <f t="shared" si="139"/>
        <v>7.9973007315917305E-2</v>
      </c>
      <c r="G375" s="338">
        <f t="shared" si="140"/>
        <v>1</v>
      </c>
      <c r="H375" s="339">
        <f t="shared" si="141"/>
        <v>0</v>
      </c>
      <c r="I375" s="337">
        <f t="shared" si="142"/>
        <v>41497.942120197295</v>
      </c>
      <c r="J375" s="340">
        <f t="shared" si="143"/>
        <v>1.5707722292144142</v>
      </c>
      <c r="K375" s="348">
        <f t="shared" si="159"/>
        <v>11.710788378446964</v>
      </c>
      <c r="L375" s="349">
        <f t="shared" si="160"/>
        <v>1.485300862863937</v>
      </c>
      <c r="M375" s="337">
        <f t="shared" si="144"/>
        <v>1.0476735682971225</v>
      </c>
      <c r="N375" s="340">
        <f t="shared" si="145"/>
        <v>0.30283188526590099</v>
      </c>
      <c r="O375" s="341">
        <f t="shared" si="146"/>
        <v>1.0223866057121909</v>
      </c>
      <c r="P375" s="342">
        <f t="shared" si="147"/>
        <v>0.45309299199164615</v>
      </c>
      <c r="Q375" s="343">
        <f t="shared" si="148"/>
        <v>-0.38365678453242902</v>
      </c>
      <c r="R375" s="344">
        <f t="shared" si="149"/>
        <v>-129.4078819768736</v>
      </c>
      <c r="S375" s="346">
        <f t="shared" si="150"/>
        <v>50.592118023126403</v>
      </c>
      <c r="U375" s="319">
        <f t="shared" si="156"/>
        <v>31263</v>
      </c>
      <c r="V375" s="319">
        <f t="shared" si="157"/>
        <v>977375169</v>
      </c>
      <c r="X375" s="345">
        <f t="shared" si="151"/>
        <v>26.313896104485583</v>
      </c>
      <c r="Y375" s="346">
        <f t="shared" si="152"/>
        <v>-22.248137514247137</v>
      </c>
      <c r="AA375" s="345">
        <f t="shared" si="153"/>
        <v>36.911568400144617</v>
      </c>
      <c r="AB375" s="346">
        <f t="shared" si="154"/>
        <v>-107.15974446262648</v>
      </c>
      <c r="AD375">
        <f t="shared" si="158"/>
        <v>0</v>
      </c>
      <c r="AE375">
        <f t="shared" si="161"/>
        <v>0</v>
      </c>
    </row>
    <row r="376" spans="1:31" x14ac:dyDescent="0.25">
      <c r="A376" s="347">
        <v>31443</v>
      </c>
      <c r="B376" s="364">
        <f t="shared" si="155"/>
        <v>31.443000000000001</v>
      </c>
      <c r="C376" s="337">
        <f t="shared" si="136"/>
        <v>13.672296117464507</v>
      </c>
      <c r="D376" s="338">
        <f t="shared" si="137"/>
        <v>1.4975903534954857</v>
      </c>
      <c r="E376" s="338">
        <f t="shared" si="138"/>
        <v>1.0032433536259697</v>
      </c>
      <c r="F376" s="339">
        <f t="shared" si="139"/>
        <v>8.0431482646581606E-2</v>
      </c>
      <c r="G376" s="338">
        <f t="shared" si="140"/>
        <v>1</v>
      </c>
      <c r="H376" s="339">
        <f t="shared" si="141"/>
        <v>0</v>
      </c>
      <c r="I376" s="337">
        <f t="shared" si="142"/>
        <v>41736.870872310348</v>
      </c>
      <c r="J376" s="340">
        <f t="shared" si="143"/>
        <v>1.570772367164498</v>
      </c>
      <c r="K376" s="348">
        <f t="shared" si="159"/>
        <v>11.777724217673894</v>
      </c>
      <c r="L376" s="349">
        <f t="shared" si="160"/>
        <v>1.4857879327968979</v>
      </c>
      <c r="M376" s="337">
        <f t="shared" si="144"/>
        <v>1.048211455524162</v>
      </c>
      <c r="N376" s="340">
        <f t="shared" si="145"/>
        <v>0.30446996995753373</v>
      </c>
      <c r="O376" s="341">
        <f t="shared" si="146"/>
        <v>1.0226795365552697</v>
      </c>
      <c r="P376" s="342">
        <f t="shared" si="147"/>
        <v>0.45575769951465678</v>
      </c>
      <c r="Q376" s="343">
        <f t="shared" si="148"/>
        <v>-0.44024305053762103</v>
      </c>
      <c r="R376" s="344">
        <f t="shared" si="149"/>
        <v>-129.62430869067794</v>
      </c>
      <c r="S376" s="346">
        <f t="shared" si="150"/>
        <v>50.375691309322065</v>
      </c>
      <c r="U376" s="319">
        <f t="shared" si="156"/>
        <v>31443</v>
      </c>
      <c r="V376" s="319">
        <f t="shared" si="157"/>
        <v>988662249</v>
      </c>
      <c r="X376" s="345">
        <f t="shared" si="151"/>
        <v>26.309076270652966</v>
      </c>
      <c r="Y376" s="346">
        <f t="shared" si="152"/>
        <v>-22.314093706109247</v>
      </c>
      <c r="AA376" s="345">
        <f t="shared" si="153"/>
        <v>36.859801967972039</v>
      </c>
      <c r="AB376" s="346">
        <f t="shared" si="154"/>
        <v>-107.31021498456872</v>
      </c>
      <c r="AD376">
        <f t="shared" si="158"/>
        <v>0</v>
      </c>
      <c r="AE376">
        <f t="shared" si="161"/>
        <v>0</v>
      </c>
    </row>
    <row r="377" spans="1:31" x14ac:dyDescent="0.25">
      <c r="A377" s="347">
        <v>31623</v>
      </c>
      <c r="B377" s="364">
        <f t="shared" si="155"/>
        <v>31.623000000000001</v>
      </c>
      <c r="C377" s="337">
        <f t="shared" si="136"/>
        <v>13.75014763487458</v>
      </c>
      <c r="D377" s="338">
        <f t="shared" si="137"/>
        <v>1.4980055717350953</v>
      </c>
      <c r="E377" s="338">
        <f t="shared" si="138"/>
        <v>1.0032805331237724</v>
      </c>
      <c r="F377" s="339">
        <f t="shared" si="139"/>
        <v>8.0889924093312554E-2</v>
      </c>
      <c r="G377" s="338">
        <f t="shared" si="140"/>
        <v>1</v>
      </c>
      <c r="H377" s="339">
        <f t="shared" si="141"/>
        <v>0</v>
      </c>
      <c r="I377" s="337">
        <f t="shared" si="142"/>
        <v>41975.79962442418</v>
      </c>
      <c r="J377" s="340">
        <f t="shared" si="143"/>
        <v>1.5707725035441416</v>
      </c>
      <c r="K377" s="348">
        <f t="shared" si="159"/>
        <v>11.844662819433962</v>
      </c>
      <c r="L377" s="349">
        <f t="shared" si="160"/>
        <v>1.486269497615778</v>
      </c>
      <c r="M377" s="337">
        <f t="shared" si="144"/>
        <v>1.0487521525499308</v>
      </c>
      <c r="N377" s="340">
        <f t="shared" si="145"/>
        <v>0.30610636996711194</v>
      </c>
      <c r="O377" s="341">
        <f t="shared" si="146"/>
        <v>1.0229749224754456</v>
      </c>
      <c r="P377" s="342">
        <f t="shared" si="147"/>
        <v>0.45842317874860328</v>
      </c>
      <c r="Q377" s="343">
        <f t="shared" si="148"/>
        <v>-0.49658239022750988</v>
      </c>
      <c r="R377" s="344">
        <f t="shared" si="149"/>
        <v>-129.84072789050327</v>
      </c>
      <c r="S377" s="346">
        <f t="shared" si="150"/>
        <v>50.159272109496726</v>
      </c>
      <c r="U377" s="319">
        <f t="shared" si="156"/>
        <v>31623</v>
      </c>
      <c r="V377" s="319">
        <f t="shared" si="157"/>
        <v>1000014129</v>
      </c>
      <c r="X377" s="345">
        <f t="shared" si="151"/>
        <v>26.304241579778626</v>
      </c>
      <c r="Y377" s="346">
        <f t="shared" si="152"/>
        <v>-22.380268702623049</v>
      </c>
      <c r="AA377" s="345">
        <f t="shared" si="153"/>
        <v>36.808297319156495</v>
      </c>
      <c r="AB377" s="346">
        <f t="shared" si="154"/>
        <v>-107.46045918788022</v>
      </c>
      <c r="AD377">
        <f t="shared" si="158"/>
        <v>0</v>
      </c>
      <c r="AE377">
        <f t="shared" si="161"/>
        <v>0</v>
      </c>
    </row>
    <row r="378" spans="1:31" x14ac:dyDescent="0.25">
      <c r="A378" s="347">
        <v>31807</v>
      </c>
      <c r="B378" s="364">
        <f t="shared" si="155"/>
        <v>31.806999999999999</v>
      </c>
      <c r="C378" s="337">
        <f t="shared" si="136"/>
        <v>13.829731608328384</v>
      </c>
      <c r="D378" s="338">
        <f t="shared" si="137"/>
        <v>1.49842518522824</v>
      </c>
      <c r="E378" s="338">
        <f t="shared" si="138"/>
        <v>1.0033187567549682</v>
      </c>
      <c r="F378" s="339">
        <f t="shared" si="139"/>
        <v>8.1358517909272149E-2</v>
      </c>
      <c r="G378" s="338">
        <f t="shared" si="140"/>
        <v>1</v>
      </c>
      <c r="H378" s="339">
        <f t="shared" si="141"/>
        <v>0</v>
      </c>
      <c r="I378" s="337">
        <f t="shared" si="142"/>
        <v>42220.037904363577</v>
      </c>
      <c r="J378" s="340">
        <f t="shared" si="143"/>
        <v>1.5707726413590295</v>
      </c>
      <c r="K378" s="348">
        <f t="shared" si="159"/>
        <v>11.913091752489708</v>
      </c>
      <c r="L378" s="349">
        <f t="shared" si="160"/>
        <v>1.4867561702922698</v>
      </c>
      <c r="M378" s="337">
        <f t="shared" si="144"/>
        <v>1.0493077646948046</v>
      </c>
      <c r="N378" s="340">
        <f t="shared" si="145"/>
        <v>0.3077773867610189</v>
      </c>
      <c r="O378" s="341">
        <f t="shared" si="146"/>
        <v>1.0232794231702755</v>
      </c>
      <c r="P378" s="342">
        <f t="shared" si="147"/>
        <v>0.46114868746544563</v>
      </c>
      <c r="Q378" s="343">
        <f t="shared" si="148"/>
        <v>-0.55392191900923327</v>
      </c>
      <c r="R378" s="344">
        <f t="shared" si="149"/>
        <v>-130.06194748711121</v>
      </c>
      <c r="S378" s="346">
        <f t="shared" si="150"/>
        <v>49.938052512888788</v>
      </c>
      <c r="U378" s="319">
        <f t="shared" si="156"/>
        <v>31807</v>
      </c>
      <c r="V378" s="319">
        <f t="shared" si="157"/>
        <v>1011685249</v>
      </c>
      <c r="X378" s="345">
        <f t="shared" si="151"/>
        <v>26.299284024692238</v>
      </c>
      <c r="Y378" s="346">
        <f t="shared" si="152"/>
        <v>-22.448134518331059</v>
      </c>
      <c r="AA378" s="345">
        <f t="shared" si="153"/>
        <v>36.755915345461155</v>
      </c>
      <c r="AB378" s="346">
        <f t="shared" si="154"/>
        <v>-107.61381296878014</v>
      </c>
      <c r="AD378">
        <f t="shared" si="158"/>
        <v>0</v>
      </c>
      <c r="AE378">
        <f t="shared" si="161"/>
        <v>0</v>
      </c>
    </row>
    <row r="379" spans="1:31" x14ac:dyDescent="0.25">
      <c r="A379" s="347">
        <v>31991</v>
      </c>
      <c r="B379" s="364">
        <f t="shared" si="155"/>
        <v>31.991</v>
      </c>
      <c r="C379" s="337">
        <f t="shared" si="136"/>
        <v>13.909317988993404</v>
      </c>
      <c r="D379" s="338">
        <f t="shared" si="137"/>
        <v>1.4988399969020432</v>
      </c>
      <c r="E379" s="338">
        <f t="shared" si="138"/>
        <v>1.0033572006782472</v>
      </c>
      <c r="F379" s="339">
        <f t="shared" si="139"/>
        <v>8.1827075919494244E-2</v>
      </c>
      <c r="G379" s="338">
        <f t="shared" si="140"/>
        <v>1</v>
      </c>
      <c r="H379" s="339">
        <f t="shared" si="141"/>
        <v>0</v>
      </c>
      <c r="I379" s="337">
        <f t="shared" si="142"/>
        <v>42464.276184303752</v>
      </c>
      <c r="J379" s="340">
        <f t="shared" si="143"/>
        <v>1.5707727775886002</v>
      </c>
      <c r="K379" s="348">
        <f t="shared" si="159"/>
        <v>11.981523474934662</v>
      </c>
      <c r="L379" s="349">
        <f t="shared" si="160"/>
        <v>1.487237283880485</v>
      </c>
      <c r="M379" s="337">
        <f t="shared" si="144"/>
        <v>1.0498663037127463</v>
      </c>
      <c r="N379" s="340">
        <f t="shared" si="145"/>
        <v>0.30944663021766605</v>
      </c>
      <c r="O379" s="341">
        <f t="shared" si="146"/>
        <v>1.0235865159582473</v>
      </c>
      <c r="P379" s="342">
        <f t="shared" si="147"/>
        <v>0.46387500042139423</v>
      </c>
      <c r="Q379" s="343">
        <f t="shared" si="148"/>
        <v>-0.6110103098769083</v>
      </c>
      <c r="R379" s="344">
        <f t="shared" si="149"/>
        <v>-130.2831569074846</v>
      </c>
      <c r="S379" s="346">
        <f t="shared" si="150"/>
        <v>49.716843092515404</v>
      </c>
      <c r="U379" s="319">
        <f t="shared" si="156"/>
        <v>31991</v>
      </c>
      <c r="V379" s="319">
        <f t="shared" si="157"/>
        <v>1023424081</v>
      </c>
      <c r="X379" s="345">
        <f t="shared" si="151"/>
        <v>26.294310805720983</v>
      </c>
      <c r="Y379" s="346">
        <f t="shared" si="152"/>
        <v>-22.516217150762891</v>
      </c>
      <c r="AA379" s="345">
        <f t="shared" si="153"/>
        <v>36.703800173564737</v>
      </c>
      <c r="AB379" s="346">
        <f t="shared" si="154"/>
        <v>-107.76693975672171</v>
      </c>
      <c r="AD379">
        <f t="shared" si="158"/>
        <v>0</v>
      </c>
      <c r="AE379">
        <f t="shared" si="161"/>
        <v>0</v>
      </c>
    </row>
    <row r="380" spans="1:31" x14ac:dyDescent="0.25">
      <c r="A380" s="347">
        <v>32175</v>
      </c>
      <c r="B380" s="364">
        <f t="shared" si="155"/>
        <v>32.174999999999997</v>
      </c>
      <c r="C380" s="337">
        <f t="shared" si="136"/>
        <v>13.988906735783964</v>
      </c>
      <c r="D380" s="338">
        <f t="shared" si="137"/>
        <v>1.4992500885712012</v>
      </c>
      <c r="E380" s="338">
        <f t="shared" si="138"/>
        <v>1.0033958648682895</v>
      </c>
      <c r="F380" s="339">
        <f t="shared" si="139"/>
        <v>8.229559792236564E-2</v>
      </c>
      <c r="G380" s="338">
        <f t="shared" si="140"/>
        <v>1</v>
      </c>
      <c r="H380" s="339">
        <f t="shared" si="141"/>
        <v>0</v>
      </c>
      <c r="I380" s="337">
        <f t="shared" si="142"/>
        <v>42708.514464244712</v>
      </c>
      <c r="J380" s="340">
        <f t="shared" si="143"/>
        <v>1.5707729122600518</v>
      </c>
      <c r="K380" s="348">
        <f t="shared" si="159"/>
        <v>12.049957939245987</v>
      </c>
      <c r="L380" s="349">
        <f t="shared" si="160"/>
        <v>1.4877129328697742</v>
      </c>
      <c r="M380" s="337">
        <f t="shared" si="144"/>
        <v>1.0504277649348788</v>
      </c>
      <c r="N380" s="340">
        <f t="shared" si="145"/>
        <v>0.31111409387100997</v>
      </c>
      <c r="O380" s="341">
        <f t="shared" si="146"/>
        <v>1.023896214413939</v>
      </c>
      <c r="P380" s="342">
        <f t="shared" si="147"/>
        <v>0.46660211638776372</v>
      </c>
      <c r="Q380" s="343">
        <f t="shared" si="148"/>
        <v>-0.66785095410594286</v>
      </c>
      <c r="R380" s="344">
        <f t="shared" si="149"/>
        <v>-130.50435499765371</v>
      </c>
      <c r="S380" s="346">
        <f t="shared" si="150"/>
        <v>49.495645002346293</v>
      </c>
      <c r="U380" s="319">
        <f t="shared" si="156"/>
        <v>32175</v>
      </c>
      <c r="V380" s="319">
        <f t="shared" si="157"/>
        <v>1035230625</v>
      </c>
      <c r="X380" s="345">
        <f t="shared" si="151"/>
        <v>26.289321858827861</v>
      </c>
      <c r="Y380" s="346">
        <f t="shared" si="152"/>
        <v>-22.584510817158851</v>
      </c>
      <c r="AA380" s="345">
        <f t="shared" si="153"/>
        <v>36.651948476228824</v>
      </c>
      <c r="AB380" s="346">
        <f t="shared" si="154"/>
        <v>-107.91984418049482</v>
      </c>
      <c r="AD380">
        <f t="shared" si="158"/>
        <v>0</v>
      </c>
      <c r="AE380">
        <f t="shared" si="161"/>
        <v>0</v>
      </c>
    </row>
    <row r="381" spans="1:31" x14ac:dyDescent="0.25">
      <c r="A381" s="347">
        <v>32359</v>
      </c>
      <c r="B381" s="364">
        <f t="shared" si="155"/>
        <v>32.359000000000002</v>
      </c>
      <c r="C381" s="337">
        <f t="shared" si="136"/>
        <v>14.068497808542906</v>
      </c>
      <c r="D381" s="338">
        <f t="shared" si="137"/>
        <v>1.4996555402054117</v>
      </c>
      <c r="E381" s="338">
        <f t="shared" si="138"/>
        <v>1.0034347492996327</v>
      </c>
      <c r="F381" s="339">
        <f t="shared" si="139"/>
        <v>8.2764083716367343E-2</v>
      </c>
      <c r="G381" s="338">
        <f t="shared" si="140"/>
        <v>1</v>
      </c>
      <c r="H381" s="339">
        <f t="shared" si="141"/>
        <v>0</v>
      </c>
      <c r="I381" s="337">
        <f t="shared" si="142"/>
        <v>42952.752744186437</v>
      </c>
      <c r="J381" s="340">
        <f t="shared" si="143"/>
        <v>1.5707730453999638</v>
      </c>
      <c r="K381" s="348">
        <f t="shared" si="159"/>
        <v>12.118395098972451</v>
      </c>
      <c r="L381" s="349">
        <f t="shared" si="160"/>
        <v>1.48818320962504</v>
      </c>
      <c r="M381" s="337">
        <f t="shared" si="144"/>
        <v>1.0509921436779002</v>
      </c>
      <c r="N381" s="340">
        <f t="shared" si="145"/>
        <v>0.31277977130837714</v>
      </c>
      <c r="O381" s="341">
        <f t="shared" si="146"/>
        <v>1.0242085321674173</v>
      </c>
      <c r="P381" s="342">
        <f t="shared" si="147"/>
        <v>0.46933003404045626</v>
      </c>
      <c r="Q381" s="343">
        <f t="shared" si="148"/>
        <v>-0.72444718496680882</v>
      </c>
      <c r="R381" s="344">
        <f t="shared" si="149"/>
        <v>-130.72554061721024</v>
      </c>
      <c r="S381" s="346">
        <f t="shared" si="150"/>
        <v>49.274459382789757</v>
      </c>
      <c r="U381" s="319">
        <f t="shared" si="156"/>
        <v>32359</v>
      </c>
      <c r="V381" s="319">
        <f t="shared" si="157"/>
        <v>1047104881</v>
      </c>
      <c r="X381" s="345">
        <f t="shared" si="151"/>
        <v>26.284317124041266</v>
      </c>
      <c r="Y381" s="346">
        <f t="shared" si="152"/>
        <v>-22.65300985950363</v>
      </c>
      <c r="AA381" s="345">
        <f t="shared" si="153"/>
        <v>36.600356980154551</v>
      </c>
      <c r="AB381" s="346">
        <f t="shared" si="154"/>
        <v>-108.07253075770662</v>
      </c>
      <c r="AD381">
        <f t="shared" si="158"/>
        <v>0</v>
      </c>
      <c r="AE381">
        <f t="shared" si="161"/>
        <v>0</v>
      </c>
    </row>
    <row r="382" spans="1:31" x14ac:dyDescent="0.25">
      <c r="A382" s="347">
        <v>32547.5</v>
      </c>
      <c r="B382" s="364">
        <f t="shared" si="155"/>
        <v>32.547499999999999</v>
      </c>
      <c r="C382" s="337">
        <f t="shared" si="136"/>
        <v>14.150037773061964</v>
      </c>
      <c r="D382" s="338">
        <f t="shared" si="137"/>
        <v>1.5000661778523148</v>
      </c>
      <c r="E382" s="338">
        <f t="shared" si="138"/>
        <v>1.0034748130688202</v>
      </c>
      <c r="F382" s="339">
        <f t="shared" si="139"/>
        <v>8.3243989284785824E-2</v>
      </c>
      <c r="G382" s="338">
        <f t="shared" si="140"/>
        <v>1</v>
      </c>
      <c r="H382" s="339">
        <f t="shared" si="141"/>
        <v>0</v>
      </c>
      <c r="I382" s="337">
        <f t="shared" si="142"/>
        <v>43202.96424293187</v>
      </c>
      <c r="J382" s="340">
        <f t="shared" si="143"/>
        <v>1.5707731802349878</v>
      </c>
      <c r="K382" s="348">
        <f t="shared" si="159"/>
        <v>12.188508741219053</v>
      </c>
      <c r="L382" s="349">
        <f t="shared" si="160"/>
        <v>1.4886595111838874</v>
      </c>
      <c r="M382" s="337">
        <f t="shared" si="144"/>
        <v>1.0515733456728518</v>
      </c>
      <c r="N382" s="340">
        <f t="shared" si="145"/>
        <v>0.31448432649718777</v>
      </c>
      <c r="O382" s="341">
        <f t="shared" si="146"/>
        <v>1.0245312186036017</v>
      </c>
      <c r="P382" s="342">
        <f t="shared" si="147"/>
        <v>0.47212549692133565</v>
      </c>
      <c r="Q382" s="343">
        <f t="shared" si="148"/>
        <v>-0.78217753517782829</v>
      </c>
      <c r="R382" s="344">
        <f t="shared" si="149"/>
        <v>-130.95212155741689</v>
      </c>
      <c r="S382" s="346">
        <f t="shared" si="150"/>
        <v>49.047878442583112</v>
      </c>
      <c r="U382" s="319">
        <f t="shared" si="156"/>
        <v>32547.5</v>
      </c>
      <c r="V382" s="319">
        <f t="shared" si="157"/>
        <v>1059339756.25</v>
      </c>
      <c r="X382" s="345">
        <f t="shared" si="151"/>
        <v>26.279173560496464</v>
      </c>
      <c r="Y382" s="346">
        <f t="shared" si="152"/>
        <v>-22.723391334230378</v>
      </c>
      <c r="AA382" s="345">
        <f t="shared" si="153"/>
        <v>36.54777019348834</v>
      </c>
      <c r="AB382" s="346">
        <f t="shared" si="154"/>
        <v>-108.2287302231865</v>
      </c>
      <c r="AD382">
        <f t="shared" si="158"/>
        <v>0</v>
      </c>
      <c r="AE382">
        <f t="shared" si="161"/>
        <v>0</v>
      </c>
    </row>
    <row r="383" spans="1:31" x14ac:dyDescent="0.25">
      <c r="A383" s="347">
        <v>32736</v>
      </c>
      <c r="B383" s="364">
        <f t="shared" si="155"/>
        <v>32.735999999999997</v>
      </c>
      <c r="C383" s="337">
        <f t="shared" si="136"/>
        <v>14.231580096265015</v>
      </c>
      <c r="D383" s="338">
        <f t="shared" si="137"/>
        <v>1.500472109926813</v>
      </c>
      <c r="E383" s="338">
        <f t="shared" si="138"/>
        <v>1.0035151079291598</v>
      </c>
      <c r="F383" s="339">
        <f t="shared" si="139"/>
        <v>8.3723856423731313E-2</v>
      </c>
      <c r="G383" s="338">
        <f t="shared" si="140"/>
        <v>1</v>
      </c>
      <c r="H383" s="339">
        <f t="shared" si="141"/>
        <v>0</v>
      </c>
      <c r="I383" s="337">
        <f t="shared" si="142"/>
        <v>43453.175741678067</v>
      </c>
      <c r="J383" s="340">
        <f t="shared" si="143"/>
        <v>1.5707733135172013</v>
      </c>
      <c r="K383" s="348">
        <f t="shared" si="159"/>
        <v>12.258625116958633</v>
      </c>
      <c r="L383" s="349">
        <f t="shared" si="160"/>
        <v>1.4891303641887172</v>
      </c>
      <c r="M383" s="337">
        <f t="shared" si="144"/>
        <v>1.0521575996423091</v>
      </c>
      <c r="N383" s="340">
        <f t="shared" si="145"/>
        <v>0.31618699357918534</v>
      </c>
      <c r="O383" s="341">
        <f t="shared" si="146"/>
        <v>1.024856683158381</v>
      </c>
      <c r="P383" s="342">
        <f t="shared" si="147"/>
        <v>0.47492179805933005</v>
      </c>
      <c r="Q383" s="343">
        <f t="shared" si="148"/>
        <v>-0.83965827205407473</v>
      </c>
      <c r="R383" s="344">
        <f t="shared" si="149"/>
        <v>-131.17868702825444</v>
      </c>
      <c r="S383" s="346">
        <f t="shared" si="150"/>
        <v>48.821312971745556</v>
      </c>
      <c r="U383" s="319">
        <f t="shared" si="156"/>
        <v>32736</v>
      </c>
      <c r="V383" s="319">
        <f t="shared" si="157"/>
        <v>1071645696</v>
      </c>
      <c r="X383" s="345">
        <f t="shared" si="151"/>
        <v>26.274013312464035</v>
      </c>
      <c r="Y383" s="346">
        <f t="shared" si="152"/>
        <v>-22.793976718585874</v>
      </c>
      <c r="AA383" s="345">
        <f t="shared" si="153"/>
        <v>36.495449704644521</v>
      </c>
      <c r="AB383" s="346">
        <f t="shared" si="154"/>
        <v>-108.38471030966859</v>
      </c>
      <c r="AD383">
        <f t="shared" si="158"/>
        <v>0</v>
      </c>
      <c r="AE383">
        <f t="shared" si="161"/>
        <v>0</v>
      </c>
    </row>
    <row r="384" spans="1:31" x14ac:dyDescent="0.25">
      <c r="A384" s="347">
        <v>32924.5</v>
      </c>
      <c r="B384" s="364">
        <f t="shared" si="155"/>
        <v>32.924500000000002</v>
      </c>
      <c r="C384" s="337">
        <f t="shared" si="136"/>
        <v>14.313124737839571</v>
      </c>
      <c r="D384" s="338">
        <f t="shared" si="137"/>
        <v>1.5008734167196396</v>
      </c>
      <c r="E384" s="338">
        <f t="shared" si="138"/>
        <v>1.0035556338528151</v>
      </c>
      <c r="F384" s="339">
        <f t="shared" si="139"/>
        <v>8.420368491684585E-2</v>
      </c>
      <c r="G384" s="338">
        <f t="shared" si="140"/>
        <v>1</v>
      </c>
      <c r="H384" s="339">
        <f t="shared" si="141"/>
        <v>0</v>
      </c>
      <c r="I384" s="337">
        <f t="shared" si="142"/>
        <v>43703.387240425036</v>
      </c>
      <c r="J384" s="340">
        <f t="shared" si="143"/>
        <v>1.5707734452732749</v>
      </c>
      <c r="K384" s="348">
        <f t="shared" si="159"/>
        <v>12.328744179553203</v>
      </c>
      <c r="L384" s="349">
        <f t="shared" si="160"/>
        <v>1.4895958613940141</v>
      </c>
      <c r="M384" s="337">
        <f t="shared" si="144"/>
        <v>1.0527449005049043</v>
      </c>
      <c r="N384" s="340">
        <f t="shared" si="145"/>
        <v>0.31788776583388828</v>
      </c>
      <c r="O384" s="341">
        <f t="shared" si="146"/>
        <v>1.0251849406648226</v>
      </c>
      <c r="P384" s="342">
        <f t="shared" si="147"/>
        <v>0.47771893571721974</v>
      </c>
      <c r="Q384" s="343">
        <f t="shared" si="148"/>
        <v>-0.89689279863480353</v>
      </c>
      <c r="R384" s="344">
        <f t="shared" si="149"/>
        <v>-131.40523584493653</v>
      </c>
      <c r="S384" s="346">
        <f t="shared" si="150"/>
        <v>48.594764155063473</v>
      </c>
      <c r="U384" s="319">
        <f t="shared" si="156"/>
        <v>32924.5</v>
      </c>
      <c r="V384" s="319">
        <f t="shared" si="157"/>
        <v>1084022700.25</v>
      </c>
      <c r="X384" s="345">
        <f t="shared" si="151"/>
        <v>26.268836327872634</v>
      </c>
      <c r="Y384" s="346">
        <f t="shared" si="152"/>
        <v>-22.864760314602478</v>
      </c>
      <c r="AA384" s="345">
        <f t="shared" si="153"/>
        <v>36.443392162655194</v>
      </c>
      <c r="AB384" s="346">
        <f t="shared" si="154"/>
        <v>-108.54047553033408</v>
      </c>
      <c r="AD384">
        <f t="shared" si="158"/>
        <v>0</v>
      </c>
      <c r="AE384">
        <f t="shared" si="161"/>
        <v>0</v>
      </c>
    </row>
    <row r="385" spans="1:31" x14ac:dyDescent="0.25">
      <c r="A385" s="347">
        <v>33113</v>
      </c>
      <c r="B385" s="364">
        <f t="shared" si="155"/>
        <v>33.113</v>
      </c>
      <c r="C385" s="337">
        <f t="shared" si="136"/>
        <v>14.394671658385475</v>
      </c>
      <c r="D385" s="338">
        <f t="shared" si="137"/>
        <v>1.5012701767081531</v>
      </c>
      <c r="E385" s="338">
        <f t="shared" si="138"/>
        <v>1.0035963908117946</v>
      </c>
      <c r="F385" s="339">
        <f t="shared" si="139"/>
        <v>8.4683474547877571E-2</v>
      </c>
      <c r="G385" s="338">
        <f t="shared" si="140"/>
        <v>1</v>
      </c>
      <c r="H385" s="339">
        <f t="shared" si="141"/>
        <v>0</v>
      </c>
      <c r="I385" s="337">
        <f t="shared" si="142"/>
        <v>43953.598739172754</v>
      </c>
      <c r="J385" s="340">
        <f t="shared" si="143"/>
        <v>1.5707735755292718</v>
      </c>
      <c r="K385" s="348">
        <f t="shared" si="159"/>
        <v>12.398865883418008</v>
      </c>
      <c r="L385" s="349">
        <f t="shared" si="160"/>
        <v>1.4900560934653782</v>
      </c>
      <c r="M385" s="337">
        <f t="shared" si="144"/>
        <v>1.0533352431641316</v>
      </c>
      <c r="N385" s="340">
        <f t="shared" si="145"/>
        <v>0.31958663659961251</v>
      </c>
      <c r="O385" s="341">
        <f t="shared" si="146"/>
        <v>1.0255160060151689</v>
      </c>
      <c r="P385" s="342">
        <f t="shared" si="147"/>
        <v>0.48051690805132058</v>
      </c>
      <c r="Q385" s="343">
        <f t="shared" si="148"/>
        <v>-0.95388445972014324</v>
      </c>
      <c r="R385" s="344">
        <f t="shared" si="149"/>
        <v>-131.63176683569031</v>
      </c>
      <c r="S385" s="346">
        <f t="shared" si="150"/>
        <v>48.368233164309686</v>
      </c>
      <c r="U385" s="319">
        <f t="shared" si="156"/>
        <v>33113</v>
      </c>
      <c r="V385" s="319">
        <f t="shared" si="157"/>
        <v>1096470769</v>
      </c>
      <c r="X385" s="345">
        <f t="shared" si="151"/>
        <v>26.263642558562758</v>
      </c>
      <c r="Y385" s="346">
        <f t="shared" si="152"/>
        <v>-22.935736547330887</v>
      </c>
      <c r="AA385" s="345">
        <f t="shared" si="153"/>
        <v>36.391594270879729</v>
      </c>
      <c r="AB385" s="346">
        <f t="shared" si="154"/>
        <v>-108.6960302883594</v>
      </c>
      <c r="AD385">
        <f t="shared" si="158"/>
        <v>0</v>
      </c>
      <c r="AE385">
        <f t="shared" si="161"/>
        <v>0</v>
      </c>
    </row>
    <row r="386" spans="1:31" x14ac:dyDescent="0.25">
      <c r="A386" s="347">
        <v>33305.75</v>
      </c>
      <c r="B386" s="364">
        <f t="shared" si="155"/>
        <v>33.305750000000003</v>
      </c>
      <c r="C386" s="337">
        <f t="shared" si="136"/>
        <v>14.478059486482753</v>
      </c>
      <c r="D386" s="338">
        <f t="shared" si="137"/>
        <v>1.5016712603972862</v>
      </c>
      <c r="E386" s="338">
        <f t="shared" si="138"/>
        <v>1.0036383055725027</v>
      </c>
      <c r="F386" s="339">
        <f t="shared" si="139"/>
        <v>8.5174041305558432E-2</v>
      </c>
      <c r="G386" s="338">
        <f t="shared" si="140"/>
        <v>1</v>
      </c>
      <c r="H386" s="339">
        <f t="shared" si="141"/>
        <v>0</v>
      </c>
      <c r="I386" s="337">
        <f t="shared" si="142"/>
        <v>44209.451611235178</v>
      </c>
      <c r="J386" s="340">
        <f t="shared" si="143"/>
        <v>1.5707737071974206</v>
      </c>
      <c r="K386" s="348">
        <f t="shared" si="159"/>
        <v>12.47057126545454</v>
      </c>
      <c r="L386" s="349">
        <f t="shared" si="160"/>
        <v>1.4905213499172281</v>
      </c>
      <c r="M386" s="337">
        <f t="shared" si="144"/>
        <v>1.0539420360531342</v>
      </c>
      <c r="N386" s="340">
        <f t="shared" si="145"/>
        <v>0.32132183765883371</v>
      </c>
      <c r="O386" s="341">
        <f t="shared" si="146"/>
        <v>1.0258574547983503</v>
      </c>
      <c r="P386" s="342">
        <f t="shared" si="147"/>
        <v>0.48337882572636737</v>
      </c>
      <c r="Q386" s="343">
        <f t="shared" si="148"/>
        <v>-1.0119133629809653</v>
      </c>
      <c r="R386" s="344">
        <f t="shared" si="149"/>
        <v>-131.86338564813033</v>
      </c>
      <c r="S386" s="346">
        <f t="shared" si="150"/>
        <v>48.136614351869667</v>
      </c>
      <c r="U386" s="319">
        <f t="shared" si="156"/>
        <v>33305.75</v>
      </c>
      <c r="V386" s="319">
        <f t="shared" si="157"/>
        <v>1109272983.0625</v>
      </c>
      <c r="X386" s="345">
        <f t="shared" si="151"/>
        <v>26.258314285502792</v>
      </c>
      <c r="Y386" s="346">
        <f t="shared" si="152"/>
        <v>-23.008506557661029</v>
      </c>
      <c r="AA386" s="345">
        <f t="shared" si="153"/>
        <v>36.338893640678869</v>
      </c>
      <c r="AB386" s="346">
        <f t="shared" si="154"/>
        <v>-108.85487909046931</v>
      </c>
      <c r="AD386">
        <f t="shared" si="158"/>
        <v>0</v>
      </c>
      <c r="AE386">
        <f t="shared" si="161"/>
        <v>0</v>
      </c>
    </row>
    <row r="387" spans="1:31" x14ac:dyDescent="0.25">
      <c r="A387" s="347">
        <v>33498.5</v>
      </c>
      <c r="B387" s="364">
        <f t="shared" si="155"/>
        <v>33.4985</v>
      </c>
      <c r="C387" s="337">
        <f t="shared" si="136"/>
        <v>14.561449616962863</v>
      </c>
      <c r="D387" s="338">
        <f t="shared" si="137"/>
        <v>1.5020677503183415</v>
      </c>
      <c r="E387" s="338">
        <f t="shared" si="138"/>
        <v>1.0036804618443267</v>
      </c>
      <c r="F387" s="339">
        <f t="shared" si="139"/>
        <v>8.566456697201684E-2</v>
      </c>
      <c r="G387" s="338">
        <f t="shared" si="140"/>
        <v>1</v>
      </c>
      <c r="H387" s="339">
        <f t="shared" si="141"/>
        <v>0</v>
      </c>
      <c r="I387" s="337">
        <f t="shared" si="142"/>
        <v>44465.304483298358</v>
      </c>
      <c r="J387" s="340">
        <f t="shared" si="143"/>
        <v>1.5707738373503353</v>
      </c>
      <c r="K387" s="348">
        <f t="shared" si="159"/>
        <v>12.542279316049337</v>
      </c>
      <c r="L387" s="349">
        <f t="shared" si="160"/>
        <v>1.4909812864405496</v>
      </c>
      <c r="M387" s="337">
        <f t="shared" si="144"/>
        <v>1.0545519986226852</v>
      </c>
      <c r="N387" s="340">
        <f t="shared" si="145"/>
        <v>0.32305503661907958</v>
      </c>
      <c r="O387" s="341">
        <f t="shared" si="146"/>
        <v>1.0262018711473992</v>
      </c>
      <c r="P387" s="342">
        <f t="shared" si="147"/>
        <v>0.4862416118987728</v>
      </c>
      <c r="Q387" s="343">
        <f t="shared" si="148"/>
        <v>-1.0696952186055189</v>
      </c>
      <c r="R387" s="344">
        <f t="shared" si="149"/>
        <v>-132.09498338344827</v>
      </c>
      <c r="S387" s="346">
        <f t="shared" si="150"/>
        <v>47.905016616551734</v>
      </c>
      <c r="U387" s="319">
        <f t="shared" si="156"/>
        <v>33498.5</v>
      </c>
      <c r="V387" s="319">
        <f t="shared" si="157"/>
        <v>1122149502.25</v>
      </c>
      <c r="X387" s="345">
        <f t="shared" si="151"/>
        <v>26.252968372439888</v>
      </c>
      <c r="Y387" s="346">
        <f t="shared" si="152"/>
        <v>-23.081466578805419</v>
      </c>
      <c r="AA387" s="345">
        <f t="shared" si="153"/>
        <v>36.286457698117218</v>
      </c>
      <c r="AB387" s="346">
        <f t="shared" si="154"/>
        <v>-109.01351680464285</v>
      </c>
      <c r="AD387">
        <f t="shared" si="158"/>
        <v>0</v>
      </c>
      <c r="AE387">
        <f t="shared" si="161"/>
        <v>0</v>
      </c>
    </row>
    <row r="388" spans="1:31" x14ac:dyDescent="0.25">
      <c r="A388" s="347">
        <v>33691.25</v>
      </c>
      <c r="B388" s="364">
        <f t="shared" si="155"/>
        <v>33.691249999999997</v>
      </c>
      <c r="C388" s="337">
        <f t="shared" si="136"/>
        <v>14.644842010495367</v>
      </c>
      <c r="D388" s="338">
        <f t="shared" si="137"/>
        <v>1.5024597248207163</v>
      </c>
      <c r="E388" s="338">
        <f t="shared" si="138"/>
        <v>1.0037228595968359</v>
      </c>
      <c r="F388" s="339">
        <f t="shared" si="139"/>
        <v>8.6155051316389092E-2</v>
      </c>
      <c r="G388" s="338">
        <f t="shared" si="140"/>
        <v>1</v>
      </c>
      <c r="H388" s="339">
        <f t="shared" si="141"/>
        <v>0</v>
      </c>
      <c r="I388" s="337">
        <f t="shared" si="142"/>
        <v>44721.157355362273</v>
      </c>
      <c r="J388" s="340">
        <f t="shared" si="143"/>
        <v>1.5707739660140221</v>
      </c>
      <c r="K388" s="348">
        <f t="shared" si="159"/>
        <v>12.613989989691714</v>
      </c>
      <c r="L388" s="349">
        <f t="shared" si="160"/>
        <v>1.4914359935706314</v>
      </c>
      <c r="M388" s="337">
        <f t="shared" si="144"/>
        <v>1.0551651253758634</v>
      </c>
      <c r="N388" s="340">
        <f t="shared" si="145"/>
        <v>0.32478622654850131</v>
      </c>
      <c r="O388" s="341">
        <f t="shared" si="146"/>
        <v>1.0265492711733848</v>
      </c>
      <c r="P388" s="342">
        <f t="shared" si="147"/>
        <v>0.4891052642498509</v>
      </c>
      <c r="Q388" s="343">
        <f t="shared" si="148"/>
        <v>-1.1272334223996625</v>
      </c>
      <c r="R388" s="344">
        <f t="shared" si="149"/>
        <v>-132.32655882814487</v>
      </c>
      <c r="S388" s="346">
        <f t="shared" si="150"/>
        <v>47.673441171855131</v>
      </c>
      <c r="U388" s="319">
        <f t="shared" si="156"/>
        <v>33691.25</v>
      </c>
      <c r="V388" s="319">
        <f t="shared" si="157"/>
        <v>1135100326.5625</v>
      </c>
      <c r="X388" s="345">
        <f t="shared" si="151"/>
        <v>26.247604779743025</v>
      </c>
      <c r="Y388" s="346">
        <f t="shared" si="152"/>
        <v>-23.154611027798449</v>
      </c>
      <c r="AA388" s="345">
        <f t="shared" si="153"/>
        <v>36.234283087019946</v>
      </c>
      <c r="AB388" s="346">
        <f t="shared" si="154"/>
        <v>-109.17194780034643</v>
      </c>
      <c r="AD388">
        <f t="shared" si="158"/>
        <v>0</v>
      </c>
      <c r="AE388">
        <f t="shared" si="161"/>
        <v>0</v>
      </c>
    </row>
    <row r="389" spans="1:31" x14ac:dyDescent="0.25">
      <c r="A389" s="347">
        <v>33884</v>
      </c>
      <c r="B389" s="364">
        <f t="shared" si="155"/>
        <v>33.884</v>
      </c>
      <c r="C389" s="337">
        <f t="shared" si="136"/>
        <v>14.728236628639547</v>
      </c>
      <c r="D389" s="338">
        <f t="shared" si="137"/>
        <v>1.5028472604849028</v>
      </c>
      <c r="E389" s="338">
        <f t="shared" si="138"/>
        <v>1.0037654987994311</v>
      </c>
      <c r="F389" s="339">
        <f t="shared" si="139"/>
        <v>8.664549410792996E-2</v>
      </c>
      <c r="G389" s="338">
        <f t="shared" si="140"/>
        <v>1</v>
      </c>
      <c r="H389" s="339">
        <f t="shared" si="141"/>
        <v>0</v>
      </c>
      <c r="I389" s="337">
        <f t="shared" si="142"/>
        <v>44977.01022742693</v>
      </c>
      <c r="J389" s="340">
        <f t="shared" si="143"/>
        <v>1.5707740932138954</v>
      </c>
      <c r="K389" s="348">
        <f t="shared" si="159"/>
        <v>12.685703241898402</v>
      </c>
      <c r="L389" s="349">
        <f t="shared" si="160"/>
        <v>1.4918855598043133</v>
      </c>
      <c r="M389" s="337">
        <f t="shared" si="144"/>
        <v>1.0557814108000343</v>
      </c>
      <c r="N389" s="340">
        <f t="shared" si="145"/>
        <v>0.32651540057947925</v>
      </c>
      <c r="O389" s="341">
        <f t="shared" si="146"/>
        <v>1.0268996710498304</v>
      </c>
      <c r="P389" s="342">
        <f t="shared" si="147"/>
        <v>0.49196978034310901</v>
      </c>
      <c r="Q389" s="343">
        <f t="shared" si="148"/>
        <v>-1.184531312125344</v>
      </c>
      <c r="R389" s="344">
        <f t="shared" si="149"/>
        <v>-132.55811078105421</v>
      </c>
      <c r="S389" s="346">
        <f t="shared" si="150"/>
        <v>47.441889218945789</v>
      </c>
      <c r="U389" s="319">
        <f t="shared" si="156"/>
        <v>33884</v>
      </c>
      <c r="V389" s="319">
        <f t="shared" si="157"/>
        <v>1148125456</v>
      </c>
      <c r="X389" s="345">
        <f t="shared" si="151"/>
        <v>26.2422234715157</v>
      </c>
      <c r="Y389" s="346">
        <f t="shared" si="152"/>
        <v>-23.227934442115224</v>
      </c>
      <c r="AA389" s="345">
        <f t="shared" si="153"/>
        <v>36.182366505521586</v>
      </c>
      <c r="AB389" s="346">
        <f t="shared" si="154"/>
        <v>-109.33017633893901</v>
      </c>
      <c r="AD389">
        <f t="shared" si="158"/>
        <v>0</v>
      </c>
      <c r="AE389">
        <f t="shared" si="161"/>
        <v>0</v>
      </c>
    </row>
    <row r="390" spans="1:31" x14ac:dyDescent="0.25">
      <c r="A390" s="347">
        <v>34081.5</v>
      </c>
      <c r="B390" s="364">
        <f t="shared" si="155"/>
        <v>34.081499999999998</v>
      </c>
      <c r="C390" s="337">
        <f t="shared" si="136"/>
        <v>14.813688635303983</v>
      </c>
      <c r="D390" s="338">
        <f t="shared" si="137"/>
        <v>1.5032398203251756</v>
      </c>
      <c r="E390" s="338">
        <f t="shared" si="138"/>
        <v>1.0038094391899766</v>
      </c>
      <c r="F390" s="339">
        <f t="shared" si="139"/>
        <v>8.7147979695668634E-2</v>
      </c>
      <c r="G390" s="338">
        <f t="shared" si="140"/>
        <v>1</v>
      </c>
      <c r="H390" s="339">
        <f t="shared" si="141"/>
        <v>0</v>
      </c>
      <c r="I390" s="337">
        <f t="shared" si="142"/>
        <v>45239.168163784459</v>
      </c>
      <c r="J390" s="340">
        <f t="shared" si="143"/>
        <v>1.5707742220560017</v>
      </c>
      <c r="K390" s="348">
        <f t="shared" si="159"/>
        <v>12.759186375947898</v>
      </c>
      <c r="L390" s="349">
        <f t="shared" si="160"/>
        <v>1.4923409628164743</v>
      </c>
      <c r="M390" s="337">
        <f t="shared" si="144"/>
        <v>1.0564161541523076</v>
      </c>
      <c r="N390" s="340">
        <f t="shared" si="145"/>
        <v>0.32828508905733111</v>
      </c>
      <c r="O390" s="341">
        <f t="shared" si="146"/>
        <v>1.0272618345726572</v>
      </c>
      <c r="P390" s="342">
        <f t="shared" si="147"/>
        <v>0.49490578088443116</v>
      </c>
      <c r="Q390" s="343">
        <f t="shared" si="148"/>
        <v>-1.2429953727775693</v>
      </c>
      <c r="R390" s="344">
        <f t="shared" si="149"/>
        <v>-132.79534333196995</v>
      </c>
      <c r="S390" s="346">
        <f t="shared" si="150"/>
        <v>47.204656668030054</v>
      </c>
      <c r="U390" s="319">
        <f t="shared" si="156"/>
        <v>34081.5</v>
      </c>
      <c r="V390" s="319">
        <f t="shared" si="157"/>
        <v>1161548642.25</v>
      </c>
      <c r="X390" s="345">
        <f t="shared" si="151"/>
        <v>26.236691140479795</v>
      </c>
      <c r="Y390" s="346">
        <f t="shared" si="152"/>
        <v>-23.303244834569657</v>
      </c>
      <c r="AA390" s="345">
        <f t="shared" si="153"/>
        <v>36.12943477590526</v>
      </c>
      <c r="AB390" s="346">
        <f t="shared" si="154"/>
        <v>-109.49209849740029</v>
      </c>
      <c r="AD390">
        <f t="shared" si="158"/>
        <v>0</v>
      </c>
      <c r="AE390">
        <f t="shared" si="161"/>
        <v>0</v>
      </c>
    </row>
    <row r="391" spans="1:31" x14ac:dyDescent="0.25">
      <c r="A391" s="347">
        <v>34279</v>
      </c>
      <c r="B391" s="364">
        <f t="shared" si="155"/>
        <v>34.279000000000003</v>
      </c>
      <c r="C391" s="337">
        <f t="shared" si="136"/>
        <v>14.899142898619653</v>
      </c>
      <c r="D391" s="338">
        <f t="shared" si="137"/>
        <v>1.503627877158672</v>
      </c>
      <c r="E391" s="338">
        <f t="shared" si="138"/>
        <v>1.0038536330119145</v>
      </c>
      <c r="F391" s="339">
        <f t="shared" si="139"/>
        <v>8.765042116723952E-2</v>
      </c>
      <c r="G391" s="338">
        <f t="shared" si="140"/>
        <v>1</v>
      </c>
      <c r="H391" s="339">
        <f t="shared" si="141"/>
        <v>0</v>
      </c>
      <c r="I391" s="337">
        <f t="shared" si="142"/>
        <v>45501.326100142724</v>
      </c>
      <c r="J391" s="340">
        <f t="shared" si="143"/>
        <v>1.570774349413449</v>
      </c>
      <c r="K391" s="348">
        <f t="shared" si="159"/>
        <v>12.832672125843951</v>
      </c>
      <c r="L391" s="349">
        <f t="shared" si="160"/>
        <v>1.4927911502292392</v>
      </c>
      <c r="M391" s="337">
        <f t="shared" si="144"/>
        <v>1.0570542020064342</v>
      </c>
      <c r="N391" s="340">
        <f t="shared" si="145"/>
        <v>0.33005264666405493</v>
      </c>
      <c r="O391" s="341">
        <f t="shared" si="146"/>
        <v>1.0276271821982506</v>
      </c>
      <c r="P391" s="342">
        <f t="shared" si="147"/>
        <v>0.49784268270360194</v>
      </c>
      <c r="Q391" s="343">
        <f t="shared" si="148"/>
        <v>-1.3012140429281986</v>
      </c>
      <c r="R391" s="344">
        <f t="shared" si="149"/>
        <v>-133.03254870353541</v>
      </c>
      <c r="S391" s="346">
        <f t="shared" si="150"/>
        <v>46.967451296464588</v>
      </c>
      <c r="U391" s="319">
        <f t="shared" si="156"/>
        <v>34279</v>
      </c>
      <c r="V391" s="319">
        <f t="shared" si="157"/>
        <v>1175049841</v>
      </c>
      <c r="X391" s="345">
        <f t="shared" si="151"/>
        <v>26.231140145201227</v>
      </c>
      <c r="Y391" s="346">
        <f t="shared" si="152"/>
        <v>-23.378731883870316</v>
      </c>
      <c r="AA391" s="345">
        <f t="shared" si="153"/>
        <v>36.076767101033205</v>
      </c>
      <c r="AB391" s="346">
        <f t="shared" si="154"/>
        <v>-109.65381681966505</v>
      </c>
      <c r="AD391">
        <f t="shared" si="158"/>
        <v>0</v>
      </c>
      <c r="AE391">
        <f t="shared" si="161"/>
        <v>0</v>
      </c>
    </row>
    <row r="392" spans="1:31" x14ac:dyDescent="0.25">
      <c r="A392" s="347">
        <v>34476.5</v>
      </c>
      <c r="B392" s="364">
        <f t="shared" si="155"/>
        <v>34.476500000000001</v>
      </c>
      <c r="C392" s="337">
        <f t="shared" si="136"/>
        <v>14.984599379978821</v>
      </c>
      <c r="D392" s="338">
        <f t="shared" si="137"/>
        <v>1.5040115079088292</v>
      </c>
      <c r="E392" s="338">
        <f t="shared" si="138"/>
        <v>1.003898080231775</v>
      </c>
      <c r="F392" s="339">
        <f t="shared" si="139"/>
        <v>8.8152818274805617E-2</v>
      </c>
      <c r="G392" s="338">
        <f t="shared" si="140"/>
        <v>1</v>
      </c>
      <c r="H392" s="339">
        <f t="shared" si="141"/>
        <v>0</v>
      </c>
      <c r="I392" s="337">
        <f t="shared" si="142"/>
        <v>45763.484036501723</v>
      </c>
      <c r="J392" s="340">
        <f t="shared" si="143"/>
        <v>1.5707744753117516</v>
      </c>
      <c r="K392" s="348">
        <f t="shared" si="159"/>
        <v>12.906160446903844</v>
      </c>
      <c r="L392" s="349">
        <f t="shared" si="160"/>
        <v>1.4932362109522026</v>
      </c>
      <c r="M392" s="337">
        <f t="shared" si="144"/>
        <v>1.0576955483821571</v>
      </c>
      <c r="N392" s="340">
        <f t="shared" si="145"/>
        <v>0.33181806622135879</v>
      </c>
      <c r="O392" s="341">
        <f t="shared" si="146"/>
        <v>1.0279957315257657</v>
      </c>
      <c r="P392" s="342">
        <f t="shared" si="147"/>
        <v>0.50078048279245868</v>
      </c>
      <c r="Q392" s="343">
        <f t="shared" si="148"/>
        <v>-1.3591907321576067</v>
      </c>
      <c r="R392" s="344">
        <f t="shared" si="149"/>
        <v>-133.2697256410153</v>
      </c>
      <c r="S392" s="346">
        <f t="shared" si="150"/>
        <v>46.730274358984701</v>
      </c>
      <c r="U392" s="319">
        <f t="shared" si="156"/>
        <v>34476.5</v>
      </c>
      <c r="V392" s="319">
        <f t="shared" si="157"/>
        <v>1188629052.25</v>
      </c>
      <c r="X392" s="345">
        <f t="shared" si="151"/>
        <v>26.225570458464826</v>
      </c>
      <c r="Y392" s="346">
        <f t="shared" si="152"/>
        <v>-23.454390086048679</v>
      </c>
      <c r="AA392" s="345">
        <f t="shared" si="153"/>
        <v>36.0243600985402</v>
      </c>
      <c r="AB392" s="346">
        <f t="shared" si="154"/>
        <v>-109.81533555496661</v>
      </c>
      <c r="AD392">
        <f t="shared" si="158"/>
        <v>0</v>
      </c>
      <c r="AE392">
        <f t="shared" si="161"/>
        <v>0</v>
      </c>
    </row>
    <row r="393" spans="1:31" x14ac:dyDescent="0.25">
      <c r="A393" s="347">
        <v>34674</v>
      </c>
      <c r="B393" s="364">
        <f t="shared" si="155"/>
        <v>34.673999999999999</v>
      </c>
      <c r="C393" s="337">
        <f t="shared" si="136"/>
        <v>15.070058041648483</v>
      </c>
      <c r="D393" s="338">
        <f t="shared" si="137"/>
        <v>1.5043907877595066</v>
      </c>
      <c r="E393" s="338">
        <f t="shared" si="138"/>
        <v>1.0039427808159023</v>
      </c>
      <c r="F393" s="339">
        <f t="shared" si="139"/>
        <v>8.8655170770663289E-2</v>
      </c>
      <c r="G393" s="338">
        <f t="shared" si="140"/>
        <v>1</v>
      </c>
      <c r="H393" s="339">
        <f t="shared" si="141"/>
        <v>0</v>
      </c>
      <c r="I393" s="337">
        <f t="shared" si="142"/>
        <v>46025.641972861435</v>
      </c>
      <c r="J393" s="340">
        <f t="shared" si="143"/>
        <v>1.5707745997758435</v>
      </c>
      <c r="K393" s="348">
        <f t="shared" si="159"/>
        <v>12.97965129545525</v>
      </c>
      <c r="L393" s="349">
        <f t="shared" si="160"/>
        <v>1.4936762318895627</v>
      </c>
      <c r="M393" s="337">
        <f t="shared" si="144"/>
        <v>1.0583401872828369</v>
      </c>
      <c r="N393" s="340">
        <f t="shared" si="145"/>
        <v>0.33358134062161476</v>
      </c>
      <c r="O393" s="341">
        <f t="shared" si="146"/>
        <v>1.0283675002205968</v>
      </c>
      <c r="P393" s="342">
        <f t="shared" si="147"/>
        <v>0.50371917801153865</v>
      </c>
      <c r="Q393" s="343">
        <f t="shared" si="148"/>
        <v>-1.4169287917159372</v>
      </c>
      <c r="R393" s="344">
        <f t="shared" si="149"/>
        <v>-133.50687290138964</v>
      </c>
      <c r="S393" s="346">
        <f t="shared" si="150"/>
        <v>46.493127098610358</v>
      </c>
      <c r="U393" s="319">
        <f t="shared" si="156"/>
        <v>34674</v>
      </c>
      <c r="V393" s="319">
        <f t="shared" si="157"/>
        <v>1202286276</v>
      </c>
      <c r="X393" s="345">
        <f t="shared" si="151"/>
        <v>26.219982056647972</v>
      </c>
      <c r="Y393" s="346">
        <f t="shared" si="152"/>
        <v>-23.530214056052497</v>
      </c>
      <c r="AA393" s="345">
        <f t="shared" si="153"/>
        <v>35.972210440798719</v>
      </c>
      <c r="AB393" s="346">
        <f t="shared" si="154"/>
        <v>-109.97665884533717</v>
      </c>
      <c r="AD393">
        <f t="shared" si="158"/>
        <v>0</v>
      </c>
      <c r="AE393">
        <f t="shared" si="161"/>
        <v>0</v>
      </c>
    </row>
    <row r="394" spans="1:31" x14ac:dyDescent="0.25">
      <c r="A394" s="347">
        <v>34875.75</v>
      </c>
      <c r="B394" s="364">
        <f t="shared" si="155"/>
        <v>34.875749999999996</v>
      </c>
      <c r="C394" s="337">
        <f t="shared" si="136"/>
        <v>15.157357900018818</v>
      </c>
      <c r="D394" s="338">
        <f t="shared" si="137"/>
        <v>1.504773813398633</v>
      </c>
      <c r="E394" s="338">
        <f t="shared" si="138"/>
        <v>1.0039887048772826</v>
      </c>
      <c r="F394" s="339">
        <f t="shared" si="139"/>
        <v>8.9168287064033791E-2</v>
      </c>
      <c r="G394" s="338">
        <f t="shared" si="140"/>
        <v>1</v>
      </c>
      <c r="H394" s="339">
        <f t="shared" si="141"/>
        <v>0</v>
      </c>
      <c r="I394" s="337">
        <f t="shared" si="142"/>
        <v>46293.441282535947</v>
      </c>
      <c r="J394" s="340">
        <f t="shared" si="143"/>
        <v>1.5707747254627775</v>
      </c>
      <c r="K394" s="348">
        <f t="shared" si="159"/>
        <v>13.054726157917722</v>
      </c>
      <c r="L394" s="349">
        <f t="shared" si="160"/>
        <v>1.4941206063381296</v>
      </c>
      <c r="M394" s="337">
        <f t="shared" si="144"/>
        <v>1.0590020914719682</v>
      </c>
      <c r="N394" s="340">
        <f t="shared" si="145"/>
        <v>0.33538033668773071</v>
      </c>
      <c r="O394" s="341">
        <f t="shared" si="146"/>
        <v>1.0287506114693405</v>
      </c>
      <c r="P394" s="342">
        <f t="shared" si="147"/>
        <v>0.50672203180434683</v>
      </c>
      <c r="Q394" s="343">
        <f t="shared" si="148"/>
        <v>-1.4756663537515236</v>
      </c>
      <c r="R394" s="344">
        <f t="shared" si="149"/>
        <v>-133.74909140790052</v>
      </c>
      <c r="S394" s="346">
        <f t="shared" si="150"/>
        <v>46.250908592099478</v>
      </c>
      <c r="U394" s="319">
        <f t="shared" si="156"/>
        <v>34875.75</v>
      </c>
      <c r="V394" s="319">
        <f t="shared" si="157"/>
        <v>1216317938.0625</v>
      </c>
      <c r="X394" s="345">
        <f t="shared" si="151"/>
        <v>26.214254053639362</v>
      </c>
      <c r="Y394" s="346">
        <f t="shared" si="152"/>
        <v>-23.607835358994798</v>
      </c>
      <c r="AA394" s="345">
        <f t="shared" si="153"/>
        <v>35.919200881771744</v>
      </c>
      <c r="AB394" s="346">
        <f t="shared" si="154"/>
        <v>-110.1412560489057</v>
      </c>
      <c r="AD394">
        <f t="shared" si="158"/>
        <v>0</v>
      </c>
      <c r="AE394">
        <f t="shared" si="161"/>
        <v>0</v>
      </c>
    </row>
    <row r="395" spans="1:31" x14ac:dyDescent="0.25">
      <c r="A395" s="347">
        <v>35077.5</v>
      </c>
      <c r="B395" s="364">
        <f t="shared" si="155"/>
        <v>35.077500000000001</v>
      </c>
      <c r="C395" s="337">
        <f t="shared" si="136"/>
        <v>15.244659956635736</v>
      </c>
      <c r="D395" s="338">
        <f t="shared" si="137"/>
        <v>1.505152452123687</v>
      </c>
      <c r="E395" s="338">
        <f t="shared" si="138"/>
        <v>1.004034893252951</v>
      </c>
      <c r="F395" s="339">
        <f t="shared" si="139"/>
        <v>8.9681356282948266E-2</v>
      </c>
      <c r="G395" s="338">
        <f t="shared" si="140"/>
        <v>1</v>
      </c>
      <c r="H395" s="339">
        <f t="shared" si="141"/>
        <v>0</v>
      </c>
      <c r="I395" s="337">
        <f t="shared" si="142"/>
        <v>46561.240592211187</v>
      </c>
      <c r="J395" s="340">
        <f t="shared" si="143"/>
        <v>1.5707748497039222</v>
      </c>
      <c r="K395" s="348">
        <f t="shared" si="159"/>
        <v>13.12980356879873</v>
      </c>
      <c r="L395" s="349">
        <f t="shared" si="160"/>
        <v>1.4945598989255982</v>
      </c>
      <c r="M395" s="337">
        <f t="shared" si="144"/>
        <v>1.0596674187134063</v>
      </c>
      <c r="N395" s="340">
        <f t="shared" si="145"/>
        <v>0.33717707951226233</v>
      </c>
      <c r="O395" s="341">
        <f t="shared" si="146"/>
        <v>1.0291371196040977</v>
      </c>
      <c r="P395" s="342">
        <f t="shared" si="147"/>
        <v>0.50972581262352723</v>
      </c>
      <c r="Q395" s="343">
        <f t="shared" si="148"/>
        <v>-1.534161794333289</v>
      </c>
      <c r="R395" s="344">
        <f t="shared" si="149"/>
        <v>-133.99127635973855</v>
      </c>
      <c r="S395" s="346">
        <f t="shared" si="150"/>
        <v>46.008723640261451</v>
      </c>
      <c r="U395" s="319">
        <f t="shared" si="156"/>
        <v>35077.5</v>
      </c>
      <c r="V395" s="319">
        <f t="shared" si="157"/>
        <v>1230431006.25</v>
      </c>
      <c r="X395" s="345">
        <f t="shared" si="151"/>
        <v>26.208506482546134</v>
      </c>
      <c r="Y395" s="346">
        <f t="shared" si="152"/>
        <v>-23.685618647059655</v>
      </c>
      <c r="AA395" s="345">
        <f t="shared" si="153"/>
        <v>35.866453012283202</v>
      </c>
      <c r="AB395" s="346">
        <f t="shared" si="154"/>
        <v>-110.30565771267891</v>
      </c>
      <c r="AD395">
        <f t="shared" si="158"/>
        <v>0</v>
      </c>
      <c r="AE395">
        <f t="shared" si="161"/>
        <v>0</v>
      </c>
    </row>
    <row r="396" spans="1:31" x14ac:dyDescent="0.25">
      <c r="A396" s="347">
        <v>35279.25</v>
      </c>
      <c r="B396" s="364">
        <f t="shared" si="155"/>
        <v>35.279249999999998</v>
      </c>
      <c r="C396" s="337">
        <f t="shared" si="136"/>
        <v>15.331964173947991</v>
      </c>
      <c r="D396" s="338">
        <f t="shared" si="137"/>
        <v>1.5055267787658726</v>
      </c>
      <c r="E396" s="338">
        <f t="shared" si="138"/>
        <v>1.0040813459064315</v>
      </c>
      <c r="F396" s="339">
        <f t="shared" si="139"/>
        <v>9.0194378163801131E-2</v>
      </c>
      <c r="G396" s="338">
        <f t="shared" si="140"/>
        <v>1</v>
      </c>
      <c r="H396" s="339">
        <f t="shared" si="141"/>
        <v>0</v>
      </c>
      <c r="I396" s="337">
        <f t="shared" si="142"/>
        <v>46829.039901887132</v>
      </c>
      <c r="J396" s="340">
        <f t="shared" si="143"/>
        <v>1.5707749725240816</v>
      </c>
      <c r="K396" s="348">
        <f t="shared" si="159"/>
        <v>13.204883484630574</v>
      </c>
      <c r="L396" s="349">
        <f t="shared" si="160"/>
        <v>1.4949941961638213</v>
      </c>
      <c r="M396" s="337">
        <f t="shared" si="144"/>
        <v>1.0603361625635814</v>
      </c>
      <c r="N396" s="340">
        <f t="shared" si="145"/>
        <v>0.3389715617468787</v>
      </c>
      <c r="O396" s="341">
        <f t="shared" si="146"/>
        <v>1.0295270436651178</v>
      </c>
      <c r="P396" s="342">
        <f t="shared" si="147"/>
        <v>0.51273051669597047</v>
      </c>
      <c r="Q396" s="343">
        <f t="shared" si="148"/>
        <v>-1.5924185057075535</v>
      </c>
      <c r="R396" s="344">
        <f t="shared" si="149"/>
        <v>-134.23342646696494</v>
      </c>
      <c r="S396" s="346">
        <f t="shared" si="150"/>
        <v>45.766573533035057</v>
      </c>
      <c r="U396" s="319">
        <f t="shared" si="156"/>
        <v>35279.25</v>
      </c>
      <c r="V396" s="319">
        <f t="shared" si="157"/>
        <v>1244625480.5625</v>
      </c>
      <c r="X396" s="345">
        <f t="shared" si="151"/>
        <v>26.202739329034817</v>
      </c>
      <c r="Y396" s="346">
        <f t="shared" si="152"/>
        <v>-23.763558543875828</v>
      </c>
      <c r="AA396" s="345">
        <f t="shared" si="153"/>
        <v>35.813963454420254</v>
      </c>
      <c r="AB396" s="346">
        <f t="shared" si="154"/>
        <v>-110.46986792308913</v>
      </c>
      <c r="AD396">
        <f t="shared" si="158"/>
        <v>0</v>
      </c>
      <c r="AE396">
        <f t="shared" si="161"/>
        <v>0</v>
      </c>
    </row>
    <row r="397" spans="1:31" x14ac:dyDescent="0.25">
      <c r="A397" s="347">
        <v>35481</v>
      </c>
      <c r="B397" s="364">
        <f t="shared" si="155"/>
        <v>35.481000000000002</v>
      </c>
      <c r="C397" s="337">
        <f t="shared" ref="C397:C460" si="162">SQRT(1+(A397/pole1)^2)</f>
        <v>15.419270515253883</v>
      </c>
      <c r="D397" s="338">
        <f t="shared" ref="D397:D460" si="163">ATAN(A397/pole1)</f>
        <v>1.5058968664664667</v>
      </c>
      <c r="E397" s="338">
        <f t="shared" ref="E397:E460" si="164">SQRT(1+(A397/Zero1)^2)</f>
        <v>1.0041280628010461</v>
      </c>
      <c r="F397" s="339">
        <f t="shared" ref="F397:F460" si="165">ATAN(A397/Zero1)</f>
        <v>9.0707352443135034E-2</v>
      </c>
      <c r="G397" s="338">
        <f t="shared" ref="G397:G460" si="166">IF(VIN_nom&gt;Vout, 1, SQRT(1+(A397/z_RHP)^2))</f>
        <v>1</v>
      </c>
      <c r="H397" s="339">
        <f t="shared" ref="H397:H460" si="167">IF(VIN_nom&gt;Vout, 0, -ATAN(A397/z_RHP))</f>
        <v>0</v>
      </c>
      <c r="I397" s="337">
        <f t="shared" ref="I397:I460" si="168">SQRT(1+(A397/Pole2)^2)</f>
        <v>47096.839211563776</v>
      </c>
      <c r="J397" s="340">
        <f t="shared" ref="J397:J460" si="169">ATAN(A397/Pole2)</f>
        <v>1.5707750939474951</v>
      </c>
      <c r="K397" s="348">
        <f t="shared" si="159"/>
        <v>13.279965862927112</v>
      </c>
      <c r="L397" s="349">
        <f t="shared" si="160"/>
        <v>1.4954235826158022</v>
      </c>
      <c r="M397" s="337">
        <f t="shared" ref="M397:M460" si="170">SQRT(1+(A397/pole4)^2)</f>
        <v>1.061008316562122</v>
      </c>
      <c r="N397" s="340">
        <f t="shared" ref="N397:N460" si="171">ATAN(A397/pole4)</f>
        <v>0.3407637761199635</v>
      </c>
      <c r="O397" s="341">
        <f t="shared" ref="O397:O460" si="172">SQRT((1-(V397/pterm2))^2+(A397/pterm1)^2)</f>
        <v>1.0299204027617976</v>
      </c>
      <c r="P397" s="342">
        <f t="shared" ref="P397:P460" si="173">IF((ATAN((A397/pterm1)/(1-A397^2/pterm2))&gt;0),ATAN((A397/pterm1)/(1-A397^2/pterm2)),PI()+ATAN((A397/pterm1)/(1-A397^2/pterm2)))</f>
        <v>0.51573614010416047</v>
      </c>
      <c r="Q397" s="343">
        <f t="shared" ref="Q397:Q460" si="174">20*LOG10(((E397*K397*G397)/(C397*I397*O397*M397))*Adc)</f>
        <v>-1.6504398222058938</v>
      </c>
      <c r="R397" s="344">
        <f t="shared" ref="R397:R460" si="175">((F397+L397+H397)-(D397+J397+P397+N397))*radconv</f>
        <v>-134.47554045055674</v>
      </c>
      <c r="S397" s="346">
        <f t="shared" ref="S397:S460" si="176">IF(R397&gt;0,R397,R397+180)</f>
        <v>45.524459549443264</v>
      </c>
      <c r="U397" s="319">
        <f t="shared" si="156"/>
        <v>35481</v>
      </c>
      <c r="V397" s="319">
        <f t="shared" si="157"/>
        <v>1258901361</v>
      </c>
      <c r="X397" s="345">
        <f t="shared" ref="X397:X460" si="177">20*LOG10((K397/(I397*M397))*AEA)</f>
        <v>26.196952582183599</v>
      </c>
      <c r="Y397" s="346">
        <f t="shared" ref="Y397:Y460" si="178">(L397-(J397+N397))*radconv</f>
        <v>-23.841649789096035</v>
      </c>
      <c r="AA397" s="345">
        <f t="shared" ref="AA397:AA460" si="179">20*LOG10((E397*G397/(C397*O397))*Acs*Am)</f>
        <v>35.761728884773142</v>
      </c>
      <c r="AB397" s="346">
        <f t="shared" ref="AB397:AB460" si="180">(F397+H397-(D397+P397))*radconv</f>
        <v>-110.6338906614607</v>
      </c>
      <c r="AD397">
        <f t="shared" si="158"/>
        <v>0</v>
      </c>
      <c r="AE397">
        <f t="shared" si="161"/>
        <v>0</v>
      </c>
    </row>
    <row r="398" spans="1:31" x14ac:dyDescent="0.25">
      <c r="A398" s="347">
        <v>35687.75</v>
      </c>
      <c r="B398" s="364">
        <f t="shared" ref="B398:B461" si="181">A398/1000</f>
        <v>35.687750000000001</v>
      </c>
      <c r="C398" s="337">
        <f t="shared" si="162"/>
        <v>15.508742748572352</v>
      </c>
      <c r="D398" s="338">
        <f t="shared" si="163"/>
        <v>1.5062718030612758</v>
      </c>
      <c r="E398" s="338">
        <f t="shared" si="164"/>
        <v>1.0041762115941433</v>
      </c>
      <c r="F398" s="339">
        <f t="shared" si="165"/>
        <v>9.1232990178532827E-2</v>
      </c>
      <c r="G398" s="338">
        <f t="shared" si="166"/>
        <v>1</v>
      </c>
      <c r="H398" s="339">
        <f t="shared" si="167"/>
        <v>0</v>
      </c>
      <c r="I398" s="337">
        <f t="shared" si="168"/>
        <v>47371.275431022463</v>
      </c>
      <c r="J398" s="340">
        <f t="shared" si="169"/>
        <v>1.5707752169558438</v>
      </c>
      <c r="K398" s="348">
        <f t="shared" si="159"/>
        <v>13.356911530200259</v>
      </c>
      <c r="L398" s="349">
        <f t="shared" si="160"/>
        <v>1.4958586022277904</v>
      </c>
      <c r="M398" s="337">
        <f t="shared" si="170"/>
        <v>1.0617006598439711</v>
      </c>
      <c r="N398" s="340">
        <f t="shared" si="171"/>
        <v>0.34259804681519523</v>
      </c>
      <c r="O398" s="341">
        <f t="shared" si="172"/>
        <v>1.0303270943834364</v>
      </c>
      <c r="P398" s="342">
        <f t="shared" si="173"/>
        <v>0.51881720186433766</v>
      </c>
      <c r="Q398" s="343">
        <f t="shared" si="174"/>
        <v>-1.7096582999613248</v>
      </c>
      <c r="R398" s="344">
        <f t="shared" si="175"/>
        <v>-134.72361597620215</v>
      </c>
      <c r="S398" s="346">
        <f t="shared" si="176"/>
        <v>45.276384023797846</v>
      </c>
      <c r="U398" s="319">
        <f t="shared" ref="U398:U461" si="182">IF(Q398&lt;0,A398,1000000000)</f>
        <v>35687.75</v>
      </c>
      <c r="V398" s="319">
        <f t="shared" ref="V398:V461" si="183">A398^2</f>
        <v>1273615500.0625</v>
      </c>
      <c r="X398" s="345">
        <f t="shared" si="177"/>
        <v>26.191002085842612</v>
      </c>
      <c r="Y398" s="346">
        <f t="shared" si="178"/>
        <v>-23.921828018595832</v>
      </c>
      <c r="AA398" s="345">
        <f t="shared" si="179"/>
        <v>35.708460903358691</v>
      </c>
      <c r="AB398" s="346">
        <f t="shared" si="180"/>
        <v>-110.80178795760631</v>
      </c>
      <c r="AD398">
        <f t="shared" ref="AD398:AD461" si="184">SUM((Q399&lt;0)*(Q398&gt;0))*A398</f>
        <v>0</v>
      </c>
      <c r="AE398">
        <f t="shared" si="161"/>
        <v>0</v>
      </c>
    </row>
    <row r="399" spans="1:31" x14ac:dyDescent="0.25">
      <c r="A399" s="347">
        <v>35894.5</v>
      </c>
      <c r="B399" s="364">
        <f t="shared" si="181"/>
        <v>35.894500000000001</v>
      </c>
      <c r="C399" s="337">
        <f t="shared" si="162"/>
        <v>15.598217137058892</v>
      </c>
      <c r="D399" s="338">
        <f t="shared" si="163"/>
        <v>1.5066424382901318</v>
      </c>
      <c r="E399" s="338">
        <f t="shared" si="164"/>
        <v>1.0042246378094859</v>
      </c>
      <c r="F399" s="339">
        <f t="shared" si="165"/>
        <v>9.1758577364012314E-2</v>
      </c>
      <c r="G399" s="338">
        <f t="shared" si="166"/>
        <v>1</v>
      </c>
      <c r="H399" s="339">
        <f t="shared" si="167"/>
        <v>0</v>
      </c>
      <c r="I399" s="337">
        <f t="shared" si="168"/>
        <v>47645.711650481855</v>
      </c>
      <c r="J399" s="340">
        <f t="shared" si="169"/>
        <v>1.5707753385471523</v>
      </c>
      <c r="K399" s="348">
        <f t="shared" si="159"/>
        <v>13.433859696206717</v>
      </c>
      <c r="L399" s="349">
        <f t="shared" si="160"/>
        <v>1.4962886383993297</v>
      </c>
      <c r="M399" s="337">
        <f t="shared" si="170"/>
        <v>1.0623965706068961</v>
      </c>
      <c r="N399" s="340">
        <f t="shared" si="171"/>
        <v>0.34442992063092587</v>
      </c>
      <c r="O399" s="341">
        <f t="shared" si="172"/>
        <v>1.0307374342658813</v>
      </c>
      <c r="P399" s="342">
        <f t="shared" si="173"/>
        <v>0.52189922029636415</v>
      </c>
      <c r="Q399" s="343">
        <f t="shared" si="174"/>
        <v>-1.76863647983563</v>
      </c>
      <c r="R399" s="344">
        <f t="shared" si="175"/>
        <v>-134.9716508791239</v>
      </c>
      <c r="S399" s="346">
        <f t="shared" si="176"/>
        <v>45.028349120876101</v>
      </c>
      <c r="U399" s="319">
        <f t="shared" si="182"/>
        <v>35894.5</v>
      </c>
      <c r="V399" s="319">
        <f t="shared" si="183"/>
        <v>1288415130.25</v>
      </c>
      <c r="X399" s="345">
        <f t="shared" si="177"/>
        <v>26.185031000229088</v>
      </c>
      <c r="Y399" s="346">
        <f t="shared" si="178"/>
        <v>-24.002154365931151</v>
      </c>
      <c r="AA399" s="345">
        <f t="shared" si="179"/>
        <v>35.655453809097907</v>
      </c>
      <c r="AB399" s="346">
        <f t="shared" si="180"/>
        <v>-110.96949651319277</v>
      </c>
      <c r="AD399">
        <f t="shared" si="184"/>
        <v>0</v>
      </c>
      <c r="AE399">
        <f t="shared" si="161"/>
        <v>0</v>
      </c>
    </row>
    <row r="400" spans="1:31" x14ac:dyDescent="0.25">
      <c r="A400" s="347">
        <v>36101.25</v>
      </c>
      <c r="B400" s="364">
        <f t="shared" si="181"/>
        <v>36.10125</v>
      </c>
      <c r="C400" s="337">
        <f t="shared" si="162"/>
        <v>15.687693643837656</v>
      </c>
      <c r="D400" s="338">
        <f t="shared" si="163"/>
        <v>1.5070088456502833</v>
      </c>
      <c r="E400" s="338">
        <f t="shared" si="164"/>
        <v>1.004273341406942</v>
      </c>
      <c r="F400" s="339">
        <f t="shared" si="165"/>
        <v>9.2284113716528768E-2</v>
      </c>
      <c r="G400" s="338">
        <f t="shared" si="166"/>
        <v>1</v>
      </c>
      <c r="H400" s="339">
        <f t="shared" si="167"/>
        <v>0</v>
      </c>
      <c r="I400" s="337">
        <f t="shared" si="168"/>
        <v>47920.147869941946</v>
      </c>
      <c r="J400" s="340">
        <f t="shared" si="169"/>
        <v>1.5707754587457665</v>
      </c>
      <c r="K400" s="348">
        <f t="shared" si="159"/>
        <v>13.510810318253355</v>
      </c>
      <c r="L400" s="349">
        <f t="shared" si="160"/>
        <v>1.4967137761193279</v>
      </c>
      <c r="M400" s="337">
        <f t="shared" si="170"/>
        <v>1.0630960418449962</v>
      </c>
      <c r="N400" s="340">
        <f t="shared" si="171"/>
        <v>0.34625938999164618</v>
      </c>
      <c r="O400" s="341">
        <f t="shared" si="172"/>
        <v>1.0311514431957367</v>
      </c>
      <c r="P400" s="342">
        <f t="shared" si="173"/>
        <v>0.52498219071001984</v>
      </c>
      <c r="Q400" s="343">
        <f t="shared" si="174"/>
        <v>-1.82737776947718</v>
      </c>
      <c r="R400" s="344">
        <f t="shared" si="175"/>
        <v>-135.21964381573613</v>
      </c>
      <c r="S400" s="346">
        <f t="shared" si="176"/>
        <v>44.780356184263866</v>
      </c>
      <c r="U400" s="319">
        <f t="shared" si="182"/>
        <v>36101.25</v>
      </c>
      <c r="V400" s="319">
        <f t="shared" si="183"/>
        <v>1303300251.5625</v>
      </c>
      <c r="X400" s="345">
        <f t="shared" si="177"/>
        <v>26.17903932400165</v>
      </c>
      <c r="Y400" s="346">
        <f t="shared" si="178"/>
        <v>-24.08262352894646</v>
      </c>
      <c r="AA400" s="345">
        <f t="shared" si="179"/>
        <v>35.602704195683799</v>
      </c>
      <c r="AB400" s="346">
        <f t="shared" si="180"/>
        <v>-111.13702028678966</v>
      </c>
      <c r="AD400">
        <f t="shared" si="184"/>
        <v>0</v>
      </c>
      <c r="AE400">
        <f t="shared" si="161"/>
        <v>0</v>
      </c>
    </row>
    <row r="401" spans="1:31" x14ac:dyDescent="0.25">
      <c r="A401" s="347">
        <v>36308</v>
      </c>
      <c r="B401" s="364">
        <f t="shared" si="181"/>
        <v>36.308</v>
      </c>
      <c r="C401" s="337">
        <f t="shared" si="162"/>
        <v>15.777172232868461</v>
      </c>
      <c r="D401" s="338">
        <f t="shared" si="163"/>
        <v>1.5073710969762506</v>
      </c>
      <c r="E401" s="338">
        <f t="shared" si="164"/>
        <v>1.0043223223461573</v>
      </c>
      <c r="F401" s="339">
        <f t="shared" si="165"/>
        <v>9.280959895320455E-2</v>
      </c>
      <c r="G401" s="338">
        <f t="shared" si="166"/>
        <v>1</v>
      </c>
      <c r="H401" s="339">
        <f t="shared" si="167"/>
        <v>0</v>
      </c>
      <c r="I401" s="337">
        <f t="shared" si="168"/>
        <v>48194.584089402728</v>
      </c>
      <c r="J401" s="340">
        <f t="shared" si="169"/>
        <v>1.5707755775754777</v>
      </c>
      <c r="K401" s="348">
        <f t="shared" si="159"/>
        <v>13.587763354612816</v>
      </c>
      <c r="L401" s="349">
        <f t="shared" si="160"/>
        <v>1.4971340984585599</v>
      </c>
      <c r="M401" s="337">
        <f t="shared" si="170"/>
        <v>1.0637990665350001</v>
      </c>
      <c r="N401" s="340">
        <f t="shared" si="171"/>
        <v>0.34808644740610084</v>
      </c>
      <c r="O401" s="341">
        <f t="shared" si="172"/>
        <v>1.0315691420324107</v>
      </c>
      <c r="P401" s="342">
        <f t="shared" si="173"/>
        <v>0.52806610825441358</v>
      </c>
      <c r="Q401" s="343">
        <f t="shared" si="174"/>
        <v>-1.885885518284377</v>
      </c>
      <c r="R401" s="344">
        <f t="shared" si="175"/>
        <v>-135.46759345266676</v>
      </c>
      <c r="S401" s="346">
        <f t="shared" si="176"/>
        <v>44.532406547333238</v>
      </c>
      <c r="U401" s="319">
        <f t="shared" si="182"/>
        <v>36308</v>
      </c>
      <c r="V401" s="319">
        <f t="shared" si="183"/>
        <v>1318270864</v>
      </c>
      <c r="X401" s="345">
        <f t="shared" si="177"/>
        <v>26.173027059097535</v>
      </c>
      <c r="Y401" s="346">
        <f t="shared" si="178"/>
        <v>-24.163230320182766</v>
      </c>
      <c r="AA401" s="345">
        <f t="shared" si="179"/>
        <v>35.550208711780719</v>
      </c>
      <c r="AB401" s="346">
        <f t="shared" si="180"/>
        <v>-111.30436313248401</v>
      </c>
      <c r="AD401">
        <f t="shared" si="184"/>
        <v>0</v>
      </c>
      <c r="AE401">
        <f t="shared" si="161"/>
        <v>0</v>
      </c>
    </row>
    <row r="402" spans="1:31" x14ac:dyDescent="0.25">
      <c r="A402" s="347">
        <v>36519.5</v>
      </c>
      <c r="B402" s="364">
        <f t="shared" si="181"/>
        <v>36.519500000000001</v>
      </c>
      <c r="C402" s="337">
        <f t="shared" si="162"/>
        <v>15.868708675152567</v>
      </c>
      <c r="D402" s="338">
        <f t="shared" si="163"/>
        <v>1.5077374437320077</v>
      </c>
      <c r="E402" s="338">
        <f t="shared" si="164"/>
        <v>1.0043727155335755</v>
      </c>
      <c r="F402" s="339">
        <f t="shared" si="165"/>
        <v>9.3347103821037447E-2</v>
      </c>
      <c r="G402" s="338">
        <f t="shared" si="166"/>
        <v>1</v>
      </c>
      <c r="H402" s="339">
        <f t="shared" si="167"/>
        <v>0</v>
      </c>
      <c r="I402" s="337">
        <f t="shared" si="168"/>
        <v>48475.325373156513</v>
      </c>
      <c r="J402" s="340">
        <f t="shared" si="169"/>
        <v>1.5707756977430569</v>
      </c>
      <c r="K402" s="348">
        <f t="shared" si="159"/>
        <v>13.666486812370103</v>
      </c>
      <c r="L402" s="349">
        <f t="shared" si="160"/>
        <v>1.4975591795984007</v>
      </c>
      <c r="M402" s="337">
        <f t="shared" si="170"/>
        <v>1.0645219124487137</v>
      </c>
      <c r="N402" s="340">
        <f t="shared" si="171"/>
        <v>0.34995297732103514</v>
      </c>
      <c r="O402" s="341">
        <f t="shared" si="172"/>
        <v>1.0320002772020587</v>
      </c>
      <c r="P402" s="342">
        <f t="shared" si="173"/>
        <v>0.53122185238648267</v>
      </c>
      <c r="Q402" s="343">
        <f t="shared" si="174"/>
        <v>-1.9454992414546157</v>
      </c>
      <c r="R402" s="344">
        <f t="shared" si="175"/>
        <v>-135.7211934517882</v>
      </c>
      <c r="S402" s="346">
        <f t="shared" si="176"/>
        <v>44.278806548211804</v>
      </c>
      <c r="U402" s="319">
        <f t="shared" si="182"/>
        <v>36519.5</v>
      </c>
      <c r="V402" s="319">
        <f t="shared" si="183"/>
        <v>1333673880.25</v>
      </c>
      <c r="X402" s="345">
        <f t="shared" si="177"/>
        <v>26.166855366475197</v>
      </c>
      <c r="Y402" s="346">
        <f t="shared" si="178"/>
        <v>-24.245826136569445</v>
      </c>
      <c r="AA402" s="345">
        <f t="shared" si="179"/>
        <v>35.496766681232813</v>
      </c>
      <c r="AB402" s="346">
        <f t="shared" si="180"/>
        <v>-111.47536731521876</v>
      </c>
      <c r="AD402">
        <f t="shared" si="184"/>
        <v>0</v>
      </c>
      <c r="AE402">
        <f t="shared" si="161"/>
        <v>0</v>
      </c>
    </row>
    <row r="403" spans="1:31" x14ac:dyDescent="0.25">
      <c r="A403" s="347">
        <v>36731</v>
      </c>
      <c r="B403" s="364">
        <f t="shared" si="181"/>
        <v>36.731000000000002</v>
      </c>
      <c r="C403" s="337">
        <f t="shared" si="162"/>
        <v>15.960247222745751</v>
      </c>
      <c r="D403" s="338">
        <f t="shared" si="163"/>
        <v>1.5080995882388513</v>
      </c>
      <c r="E403" s="338">
        <f t="shared" si="164"/>
        <v>1.0044233988666387</v>
      </c>
      <c r="F403" s="339">
        <f t="shared" si="165"/>
        <v>9.3884554599004397E-2</v>
      </c>
      <c r="G403" s="338">
        <f t="shared" si="166"/>
        <v>1</v>
      </c>
      <c r="H403" s="339">
        <f t="shared" si="167"/>
        <v>0</v>
      </c>
      <c r="I403" s="337">
        <f t="shared" si="168"/>
        <v>48756.066656911011</v>
      </c>
      <c r="J403" s="340">
        <f t="shared" si="169"/>
        <v>1.5707758165267671</v>
      </c>
      <c r="K403" s="348">
        <f t="shared" si="159"/>
        <v>13.745212711292202</v>
      </c>
      <c r="L403" s="349">
        <f t="shared" si="160"/>
        <v>1.4979793914970465</v>
      </c>
      <c r="M403" s="337">
        <f t="shared" si="170"/>
        <v>1.0652484620456393</v>
      </c>
      <c r="N403" s="340">
        <f t="shared" si="171"/>
        <v>0.35181696760009024</v>
      </c>
      <c r="O403" s="341">
        <f t="shared" si="172"/>
        <v>1.0324353181632071</v>
      </c>
      <c r="P403" s="342">
        <f t="shared" si="173"/>
        <v>0.5343785768836764</v>
      </c>
      <c r="Q403" s="343">
        <f t="shared" si="174"/>
        <v>-2.0048754791902468</v>
      </c>
      <c r="R403" s="344">
        <f t="shared" si="175"/>
        <v>-135.97474534695007</v>
      </c>
      <c r="S403" s="346">
        <f t="shared" si="176"/>
        <v>44.025254653049927</v>
      </c>
      <c r="U403" s="319">
        <f t="shared" si="182"/>
        <v>36731</v>
      </c>
      <c r="V403" s="319">
        <f t="shared" si="183"/>
        <v>1349166361</v>
      </c>
      <c r="X403" s="345">
        <f t="shared" si="177"/>
        <v>26.160662142406366</v>
      </c>
      <c r="Y403" s="346">
        <f t="shared" si="178"/>
        <v>-24.32855535021892</v>
      </c>
      <c r="AA403" s="345">
        <f t="shared" si="179"/>
        <v>35.443583667566017</v>
      </c>
      <c r="AB403" s="346">
        <f t="shared" si="180"/>
        <v>-111.64618999673117</v>
      </c>
      <c r="AD403">
        <f t="shared" si="184"/>
        <v>0</v>
      </c>
      <c r="AE403">
        <f t="shared" si="161"/>
        <v>0</v>
      </c>
    </row>
    <row r="404" spans="1:31" x14ac:dyDescent="0.25">
      <c r="A404" s="347">
        <v>36942.5</v>
      </c>
      <c r="B404" s="364">
        <f t="shared" si="181"/>
        <v>36.942500000000003</v>
      </c>
      <c r="C404" s="337">
        <f t="shared" si="162"/>
        <v>16.051787839630165</v>
      </c>
      <c r="D404" s="338">
        <f t="shared" si="163"/>
        <v>1.5084576022951028</v>
      </c>
      <c r="E404" s="338">
        <f t="shared" si="164"/>
        <v>1.0044743723014267</v>
      </c>
      <c r="F404" s="339">
        <f t="shared" si="165"/>
        <v>9.4421950984827821E-2</v>
      </c>
      <c r="G404" s="338">
        <f t="shared" si="166"/>
        <v>1</v>
      </c>
      <c r="H404" s="339">
        <f t="shared" si="167"/>
        <v>0</v>
      </c>
      <c r="I404" s="337">
        <f t="shared" si="168"/>
        <v>49036.807940666178</v>
      </c>
      <c r="J404" s="340">
        <f t="shared" si="169"/>
        <v>1.5707759339503771</v>
      </c>
      <c r="K404" s="348">
        <f t="shared" si="159"/>
        <v>13.823941009672575</v>
      </c>
      <c r="L404" s="349">
        <f t="shared" si="160"/>
        <v>1.4983948171968089</v>
      </c>
      <c r="M404" s="337">
        <f t="shared" si="170"/>
        <v>1.0659787077527096</v>
      </c>
      <c r="N404" s="340">
        <f t="shared" si="171"/>
        <v>0.35367841049672205</v>
      </c>
      <c r="O404" s="341">
        <f t="shared" si="172"/>
        <v>1.0328742874768937</v>
      </c>
      <c r="P404" s="342">
        <f t="shared" si="173"/>
        <v>0.53753627602904808</v>
      </c>
      <c r="Q404" s="343">
        <f t="shared" si="174"/>
        <v>-2.0640176363712555</v>
      </c>
      <c r="R404" s="344">
        <f t="shared" si="175"/>
        <v>-136.22824774119914</v>
      </c>
      <c r="S404" s="346">
        <f t="shared" si="176"/>
        <v>43.771752258800859</v>
      </c>
      <c r="U404" s="319">
        <f t="shared" si="182"/>
        <v>36942.5</v>
      </c>
      <c r="V404" s="319">
        <f t="shared" si="183"/>
        <v>1364748306.25</v>
      </c>
      <c r="X404" s="345">
        <f t="shared" si="177"/>
        <v>26.154447398903692</v>
      </c>
      <c r="Y404" s="346">
        <f t="shared" si="178"/>
        <v>-24.411412760674825</v>
      </c>
      <c r="AA404" s="345">
        <f t="shared" si="179"/>
        <v>35.390656253887684</v>
      </c>
      <c r="AB404" s="346">
        <f t="shared" si="180"/>
        <v>-111.81683498052432</v>
      </c>
      <c r="AD404">
        <f t="shared" si="184"/>
        <v>0</v>
      </c>
      <c r="AE404">
        <f t="shared" si="161"/>
        <v>0</v>
      </c>
    </row>
    <row r="405" spans="1:31" x14ac:dyDescent="0.25">
      <c r="A405" s="347">
        <v>37154</v>
      </c>
      <c r="B405" s="364">
        <f t="shared" si="181"/>
        <v>37.154000000000003</v>
      </c>
      <c r="C405" s="337">
        <f t="shared" si="162"/>
        <v>16.143330490604125</v>
      </c>
      <c r="D405" s="338">
        <f t="shared" si="163"/>
        <v>1.5088115560748119</v>
      </c>
      <c r="E405" s="338">
        <f t="shared" si="164"/>
        <v>1.0045256357937766</v>
      </c>
      <c r="F405" s="339">
        <f t="shared" si="165"/>
        <v>9.4959292676416993E-2</v>
      </c>
      <c r="G405" s="338">
        <f t="shared" si="166"/>
        <v>1</v>
      </c>
      <c r="H405" s="339">
        <f t="shared" si="167"/>
        <v>0</v>
      </c>
      <c r="I405" s="337">
        <f t="shared" si="168"/>
        <v>49317.549224422022</v>
      </c>
      <c r="J405" s="340">
        <f t="shared" si="169"/>
        <v>1.5707760500371137</v>
      </c>
      <c r="K405" s="348">
        <f t="shared" si="159"/>
        <v>13.902671666748139</v>
      </c>
      <c r="L405" s="349">
        <f t="shared" si="160"/>
        <v>1.4988055378656231</v>
      </c>
      <c r="M405" s="337">
        <f t="shared" si="170"/>
        <v>1.0667126419791215</v>
      </c>
      <c r="N405" s="340">
        <f t="shared" si="171"/>
        <v>0.35553729835615766</v>
      </c>
      <c r="O405" s="341">
        <f t="shared" si="172"/>
        <v>1.0333172077799022</v>
      </c>
      <c r="P405" s="342">
        <f t="shared" si="173"/>
        <v>0.54069494392837281</v>
      </c>
      <c r="Q405" s="343">
        <f t="shared" si="174"/>
        <v>-2.1229290596962263</v>
      </c>
      <c r="R405" s="344">
        <f t="shared" si="175"/>
        <v>-136.48169924697106</v>
      </c>
      <c r="S405" s="346">
        <f t="shared" si="176"/>
        <v>43.518300753028939</v>
      </c>
      <c r="U405" s="319">
        <f t="shared" si="182"/>
        <v>37154</v>
      </c>
      <c r="V405" s="319">
        <f t="shared" si="183"/>
        <v>1380419716</v>
      </c>
      <c r="X405" s="345">
        <f t="shared" si="177"/>
        <v>26.148211151104427</v>
      </c>
      <c r="Y405" s="346">
        <f t="shared" si="178"/>
        <v>-24.49439328010164</v>
      </c>
      <c r="AA405" s="345">
        <f t="shared" si="179"/>
        <v>35.337981078361977</v>
      </c>
      <c r="AB405" s="346">
        <f t="shared" si="180"/>
        <v>-111.98730596686943</v>
      </c>
      <c r="AD405">
        <f t="shared" si="184"/>
        <v>0</v>
      </c>
      <c r="AE405">
        <f t="shared" si="161"/>
        <v>0</v>
      </c>
    </row>
    <row r="406" spans="1:31" x14ac:dyDescent="0.25">
      <c r="A406" s="347">
        <v>37370.25</v>
      </c>
      <c r="B406" s="364">
        <f t="shared" si="181"/>
        <v>37.370249999999999</v>
      </c>
      <c r="C406" s="337">
        <f t="shared" si="162"/>
        <v>16.236931131288163</v>
      </c>
      <c r="D406" s="338">
        <f t="shared" si="163"/>
        <v>1.5091693325336495</v>
      </c>
      <c r="E406" s="338">
        <f t="shared" si="164"/>
        <v>1.0045783504497734</v>
      </c>
      <c r="F406" s="339">
        <f t="shared" si="165"/>
        <v>9.550864546056935E-2</v>
      </c>
      <c r="G406" s="338">
        <f t="shared" si="166"/>
        <v>1</v>
      </c>
      <c r="H406" s="339">
        <f t="shared" si="167"/>
        <v>0</v>
      </c>
      <c r="I406" s="337">
        <f t="shared" si="168"/>
        <v>49604.595572470927</v>
      </c>
      <c r="J406" s="340">
        <f t="shared" si="169"/>
        <v>1.570776167372397</v>
      </c>
      <c r="K406" s="348">
        <f t="shared" si="159"/>
        <v>13.983172903677358</v>
      </c>
      <c r="L406" s="349">
        <f t="shared" si="160"/>
        <v>1.4992207006799643</v>
      </c>
      <c r="M406" s="337">
        <f t="shared" si="170"/>
        <v>1.0674668651446868</v>
      </c>
      <c r="N406" s="340">
        <f t="shared" si="171"/>
        <v>0.35743528465473118</v>
      </c>
      <c r="O406" s="341">
        <f t="shared" si="172"/>
        <v>1.0337741842106125</v>
      </c>
      <c r="P406" s="342">
        <f t="shared" si="173"/>
        <v>0.54392554648536662</v>
      </c>
      <c r="Q406" s="343">
        <f t="shared" si="174"/>
        <v>-2.1829284144473475</v>
      </c>
      <c r="R406" s="344">
        <f t="shared" si="175"/>
        <v>-136.74078887439779</v>
      </c>
      <c r="S406" s="346">
        <f t="shared" si="176"/>
        <v>43.259211125602206</v>
      </c>
      <c r="U406" s="319">
        <f t="shared" si="182"/>
        <v>37370.25</v>
      </c>
      <c r="V406" s="319">
        <f t="shared" si="183"/>
        <v>1396535585.0625</v>
      </c>
      <c r="X406" s="345">
        <f t="shared" si="177"/>
        <v>26.141812630503772</v>
      </c>
      <c r="Y406" s="346">
        <f t="shared" si="178"/>
        <v>-24.579359530424643</v>
      </c>
      <c r="AA406" s="345">
        <f t="shared" si="179"/>
        <v>35.284380244211505</v>
      </c>
      <c r="AB406" s="346">
        <f t="shared" si="180"/>
        <v>-112.16142934397314</v>
      </c>
      <c r="AD406">
        <f t="shared" si="184"/>
        <v>0</v>
      </c>
      <c r="AE406">
        <f t="shared" si="161"/>
        <v>0</v>
      </c>
    </row>
    <row r="407" spans="1:31" x14ac:dyDescent="0.25">
      <c r="A407" s="347">
        <v>37586.5</v>
      </c>
      <c r="B407" s="364">
        <f t="shared" si="181"/>
        <v>37.586500000000001</v>
      </c>
      <c r="C407" s="337">
        <f t="shared" si="162"/>
        <v>16.330533826538929</v>
      </c>
      <c r="D407" s="338">
        <f t="shared" si="163"/>
        <v>1.5095230076599686</v>
      </c>
      <c r="E407" s="338">
        <f t="shared" si="164"/>
        <v>1.0046313682440762</v>
      </c>
      <c r="F407" s="339">
        <f t="shared" si="165"/>
        <v>9.6057940428070102E-2</v>
      </c>
      <c r="G407" s="338">
        <f t="shared" si="166"/>
        <v>1</v>
      </c>
      <c r="H407" s="339">
        <f t="shared" si="167"/>
        <v>0</v>
      </c>
      <c r="I407" s="337">
        <f t="shared" si="168"/>
        <v>49891.641920520509</v>
      </c>
      <c r="J407" s="340">
        <f t="shared" si="169"/>
        <v>1.5707762833575276</v>
      </c>
      <c r="K407" s="348">
        <f t="shared" ref="K407:K470" si="185">SQRT(1+(A407/Zero2)^2)</f>
        <v>14.063676523156726</v>
      </c>
      <c r="L407" s="349">
        <f t="shared" ref="L407:L470" si="186">ATAN(A407/Zero2)</f>
        <v>1.4996311105953768</v>
      </c>
      <c r="M407" s="337">
        <f t="shared" si="170"/>
        <v>1.068224928263465</v>
      </c>
      <c r="N407" s="340">
        <f t="shared" si="171"/>
        <v>0.35933058397043194</v>
      </c>
      <c r="O407" s="341">
        <f t="shared" si="172"/>
        <v>1.0342353391904608</v>
      </c>
      <c r="P407" s="342">
        <f t="shared" si="173"/>
        <v>0.54715714876803645</v>
      </c>
      <c r="Q407" s="343">
        <f t="shared" si="174"/>
        <v>-2.2426934505157985</v>
      </c>
      <c r="R407" s="344">
        <f t="shared" si="175"/>
        <v>-136.99982239640559</v>
      </c>
      <c r="S407" s="346">
        <f t="shared" si="176"/>
        <v>43.000177603594409</v>
      </c>
      <c r="U407" s="319">
        <f t="shared" si="182"/>
        <v>37586.5</v>
      </c>
      <c r="V407" s="319">
        <f t="shared" si="183"/>
        <v>1412744982.25</v>
      </c>
      <c r="X407" s="345">
        <f t="shared" si="177"/>
        <v>26.135391670391712</v>
      </c>
      <c r="Y407" s="346">
        <f t="shared" si="178"/>
        <v>-24.664444071660558</v>
      </c>
      <c r="AA407" s="345">
        <f t="shared" si="179"/>
        <v>35.231036168255116</v>
      </c>
      <c r="AB407" s="346">
        <f t="shared" si="180"/>
        <v>-112.33537832474499</v>
      </c>
      <c r="AD407">
        <f t="shared" si="184"/>
        <v>0</v>
      </c>
      <c r="AE407">
        <f t="shared" si="161"/>
        <v>0</v>
      </c>
    </row>
    <row r="408" spans="1:31" x14ac:dyDescent="0.25">
      <c r="A408" s="347">
        <v>37802.75</v>
      </c>
      <c r="B408" s="364">
        <f t="shared" si="181"/>
        <v>37.802750000000003</v>
      </c>
      <c r="C408" s="337">
        <f t="shared" si="162"/>
        <v>16.424138541228917</v>
      </c>
      <c r="D408" s="338">
        <f t="shared" si="163"/>
        <v>1.5098726514876657</v>
      </c>
      <c r="E408" s="338">
        <f t="shared" si="164"/>
        <v>1.0046846891286942</v>
      </c>
      <c r="F408" s="339">
        <f t="shared" si="165"/>
        <v>9.6607177256626695E-2</v>
      </c>
      <c r="G408" s="338">
        <f t="shared" si="166"/>
        <v>1</v>
      </c>
      <c r="H408" s="339">
        <f t="shared" si="167"/>
        <v>0</v>
      </c>
      <c r="I408" s="337">
        <f t="shared" si="168"/>
        <v>50178.688268570753</v>
      </c>
      <c r="J408" s="340">
        <f t="shared" si="169"/>
        <v>1.5707763980156764</v>
      </c>
      <c r="K408" s="348">
        <f t="shared" si="185"/>
        <v>14.144182484504379</v>
      </c>
      <c r="L408" s="349">
        <f t="shared" si="186"/>
        <v>1.5000368486301647</v>
      </c>
      <c r="M408" s="337">
        <f t="shared" si="170"/>
        <v>1.0689868231662436</v>
      </c>
      <c r="N408" s="340">
        <f t="shared" si="171"/>
        <v>0.36122318841770434</v>
      </c>
      <c r="O408" s="341">
        <f t="shared" si="172"/>
        <v>1.0347006971548074</v>
      </c>
      <c r="P408" s="342">
        <f t="shared" si="173"/>
        <v>0.55038974389933615</v>
      </c>
      <c r="Q408" s="343">
        <f t="shared" si="174"/>
        <v>-2.3022275649832293</v>
      </c>
      <c r="R408" s="344">
        <f t="shared" si="175"/>
        <v>-137.25879835759304</v>
      </c>
      <c r="S408" s="346">
        <f t="shared" si="176"/>
        <v>42.741201642406963</v>
      </c>
      <c r="U408" s="319">
        <f t="shared" si="182"/>
        <v>37802.75</v>
      </c>
      <c r="V408" s="319">
        <f t="shared" si="183"/>
        <v>1429047907.5625</v>
      </c>
      <c r="X408" s="345">
        <f t="shared" si="177"/>
        <v>26.128948296397443</v>
      </c>
      <c r="Y408" s="346">
        <f t="shared" si="178"/>
        <v>-24.749641811321045</v>
      </c>
      <c r="AA408" s="345">
        <f t="shared" si="179"/>
        <v>35.177945427781964</v>
      </c>
      <c r="AB408" s="346">
        <f t="shared" si="180"/>
        <v>-112.50915654627201</v>
      </c>
      <c r="AD408">
        <f t="shared" si="184"/>
        <v>0</v>
      </c>
      <c r="AE408">
        <f t="shared" si="161"/>
        <v>0</v>
      </c>
    </row>
    <row r="409" spans="1:31" x14ac:dyDescent="0.25">
      <c r="A409" s="347">
        <v>38019</v>
      </c>
      <c r="B409" s="364">
        <f t="shared" si="181"/>
        <v>38.018999999999998</v>
      </c>
      <c r="C409" s="337">
        <f t="shared" si="162"/>
        <v>16.517745241026137</v>
      </c>
      <c r="D409" s="338">
        <f t="shared" si="163"/>
        <v>1.5102183324670917</v>
      </c>
      <c r="E409" s="338">
        <f t="shared" si="164"/>
        <v>1.0047383130553733</v>
      </c>
      <c r="F409" s="339">
        <f t="shared" si="165"/>
        <v>9.7156355624155033E-2</v>
      </c>
      <c r="G409" s="338">
        <f t="shared" si="166"/>
        <v>1</v>
      </c>
      <c r="H409" s="339">
        <f t="shared" si="167"/>
        <v>0</v>
      </c>
      <c r="I409" s="337">
        <f t="shared" si="168"/>
        <v>50465.734616621659</v>
      </c>
      <c r="J409" s="340">
        <f t="shared" si="169"/>
        <v>1.5707765113694865</v>
      </c>
      <c r="K409" s="348">
        <f t="shared" si="185"/>
        <v>14.224690747958247</v>
      </c>
      <c r="L409" s="349">
        <f t="shared" si="186"/>
        <v>1.5004379939746917</v>
      </c>
      <c r="M409" s="337">
        <f t="shared" si="170"/>
        <v>1.0697525416658484</v>
      </c>
      <c r="N409" s="340">
        <f t="shared" si="171"/>
        <v>0.36311309021062332</v>
      </c>
      <c r="O409" s="341">
        <f t="shared" si="172"/>
        <v>1.0351702826172251</v>
      </c>
      <c r="P409" s="342">
        <f t="shared" si="173"/>
        <v>0.55362332480728993</v>
      </c>
      <c r="Q409" s="343">
        <f t="shared" si="174"/>
        <v>-2.3615340969211682</v>
      </c>
      <c r="R409" s="344">
        <f t="shared" si="175"/>
        <v>-137.51771531105916</v>
      </c>
      <c r="S409" s="346">
        <f t="shared" si="176"/>
        <v>42.482284688940837</v>
      </c>
      <c r="U409" s="319">
        <f t="shared" si="182"/>
        <v>38019</v>
      </c>
      <c r="V409" s="319">
        <f t="shared" si="183"/>
        <v>1445444361</v>
      </c>
      <c r="X409" s="345">
        <f t="shared" si="177"/>
        <v>26.122482537117811</v>
      </c>
      <c r="Y409" s="346">
        <f t="shared" si="178"/>
        <v>-24.834947767329183</v>
      </c>
      <c r="AA409" s="345">
        <f t="shared" si="179"/>
        <v>35.125104655123643</v>
      </c>
      <c r="AB409" s="346">
        <f t="shared" si="180"/>
        <v>-112.68276754373001</v>
      </c>
      <c r="AD409">
        <f t="shared" si="184"/>
        <v>0</v>
      </c>
      <c r="AE409">
        <f t="shared" si="161"/>
        <v>0</v>
      </c>
    </row>
    <row r="410" spans="1:31" x14ac:dyDescent="0.25">
      <c r="A410" s="347">
        <v>38240.5</v>
      </c>
      <c r="B410" s="364">
        <f t="shared" si="181"/>
        <v>38.240499999999997</v>
      </c>
      <c r="C410" s="337">
        <f t="shared" si="162"/>
        <v>16.613626496334277</v>
      </c>
      <c r="D410" s="338">
        <f t="shared" si="163"/>
        <v>1.5105683672930241</v>
      </c>
      <c r="E410" s="338">
        <f t="shared" si="164"/>
        <v>1.0047935529509018</v>
      </c>
      <c r="F410" s="339">
        <f t="shared" si="165"/>
        <v>9.7718805702118772E-2</v>
      </c>
      <c r="G410" s="338">
        <f t="shared" si="166"/>
        <v>1</v>
      </c>
      <c r="H410" s="339">
        <f t="shared" si="167"/>
        <v>0</v>
      </c>
      <c r="I410" s="337">
        <f t="shared" si="168"/>
        <v>50759.749719943815</v>
      </c>
      <c r="J410" s="340">
        <f t="shared" si="169"/>
        <v>1.5707766261461429</v>
      </c>
      <c r="K410" s="348">
        <f t="shared" si="185"/>
        <v>14.30715589329094</v>
      </c>
      <c r="L410" s="349">
        <f t="shared" si="186"/>
        <v>1.5008441977099276</v>
      </c>
      <c r="M410" s="337">
        <f t="shared" si="170"/>
        <v>1.0705408052526442</v>
      </c>
      <c r="N410" s="340">
        <f t="shared" si="171"/>
        <v>0.36504606410869495</v>
      </c>
      <c r="O410" s="341">
        <f t="shared" si="172"/>
        <v>1.0356556768137495</v>
      </c>
      <c r="P410" s="342">
        <f t="shared" si="173"/>
        <v>0.55693642320479186</v>
      </c>
      <c r="Q410" s="343">
        <f t="shared" si="174"/>
        <v>-2.4220479333867755</v>
      </c>
      <c r="R410" s="344">
        <f t="shared" si="175"/>
        <v>-137.78285543203998</v>
      </c>
      <c r="S410" s="346">
        <f t="shared" si="176"/>
        <v>42.21714456796002</v>
      </c>
      <c r="U410" s="319">
        <f t="shared" si="182"/>
        <v>38240.5</v>
      </c>
      <c r="V410" s="319">
        <f t="shared" si="183"/>
        <v>1462335840.25</v>
      </c>
      <c r="X410" s="345">
        <f t="shared" si="177"/>
        <v>26.115836631476974</v>
      </c>
      <c r="Y410" s="346">
        <f t="shared" si="178"/>
        <v>-24.922431830264131</v>
      </c>
      <c r="AA410" s="345">
        <f t="shared" si="179"/>
        <v>35.071236724298885</v>
      </c>
      <c r="AB410" s="346">
        <f t="shared" si="180"/>
        <v>-112.86042360177584</v>
      </c>
      <c r="AD410">
        <f t="shared" si="184"/>
        <v>0</v>
      </c>
      <c r="AE410">
        <f t="shared" ref="AE410:AE473" si="187">IF(AD410&gt;0,S410,0)</f>
        <v>0</v>
      </c>
    </row>
    <row r="411" spans="1:31" x14ac:dyDescent="0.25">
      <c r="A411" s="347">
        <v>38462</v>
      </c>
      <c r="B411" s="364">
        <f t="shared" si="181"/>
        <v>38.462000000000003</v>
      </c>
      <c r="C411" s="337">
        <f t="shared" si="162"/>
        <v>16.709509763855792</v>
      </c>
      <c r="D411" s="338">
        <f t="shared" si="163"/>
        <v>1.510914384989489</v>
      </c>
      <c r="E411" s="338">
        <f t="shared" si="164"/>
        <v>1.0048491106779545</v>
      </c>
      <c r="F411" s="339">
        <f t="shared" si="165"/>
        <v>9.8281193762673774E-2</v>
      </c>
      <c r="G411" s="338">
        <f t="shared" si="166"/>
        <v>1</v>
      </c>
      <c r="H411" s="339">
        <f t="shared" si="167"/>
        <v>0</v>
      </c>
      <c r="I411" s="337">
        <f t="shared" si="168"/>
        <v>51053.76482326664</v>
      </c>
      <c r="J411" s="340">
        <f t="shared" si="169"/>
        <v>1.5707767396008174</v>
      </c>
      <c r="K411" s="348">
        <f t="shared" si="185"/>
        <v>14.389623372267446</v>
      </c>
      <c r="L411" s="349">
        <f t="shared" si="186"/>
        <v>1.5012457455726684</v>
      </c>
      <c r="M411" s="337">
        <f t="shared" si="170"/>
        <v>1.0713330629004831</v>
      </c>
      <c r="N411" s="340">
        <f t="shared" si="171"/>
        <v>0.36697618631648049</v>
      </c>
      <c r="O411" s="341">
        <f t="shared" si="172"/>
        <v>1.0361455585731749</v>
      </c>
      <c r="P411" s="342">
        <f t="shared" si="173"/>
        <v>0.56025054017719511</v>
      </c>
      <c r="Q411" s="343">
        <f t="shared" si="174"/>
        <v>-2.4823299133946368</v>
      </c>
      <c r="R411" s="344">
        <f t="shared" si="175"/>
        <v>-138.04793059811723</v>
      </c>
      <c r="S411" s="346">
        <f t="shared" si="176"/>
        <v>41.952069401882767</v>
      </c>
      <c r="U411" s="319">
        <f t="shared" si="182"/>
        <v>38462</v>
      </c>
      <c r="V411" s="319">
        <f t="shared" si="183"/>
        <v>1479325444</v>
      </c>
      <c r="X411" s="345">
        <f t="shared" si="177"/>
        <v>26.109167310277432</v>
      </c>
      <c r="Y411" s="346">
        <f t="shared" si="178"/>
        <v>-25.010019189481262</v>
      </c>
      <c r="AA411" s="345">
        <f t="shared" si="179"/>
        <v>35.017624065490558</v>
      </c>
      <c r="AB411" s="346">
        <f t="shared" si="180"/>
        <v>-113.03791140863595</v>
      </c>
      <c r="AD411">
        <f t="shared" si="184"/>
        <v>0</v>
      </c>
      <c r="AE411">
        <f t="shared" si="187"/>
        <v>0</v>
      </c>
    </row>
    <row r="412" spans="1:31" x14ac:dyDescent="0.25">
      <c r="A412" s="347">
        <v>38683.5</v>
      </c>
      <c r="B412" s="364">
        <f t="shared" si="181"/>
        <v>38.683500000000002</v>
      </c>
      <c r="C412" s="337">
        <f t="shared" si="162"/>
        <v>16.805395009148594</v>
      </c>
      <c r="D412" s="338">
        <f t="shared" si="163"/>
        <v>1.5112564542335893</v>
      </c>
      <c r="E412" s="338">
        <f t="shared" si="164"/>
        <v>1.0049049861838157</v>
      </c>
      <c r="F412" s="339">
        <f t="shared" si="165"/>
        <v>9.8843519460391258E-2</v>
      </c>
      <c r="G412" s="338">
        <f t="shared" si="166"/>
        <v>1</v>
      </c>
      <c r="H412" s="339">
        <f t="shared" si="167"/>
        <v>0</v>
      </c>
      <c r="I412" s="337">
        <f t="shared" si="168"/>
        <v>51347.779926590112</v>
      </c>
      <c r="J412" s="340">
        <f t="shared" si="169"/>
        <v>1.5707768517562193</v>
      </c>
      <c r="K412" s="348">
        <f t="shared" si="185"/>
        <v>14.472093144993803</v>
      </c>
      <c r="L412" s="349">
        <f t="shared" si="186"/>
        <v>1.501642717027301</v>
      </c>
      <c r="M412" s="337">
        <f t="shared" si="170"/>
        <v>1.0721293057550452</v>
      </c>
      <c r="N412" s="340">
        <f t="shared" si="171"/>
        <v>0.36890344879094927</v>
      </c>
      <c r="O412" s="341">
        <f t="shared" si="172"/>
        <v>1.0366399544855947</v>
      </c>
      <c r="P412" s="342">
        <f t="shared" si="173"/>
        <v>0.56356566748724912</v>
      </c>
      <c r="Q412" s="343">
        <f t="shared" si="174"/>
        <v>-2.5423834443423243</v>
      </c>
      <c r="R412" s="344">
        <f t="shared" si="175"/>
        <v>-138.31293927952649</v>
      </c>
      <c r="S412" s="346">
        <f t="shared" si="176"/>
        <v>41.687060720473511</v>
      </c>
      <c r="U412" s="319">
        <f t="shared" si="182"/>
        <v>38683.5</v>
      </c>
      <c r="V412" s="319">
        <f t="shared" si="183"/>
        <v>1496413172.25</v>
      </c>
      <c r="X412" s="345">
        <f t="shared" si="177"/>
        <v>26.102474613272353</v>
      </c>
      <c r="Y412" s="346">
        <f t="shared" si="178"/>
        <v>-25.097704832476023</v>
      </c>
      <c r="AA412" s="345">
        <f t="shared" si="179"/>
        <v>34.964263231547946</v>
      </c>
      <c r="AB412" s="346">
        <f t="shared" si="180"/>
        <v>-113.21523444705043</v>
      </c>
      <c r="AD412">
        <f t="shared" si="184"/>
        <v>0</v>
      </c>
      <c r="AE412">
        <f t="shared" si="187"/>
        <v>0</v>
      </c>
    </row>
    <row r="413" spans="1:31" x14ac:dyDescent="0.25">
      <c r="A413" s="347">
        <v>38905</v>
      </c>
      <c r="B413" s="364">
        <f t="shared" si="181"/>
        <v>38.905000000000001</v>
      </c>
      <c r="C413" s="337">
        <f t="shared" si="162"/>
        <v>16.901282198551502</v>
      </c>
      <c r="D413" s="338">
        <f t="shared" si="163"/>
        <v>1.5115946421476509</v>
      </c>
      <c r="E413" s="338">
        <f t="shared" si="164"/>
        <v>1.0049611794154805</v>
      </c>
      <c r="F413" s="339">
        <f t="shared" si="165"/>
        <v>9.9405782450076891E-2</v>
      </c>
      <c r="G413" s="338">
        <f t="shared" si="166"/>
        <v>1</v>
      </c>
      <c r="H413" s="339">
        <f t="shared" si="167"/>
        <v>0</v>
      </c>
      <c r="I413" s="337">
        <f t="shared" si="168"/>
        <v>51641.795029914225</v>
      </c>
      <c r="J413" s="340">
        <f t="shared" si="169"/>
        <v>1.57077696263454</v>
      </c>
      <c r="K413" s="348">
        <f t="shared" si="185"/>
        <v>14.554565172479144</v>
      </c>
      <c r="L413" s="349">
        <f t="shared" si="186"/>
        <v>1.5020351897429496</v>
      </c>
      <c r="M413" s="337">
        <f t="shared" si="170"/>
        <v>1.0729295249438209</v>
      </c>
      <c r="N413" s="340">
        <f t="shared" si="171"/>
        <v>0.37082784359786158</v>
      </c>
      <c r="O413" s="341">
        <f t="shared" si="172"/>
        <v>1.0371388912219119</v>
      </c>
      <c r="P413" s="342">
        <f t="shared" si="173"/>
        <v>0.56688179668217387</v>
      </c>
      <c r="Q413" s="343">
        <f t="shared" si="174"/>
        <v>-2.6022118753627814</v>
      </c>
      <c r="R413" s="344">
        <f t="shared" si="175"/>
        <v>-138.5778799541232</v>
      </c>
      <c r="S413" s="346">
        <f t="shared" si="176"/>
        <v>41.422120045876795</v>
      </c>
      <c r="U413" s="319">
        <f t="shared" si="182"/>
        <v>38905</v>
      </c>
      <c r="V413" s="319">
        <f t="shared" si="183"/>
        <v>1513599025</v>
      </c>
      <c r="X413" s="345">
        <f t="shared" si="177"/>
        <v>26.095758583048259</v>
      </c>
      <c r="Y413" s="346">
        <f t="shared" si="178"/>
        <v>-25.185483855808407</v>
      </c>
      <c r="AA413" s="345">
        <f t="shared" si="179"/>
        <v>34.911150830751588</v>
      </c>
      <c r="AB413" s="346">
        <f t="shared" si="180"/>
        <v>-113.39239609831483</v>
      </c>
      <c r="AD413">
        <f t="shared" si="184"/>
        <v>0</v>
      </c>
      <c r="AE413">
        <f t="shared" si="187"/>
        <v>0</v>
      </c>
    </row>
    <row r="414" spans="1:31" x14ac:dyDescent="0.25">
      <c r="A414" s="347">
        <v>39131.5</v>
      </c>
      <c r="B414" s="364">
        <f t="shared" si="181"/>
        <v>39.131500000000003</v>
      </c>
      <c r="C414" s="337">
        <f t="shared" si="162"/>
        <v>16.999335860485868</v>
      </c>
      <c r="D414" s="338">
        <f t="shared" si="163"/>
        <v>1.5119365187108877</v>
      </c>
      <c r="E414" s="338">
        <f t="shared" si="164"/>
        <v>1.0050189696268199</v>
      </c>
      <c r="F414" s="339">
        <f t="shared" si="165"/>
        <v>9.9980672399857487E-2</v>
      </c>
      <c r="G414" s="338">
        <f t="shared" si="166"/>
        <v>1</v>
      </c>
      <c r="H414" s="339">
        <f t="shared" si="167"/>
        <v>0</v>
      </c>
      <c r="I414" s="337">
        <f t="shared" si="168"/>
        <v>51942.447043020569</v>
      </c>
      <c r="J414" s="340">
        <f t="shared" si="169"/>
        <v>1.5707770747177037</v>
      </c>
      <c r="K414" s="348">
        <f t="shared" si="185"/>
        <v>14.638901162988617</v>
      </c>
      <c r="L414" s="349">
        <f t="shared" si="186"/>
        <v>1.5024319487702575</v>
      </c>
      <c r="M414" s="337">
        <f t="shared" si="170"/>
        <v>1.0737519104944508</v>
      </c>
      <c r="N414" s="340">
        <f t="shared" si="171"/>
        <v>0.37279270481769083</v>
      </c>
      <c r="O414" s="341">
        <f t="shared" si="172"/>
        <v>1.0376538142433636</v>
      </c>
      <c r="P414" s="342">
        <f t="shared" si="173"/>
        <v>0.57027380909765557</v>
      </c>
      <c r="Q414" s="343">
        <f t="shared" si="174"/>
        <v>-2.66316148591073</v>
      </c>
      <c r="R414" s="344">
        <f t="shared" si="175"/>
        <v>-138.84872932564573</v>
      </c>
      <c r="S414" s="346">
        <f t="shared" si="176"/>
        <v>41.151270674354265</v>
      </c>
      <c r="U414" s="319">
        <f t="shared" si="182"/>
        <v>39131.5</v>
      </c>
      <c r="V414" s="319">
        <f t="shared" si="183"/>
        <v>1531274292.25</v>
      </c>
      <c r="X414" s="345">
        <f t="shared" si="177"/>
        <v>26.088866867439972</v>
      </c>
      <c r="Y414" s="346">
        <f t="shared" si="178"/>
        <v>-25.275335915279996</v>
      </c>
      <c r="AA414" s="345">
        <f t="shared" si="179"/>
        <v>34.857092935811934</v>
      </c>
      <c r="AB414" s="346">
        <f t="shared" si="180"/>
        <v>-113.57339341036572</v>
      </c>
      <c r="AD414">
        <f t="shared" si="184"/>
        <v>0</v>
      </c>
      <c r="AE414">
        <f t="shared" si="187"/>
        <v>0</v>
      </c>
    </row>
    <row r="415" spans="1:31" x14ac:dyDescent="0.25">
      <c r="A415" s="347">
        <v>39358</v>
      </c>
      <c r="B415" s="364">
        <f t="shared" si="181"/>
        <v>39.357999999999997</v>
      </c>
      <c r="C415" s="337">
        <f t="shared" si="162"/>
        <v>17.097391486505924</v>
      </c>
      <c r="D415" s="338">
        <f t="shared" si="163"/>
        <v>1.5122744739056513</v>
      </c>
      <c r="E415" s="338">
        <f t="shared" si="164"/>
        <v>1.0050770919571146</v>
      </c>
      <c r="F415" s="339">
        <f t="shared" si="165"/>
        <v>0.10055549604928847</v>
      </c>
      <c r="G415" s="338">
        <f t="shared" si="166"/>
        <v>1</v>
      </c>
      <c r="H415" s="339">
        <f t="shared" si="167"/>
        <v>0</v>
      </c>
      <c r="I415" s="337">
        <f t="shared" si="168"/>
        <v>52243.099056127554</v>
      </c>
      <c r="J415" s="340">
        <f t="shared" si="169"/>
        <v>1.5707771855108204</v>
      </c>
      <c r="K415" s="348">
        <f t="shared" si="185"/>
        <v>14.723239431520545</v>
      </c>
      <c r="L415" s="349">
        <f t="shared" si="186"/>
        <v>1.5028241623958072</v>
      </c>
      <c r="M415" s="337">
        <f t="shared" si="170"/>
        <v>1.0745784351028136</v>
      </c>
      <c r="N415" s="340">
        <f t="shared" si="171"/>
        <v>0.37475455100978428</v>
      </c>
      <c r="O415" s="341">
        <f t="shared" si="172"/>
        <v>1.0381735420653695</v>
      </c>
      <c r="P415" s="342">
        <f t="shared" si="173"/>
        <v>0.57366685057290623</v>
      </c>
      <c r="Q415" s="343">
        <f t="shared" si="174"/>
        <v>-2.7238826215849321</v>
      </c>
      <c r="R415" s="344">
        <f t="shared" si="175"/>
        <v>-139.11950438887484</v>
      </c>
      <c r="S415" s="346">
        <f t="shared" si="176"/>
        <v>40.880495611125156</v>
      </c>
      <c r="U415" s="319">
        <f t="shared" si="182"/>
        <v>39358</v>
      </c>
      <c r="V415" s="319">
        <f t="shared" si="183"/>
        <v>1549052164</v>
      </c>
      <c r="X415" s="345">
        <f t="shared" si="177"/>
        <v>26.081950852014486</v>
      </c>
      <c r="Y415" s="346">
        <f t="shared" si="178"/>
        <v>-25.365275584809993</v>
      </c>
      <c r="AA415" s="345">
        <f t="shared" si="179"/>
        <v>34.803287815563209</v>
      </c>
      <c r="AB415" s="346">
        <f t="shared" si="180"/>
        <v>-113.75422880406484</v>
      </c>
      <c r="AD415">
        <f t="shared" si="184"/>
        <v>0</v>
      </c>
      <c r="AE415">
        <f t="shared" si="187"/>
        <v>0</v>
      </c>
    </row>
    <row r="416" spans="1:31" x14ac:dyDescent="0.25">
      <c r="A416" s="347">
        <v>39584.5</v>
      </c>
      <c r="B416" s="364">
        <f t="shared" si="181"/>
        <v>39.584499999999998</v>
      </c>
      <c r="C416" s="337">
        <f t="shared" si="162"/>
        <v>17.195449043011561</v>
      </c>
      <c r="D416" s="338">
        <f t="shared" si="163"/>
        <v>1.5126085747392339</v>
      </c>
      <c r="E416" s="338">
        <f t="shared" si="164"/>
        <v>1.0051355463487495</v>
      </c>
      <c r="F416" s="339">
        <f t="shared" si="165"/>
        <v>0.10113025303003545</v>
      </c>
      <c r="G416" s="338">
        <f t="shared" si="166"/>
        <v>1</v>
      </c>
      <c r="H416" s="339">
        <f t="shared" si="167"/>
        <v>0</v>
      </c>
      <c r="I416" s="337">
        <f t="shared" si="168"/>
        <v>52543.751069235179</v>
      </c>
      <c r="J416" s="340">
        <f t="shared" si="169"/>
        <v>1.5707772950360346</v>
      </c>
      <c r="K416" s="348">
        <f t="shared" si="185"/>
        <v>14.807579939150715</v>
      </c>
      <c r="L416" s="349">
        <f t="shared" si="186"/>
        <v>1.5032119081665176</v>
      </c>
      <c r="M416" s="337">
        <f t="shared" si="170"/>
        <v>1.0754090892254717</v>
      </c>
      <c r="N416" s="340">
        <f t="shared" si="171"/>
        <v>0.37671337404168953</v>
      </c>
      <c r="O416" s="341">
        <f t="shared" si="172"/>
        <v>1.0386981034593004</v>
      </c>
      <c r="P416" s="342">
        <f t="shared" si="173"/>
        <v>0.57706091136941762</v>
      </c>
      <c r="Q416" s="343">
        <f t="shared" si="174"/>
        <v>-2.7843786829050727</v>
      </c>
      <c r="R416" s="344">
        <f t="shared" si="175"/>
        <v>-139.39020353837665</v>
      </c>
      <c r="S416" s="346">
        <f t="shared" si="176"/>
        <v>40.609796461623347</v>
      </c>
      <c r="U416" s="319">
        <f t="shared" si="182"/>
        <v>39584.5</v>
      </c>
      <c r="V416" s="319">
        <f t="shared" si="183"/>
        <v>1566932640.25</v>
      </c>
      <c r="X416" s="345">
        <f t="shared" si="177"/>
        <v>26.075010590862377</v>
      </c>
      <c r="Y416" s="346">
        <f t="shared" si="178"/>
        <v>-25.45529795660082</v>
      </c>
      <c r="AA416" s="345">
        <f t="shared" si="179"/>
        <v>34.749732015395182</v>
      </c>
      <c r="AB416" s="346">
        <f t="shared" si="180"/>
        <v>-113.93490558177582</v>
      </c>
      <c r="AD416">
        <f t="shared" si="184"/>
        <v>0</v>
      </c>
      <c r="AE416">
        <f t="shared" si="187"/>
        <v>0</v>
      </c>
    </row>
    <row r="417" spans="1:31" x14ac:dyDescent="0.25">
      <c r="A417" s="347">
        <v>39811</v>
      </c>
      <c r="B417" s="364">
        <f t="shared" si="181"/>
        <v>39.811</v>
      </c>
      <c r="C417" s="337">
        <f t="shared" si="162"/>
        <v>17.293508497164094</v>
      </c>
      <c r="D417" s="338">
        <f t="shared" si="163"/>
        <v>1.5129388867026086</v>
      </c>
      <c r="E417" s="338">
        <f t="shared" si="164"/>
        <v>1.0051943327437944</v>
      </c>
      <c r="F417" s="339">
        <f t="shared" si="165"/>
        <v>0.10170494297402567</v>
      </c>
      <c r="G417" s="338">
        <f t="shared" si="166"/>
        <v>1</v>
      </c>
      <c r="H417" s="339">
        <f t="shared" si="167"/>
        <v>0</v>
      </c>
      <c r="I417" s="337">
        <f t="shared" si="168"/>
        <v>52844.40308234343</v>
      </c>
      <c r="J417" s="340">
        <f t="shared" si="169"/>
        <v>1.5707774033149871</v>
      </c>
      <c r="K417" s="348">
        <f t="shared" si="185"/>
        <v>14.891922647835678</v>
      </c>
      <c r="L417" s="349">
        <f t="shared" si="186"/>
        <v>1.5035952618779564</v>
      </c>
      <c r="M417" s="337">
        <f t="shared" si="170"/>
        <v>1.0762438633008435</v>
      </c>
      <c r="N417" s="340">
        <f t="shared" si="171"/>
        <v>0.37866916589879668</v>
      </c>
      <c r="O417" s="341">
        <f t="shared" si="172"/>
        <v>1.0392275272788318</v>
      </c>
      <c r="P417" s="342">
        <f t="shared" si="173"/>
        <v>0.58045598151236411</v>
      </c>
      <c r="Q417" s="343">
        <f t="shared" si="174"/>
        <v>-2.8446530122445903</v>
      </c>
      <c r="R417" s="344">
        <f t="shared" si="175"/>
        <v>-139.66082517535153</v>
      </c>
      <c r="S417" s="346">
        <f t="shared" si="176"/>
        <v>40.339174824648467</v>
      </c>
      <c r="U417" s="319">
        <f t="shared" si="182"/>
        <v>39811</v>
      </c>
      <c r="V417" s="319">
        <f t="shared" si="183"/>
        <v>1584915721</v>
      </c>
      <c r="X417" s="345">
        <f t="shared" si="177"/>
        <v>26.068046140755065</v>
      </c>
      <c r="Y417" s="346">
        <f t="shared" si="178"/>
        <v>-25.545398229922931</v>
      </c>
      <c r="AA417" s="345">
        <f t="shared" si="179"/>
        <v>34.696422136162973</v>
      </c>
      <c r="AB417" s="346">
        <f t="shared" si="180"/>
        <v>-114.1154269454286</v>
      </c>
      <c r="AD417">
        <f t="shared" si="184"/>
        <v>0</v>
      </c>
      <c r="AE417">
        <f t="shared" si="187"/>
        <v>0</v>
      </c>
    </row>
    <row r="418" spans="1:31" x14ac:dyDescent="0.25">
      <c r="A418" s="347">
        <v>40042.75</v>
      </c>
      <c r="B418" s="364">
        <f t="shared" si="181"/>
        <v>40.042749999999998</v>
      </c>
      <c r="C418" s="337">
        <f t="shared" si="162"/>
        <v>17.39384278323061</v>
      </c>
      <c r="D418" s="338">
        <f t="shared" si="163"/>
        <v>1.5132730000467518</v>
      </c>
      <c r="E418" s="338">
        <f t="shared" si="164"/>
        <v>1.0052548253124063</v>
      </c>
      <c r="F418" s="339">
        <f t="shared" si="165"/>
        <v>0.10229288377670734</v>
      </c>
      <c r="G418" s="338">
        <f t="shared" si="166"/>
        <v>1</v>
      </c>
      <c r="H418" s="339">
        <f t="shared" si="167"/>
        <v>0</v>
      </c>
      <c r="I418" s="337">
        <f t="shared" si="168"/>
        <v>53152.023850723032</v>
      </c>
      <c r="J418" s="340">
        <f t="shared" si="169"/>
        <v>1.5707775128358483</v>
      </c>
      <c r="K418" s="348">
        <f t="shared" si="185"/>
        <v>14.978222559357103</v>
      </c>
      <c r="L418" s="349">
        <f t="shared" si="186"/>
        <v>1.5039830326000629</v>
      </c>
      <c r="M418" s="337">
        <f t="shared" si="170"/>
        <v>1.0771022407553974</v>
      </c>
      <c r="N418" s="340">
        <f t="shared" si="171"/>
        <v>0.38066714506595722</v>
      </c>
      <c r="O418" s="341">
        <f t="shared" si="172"/>
        <v>1.0397742854810976</v>
      </c>
      <c r="P418" s="342">
        <f t="shared" si="173"/>
        <v>0.5839307793927685</v>
      </c>
      <c r="Q418" s="343">
        <f t="shared" si="174"/>
        <v>-2.9060983545039605</v>
      </c>
      <c r="R418" s="344">
        <f t="shared" si="175"/>
        <v>-139.93763760989827</v>
      </c>
      <c r="S418" s="346">
        <f t="shared" si="176"/>
        <v>40.062362390101725</v>
      </c>
      <c r="U418" s="319">
        <f t="shared" si="182"/>
        <v>40042.75</v>
      </c>
      <c r="V418" s="319">
        <f t="shared" si="183"/>
        <v>1603421827.5625</v>
      </c>
      <c r="X418" s="345">
        <f t="shared" si="177"/>
        <v>26.060895288462291</v>
      </c>
      <c r="Y418" s="346">
        <f t="shared" si="178"/>
        <v>-25.637662653149395</v>
      </c>
      <c r="AA418" s="345">
        <f t="shared" si="179"/>
        <v>34.642127646196379</v>
      </c>
      <c r="AB418" s="346">
        <f t="shared" si="180"/>
        <v>-114.29997495674887</v>
      </c>
      <c r="AD418">
        <f t="shared" si="184"/>
        <v>0</v>
      </c>
      <c r="AE418">
        <f t="shared" si="187"/>
        <v>0</v>
      </c>
    </row>
    <row r="419" spans="1:31" x14ac:dyDescent="0.25">
      <c r="A419" s="347">
        <v>40274.5</v>
      </c>
      <c r="B419" s="364">
        <f t="shared" si="181"/>
        <v>40.274500000000003</v>
      </c>
      <c r="C419" s="337">
        <f t="shared" si="162"/>
        <v>17.494178988729207</v>
      </c>
      <c r="D419" s="338">
        <f t="shared" si="163"/>
        <v>1.5136032808765767</v>
      </c>
      <c r="E419" s="338">
        <f t="shared" si="164"/>
        <v>1.0053156653299751</v>
      </c>
      <c r="F419" s="339">
        <f t="shared" si="165"/>
        <v>0.102880753620198</v>
      </c>
      <c r="G419" s="338">
        <f t="shared" si="166"/>
        <v>1</v>
      </c>
      <c r="H419" s="339">
        <f t="shared" si="167"/>
        <v>0</v>
      </c>
      <c r="I419" s="337">
        <f t="shared" si="168"/>
        <v>53459.644619103259</v>
      </c>
      <c r="J419" s="340">
        <f t="shared" si="169"/>
        <v>1.5707776210962863</v>
      </c>
      <c r="K419" s="348">
        <f t="shared" si="185"/>
        <v>15.064524697291249</v>
      </c>
      <c r="L419" s="349">
        <f t="shared" si="186"/>
        <v>1.5043663604322677</v>
      </c>
      <c r="M419" s="337">
        <f t="shared" si="170"/>
        <v>1.0779649110590703</v>
      </c>
      <c r="N419" s="340">
        <f t="shared" si="171"/>
        <v>0.38266193431283746</v>
      </c>
      <c r="O419" s="341">
        <f t="shared" si="172"/>
        <v>1.0403261955026346</v>
      </c>
      <c r="P419" s="342">
        <f t="shared" si="173"/>
        <v>0.5874066120675957</v>
      </c>
      <c r="Q419" s="343">
        <f t="shared" si="174"/>
        <v>-2.9673184652023377</v>
      </c>
      <c r="R419" s="344">
        <f t="shared" si="175"/>
        <v>-140.214365530219</v>
      </c>
      <c r="S419" s="346">
        <f t="shared" si="176"/>
        <v>39.785634469781002</v>
      </c>
      <c r="U419" s="319">
        <f t="shared" si="182"/>
        <v>40274.5</v>
      </c>
      <c r="V419" s="319">
        <f t="shared" si="183"/>
        <v>1622035350.25</v>
      </c>
      <c r="X419" s="345">
        <f t="shared" si="177"/>
        <v>26.053719241305938</v>
      </c>
      <c r="Y419" s="346">
        <f t="shared" si="178"/>
        <v>-25.72999879403018</v>
      </c>
      <c r="AA419" s="345">
        <f t="shared" si="179"/>
        <v>34.588083582654356</v>
      </c>
      <c r="AB419" s="346">
        <f t="shared" si="180"/>
        <v>-114.48436673618883</v>
      </c>
      <c r="AD419">
        <f t="shared" si="184"/>
        <v>0</v>
      </c>
      <c r="AE419">
        <f t="shared" si="187"/>
        <v>0</v>
      </c>
    </row>
    <row r="420" spans="1:31" x14ac:dyDescent="0.25">
      <c r="A420" s="347">
        <v>40506.25</v>
      </c>
      <c r="B420" s="364">
        <f t="shared" si="181"/>
        <v>40.506250000000001</v>
      </c>
      <c r="C420" s="337">
        <f t="shared" si="162"/>
        <v>17.594517080822062</v>
      </c>
      <c r="D420" s="338">
        <f t="shared" si="163"/>
        <v>1.5139297946876424</v>
      </c>
      <c r="E420" s="338">
        <f t="shared" si="164"/>
        <v>1.0053768527334235</v>
      </c>
      <c r="F420" s="339">
        <f t="shared" si="165"/>
        <v>0.10346855211109189</v>
      </c>
      <c r="G420" s="338">
        <f t="shared" si="166"/>
        <v>1</v>
      </c>
      <c r="H420" s="339">
        <f t="shared" si="167"/>
        <v>0</v>
      </c>
      <c r="I420" s="337">
        <f t="shared" si="168"/>
        <v>53767.265387484105</v>
      </c>
      <c r="J420" s="340">
        <f t="shared" si="169"/>
        <v>1.5707777281179349</v>
      </c>
      <c r="K420" s="348">
        <f t="shared" si="185"/>
        <v>15.150829023591848</v>
      </c>
      <c r="L420" s="349">
        <f t="shared" si="186"/>
        <v>1.5047453211856254</v>
      </c>
      <c r="M420" s="337">
        <f t="shared" si="170"/>
        <v>1.0788318639137418</v>
      </c>
      <c r="N420" s="340">
        <f t="shared" si="171"/>
        <v>0.38465352543556297</v>
      </c>
      <c r="O420" s="341">
        <f t="shared" si="172"/>
        <v>1.0408832885076835</v>
      </c>
      <c r="P420" s="342">
        <f t="shared" si="173"/>
        <v>0.59088346808349868</v>
      </c>
      <c r="Q420" s="343">
        <f t="shared" si="174"/>
        <v>-3.028316743946184</v>
      </c>
      <c r="R420" s="344">
        <f t="shared" si="175"/>
        <v>-140.49100724278364</v>
      </c>
      <c r="S420" s="346">
        <f t="shared" si="176"/>
        <v>39.508992757216362</v>
      </c>
      <c r="U420" s="319">
        <f t="shared" si="182"/>
        <v>40506.25</v>
      </c>
      <c r="V420" s="319">
        <f t="shared" si="183"/>
        <v>1640756289.0625</v>
      </c>
      <c r="X420" s="345">
        <f t="shared" si="177"/>
        <v>26.046518068197251</v>
      </c>
      <c r="Y420" s="346">
        <f t="shared" si="178"/>
        <v>-25.822401840103947</v>
      </c>
      <c r="AA420" s="345">
        <f t="shared" si="179"/>
        <v>34.534286477019187</v>
      </c>
      <c r="AB420" s="346">
        <f t="shared" si="180"/>
        <v>-114.66860540267969</v>
      </c>
      <c r="AD420">
        <f t="shared" si="184"/>
        <v>0</v>
      </c>
      <c r="AE420">
        <f t="shared" si="187"/>
        <v>0</v>
      </c>
    </row>
    <row r="421" spans="1:31" x14ac:dyDescent="0.25">
      <c r="A421" s="347">
        <v>40738</v>
      </c>
      <c r="B421" s="364">
        <f t="shared" si="181"/>
        <v>40.738</v>
      </c>
      <c r="C421" s="337">
        <f t="shared" si="162"/>
        <v>17.694857027415566</v>
      </c>
      <c r="D421" s="338">
        <f t="shared" si="163"/>
        <v>1.514252605493174</v>
      </c>
      <c r="E421" s="338">
        <f t="shared" si="164"/>
        <v>1.0054383874593296</v>
      </c>
      <c r="F421" s="339">
        <f t="shared" si="165"/>
        <v>0.10405627885627601</v>
      </c>
      <c r="G421" s="338">
        <f t="shared" si="166"/>
        <v>1</v>
      </c>
      <c r="H421" s="339">
        <f t="shared" si="167"/>
        <v>0</v>
      </c>
      <c r="I421" s="337">
        <f t="shared" si="168"/>
        <v>54074.88615586557</v>
      </c>
      <c r="J421" s="340">
        <f t="shared" si="169"/>
        <v>1.5707778339219356</v>
      </c>
      <c r="K421" s="348">
        <f t="shared" si="185"/>
        <v>15.237135501073661</v>
      </c>
      <c r="L421" s="349">
        <f t="shared" si="186"/>
        <v>1.5051199889586317</v>
      </c>
      <c r="M421" s="337">
        <f t="shared" si="170"/>
        <v>1.0797030890033266</v>
      </c>
      <c r="N421" s="340">
        <f t="shared" si="171"/>
        <v>0.38664191035802414</v>
      </c>
      <c r="O421" s="341">
        <f t="shared" si="172"/>
        <v>1.0414455957437438</v>
      </c>
      <c r="P421" s="342">
        <f t="shared" si="173"/>
        <v>0.5943613357278984</v>
      </c>
      <c r="Q421" s="343">
        <f t="shared" si="174"/>
        <v>-3.0890965321567379</v>
      </c>
      <c r="R421" s="344">
        <f t="shared" si="175"/>
        <v>-140.76756105967536</v>
      </c>
      <c r="S421" s="346">
        <f t="shared" si="176"/>
        <v>39.232438940324641</v>
      </c>
      <c r="U421" s="319">
        <f t="shared" si="182"/>
        <v>40738</v>
      </c>
      <c r="V421" s="319">
        <f t="shared" si="183"/>
        <v>1659584644</v>
      </c>
      <c r="X421" s="345">
        <f t="shared" si="177"/>
        <v>26.039291840582756</v>
      </c>
      <c r="Y421" s="346">
        <f t="shared" si="178"/>
        <v>-25.914867084323941</v>
      </c>
      <c r="AA421" s="345">
        <f t="shared" si="179"/>
        <v>34.480732916423136</v>
      </c>
      <c r="AB421" s="346">
        <f t="shared" si="180"/>
        <v>-114.8526939753514</v>
      </c>
      <c r="AD421">
        <f t="shared" si="184"/>
        <v>0</v>
      </c>
      <c r="AE421">
        <f t="shared" si="187"/>
        <v>0</v>
      </c>
    </row>
    <row r="422" spans="1:31" x14ac:dyDescent="0.25">
      <c r="A422" s="347">
        <v>40975.25</v>
      </c>
      <c r="B422" s="364">
        <f t="shared" si="181"/>
        <v>40.975250000000003</v>
      </c>
      <c r="C422" s="337">
        <f t="shared" si="162"/>
        <v>17.797580177107072</v>
      </c>
      <c r="D422" s="338">
        <f t="shared" si="163"/>
        <v>1.5145793068477205</v>
      </c>
      <c r="E422" s="338">
        <f t="shared" si="164"/>
        <v>1.0055017422742127</v>
      </c>
      <c r="F422" s="339">
        <f t="shared" si="165"/>
        <v>0.10465787907890568</v>
      </c>
      <c r="G422" s="338">
        <f t="shared" si="166"/>
        <v>1</v>
      </c>
      <c r="H422" s="339">
        <f t="shared" si="167"/>
        <v>0</v>
      </c>
      <c r="I422" s="337">
        <f t="shared" si="168"/>
        <v>54389.807525007505</v>
      </c>
      <c r="J422" s="340">
        <f t="shared" si="169"/>
        <v>1.5707779409971605</v>
      </c>
      <c r="K422" s="348">
        <f t="shared" si="185"/>
        <v>15.325492434892881</v>
      </c>
      <c r="L422" s="349">
        <f t="shared" si="186"/>
        <v>1.5054991771259847</v>
      </c>
      <c r="M422" s="337">
        <f t="shared" si="170"/>
        <v>1.0805994051514478</v>
      </c>
      <c r="N422" s="340">
        <f t="shared" si="171"/>
        <v>0.3886741550286425</v>
      </c>
      <c r="O422" s="341">
        <f t="shared" si="172"/>
        <v>1.0420266819491915</v>
      </c>
      <c r="P422" s="342">
        <f t="shared" si="173"/>
        <v>0.59792277718799902</v>
      </c>
      <c r="Q422" s="343">
        <f t="shared" si="174"/>
        <v>-3.1510958738020305</v>
      </c>
      <c r="R422" s="344">
        <f t="shared" si="175"/>
        <v>-141.05058537560356</v>
      </c>
      <c r="S422" s="346">
        <f t="shared" si="176"/>
        <v>38.949414624396439</v>
      </c>
      <c r="U422" s="319">
        <f t="shared" si="182"/>
        <v>40975.25</v>
      </c>
      <c r="V422" s="319">
        <f t="shared" si="183"/>
        <v>1678971112.5625</v>
      </c>
      <c r="X422" s="345">
        <f t="shared" si="177"/>
        <v>26.031868240426604</v>
      </c>
      <c r="Y422" s="346">
        <f t="shared" si="178"/>
        <v>-26.009586380324418</v>
      </c>
      <c r="AA422" s="345">
        <f t="shared" si="179"/>
        <v>34.426157174933991</v>
      </c>
      <c r="AB422" s="346">
        <f t="shared" si="180"/>
        <v>-115.04099899527917</v>
      </c>
      <c r="AD422">
        <f t="shared" si="184"/>
        <v>0</v>
      </c>
      <c r="AE422">
        <f t="shared" si="187"/>
        <v>0</v>
      </c>
    </row>
    <row r="423" spans="1:31" x14ac:dyDescent="0.25">
      <c r="A423" s="347">
        <v>41212.5</v>
      </c>
      <c r="B423" s="364">
        <f t="shared" si="181"/>
        <v>41.212499999999999</v>
      </c>
      <c r="C423" s="337">
        <f t="shared" si="162"/>
        <v>17.900305204599164</v>
      </c>
      <c r="D423" s="338">
        <f t="shared" si="163"/>
        <v>1.5149022585343503</v>
      </c>
      <c r="E423" s="338">
        <f t="shared" si="164"/>
        <v>1.0055654609571969</v>
      </c>
      <c r="F423" s="339">
        <f t="shared" si="165"/>
        <v>0.10525940327719202</v>
      </c>
      <c r="G423" s="338">
        <f t="shared" si="166"/>
        <v>1</v>
      </c>
      <c r="H423" s="339">
        <f t="shared" si="167"/>
        <v>0</v>
      </c>
      <c r="I423" s="337">
        <f t="shared" si="168"/>
        <v>54704.728894150059</v>
      </c>
      <c r="J423" s="340">
        <f t="shared" si="169"/>
        <v>1.5707780468395751</v>
      </c>
      <c r="K423" s="348">
        <f t="shared" si="185"/>
        <v>15.413851547004494</v>
      </c>
      <c r="L423" s="349">
        <f t="shared" si="186"/>
        <v>1.5058740179933423</v>
      </c>
      <c r="M423" s="337">
        <f t="shared" si="170"/>
        <v>1.0815001767868171</v>
      </c>
      <c r="N423" s="340">
        <f t="shared" si="171"/>
        <v>0.39070302279081065</v>
      </c>
      <c r="O423" s="341">
        <f t="shared" si="172"/>
        <v>1.042613299348973</v>
      </c>
      <c r="P423" s="342">
        <f t="shared" si="173"/>
        <v>0.6014852531895315</v>
      </c>
      <c r="Q423" s="343">
        <f t="shared" si="174"/>
        <v>-3.2128731368846024</v>
      </c>
      <c r="R423" s="344">
        <f t="shared" si="175"/>
        <v>-141.33351401082246</v>
      </c>
      <c r="S423" s="346">
        <f t="shared" si="176"/>
        <v>38.666485989177545</v>
      </c>
      <c r="U423" s="319">
        <f t="shared" si="182"/>
        <v>41212.5</v>
      </c>
      <c r="V423" s="319">
        <f t="shared" si="183"/>
        <v>1698470156.25</v>
      </c>
      <c r="X423" s="345">
        <f t="shared" si="177"/>
        <v>26.024418541719079</v>
      </c>
      <c r="Y423" s="346">
        <f t="shared" si="178"/>
        <v>-26.104361205030131</v>
      </c>
      <c r="AA423" s="345">
        <f t="shared" si="179"/>
        <v>34.371829610558947</v>
      </c>
      <c r="AB423" s="346">
        <f t="shared" si="180"/>
        <v>-115.22915280579237</v>
      </c>
      <c r="AD423">
        <f t="shared" si="184"/>
        <v>0</v>
      </c>
      <c r="AE423">
        <f t="shared" si="187"/>
        <v>0</v>
      </c>
    </row>
    <row r="424" spans="1:31" x14ac:dyDescent="0.25">
      <c r="A424" s="347">
        <v>41449.75</v>
      </c>
      <c r="B424" s="364">
        <f t="shared" si="181"/>
        <v>41.449750000000002</v>
      </c>
      <c r="C424" s="337">
        <f t="shared" si="162"/>
        <v>18.003032077747729</v>
      </c>
      <c r="D424" s="338">
        <f t="shared" si="163"/>
        <v>1.5152215246729117</v>
      </c>
      <c r="E424" s="338">
        <f t="shared" si="164"/>
        <v>1.0056295434391156</v>
      </c>
      <c r="F424" s="339">
        <f t="shared" si="165"/>
        <v>0.10586085103032714</v>
      </c>
      <c r="G424" s="338">
        <f t="shared" si="166"/>
        <v>1</v>
      </c>
      <c r="H424" s="339">
        <f t="shared" si="167"/>
        <v>0</v>
      </c>
      <c r="I424" s="337">
        <f t="shared" si="168"/>
        <v>55019.650263293224</v>
      </c>
      <c r="J424" s="340">
        <f t="shared" si="169"/>
        <v>1.5707781514703485</v>
      </c>
      <c r="K424" s="348">
        <f t="shared" si="185"/>
        <v>15.502212800161175</v>
      </c>
      <c r="L424" s="349">
        <f t="shared" si="186"/>
        <v>1.5062445857921454</v>
      </c>
      <c r="M424" s="337">
        <f t="shared" si="170"/>
        <v>1.0824053927859407</v>
      </c>
      <c r="N424" s="340">
        <f t="shared" si="171"/>
        <v>0.39272850539328735</v>
      </c>
      <c r="O424" s="341">
        <f t="shared" si="172"/>
        <v>1.0432054817279475</v>
      </c>
      <c r="P424" s="342">
        <f t="shared" si="173"/>
        <v>0.60504875032208805</v>
      </c>
      <c r="Q424" s="343">
        <f t="shared" si="174"/>
        <v>-3.2744317253109805</v>
      </c>
      <c r="R424" s="344">
        <f t="shared" si="175"/>
        <v>-141.61634517018283</v>
      </c>
      <c r="S424" s="346">
        <f t="shared" si="176"/>
        <v>38.383654829817175</v>
      </c>
      <c r="U424" s="319">
        <f t="shared" si="182"/>
        <v>41449.75</v>
      </c>
      <c r="V424" s="319">
        <f t="shared" si="183"/>
        <v>1718081775.0625</v>
      </c>
      <c r="X424" s="345">
        <f t="shared" si="177"/>
        <v>26.016942828776557</v>
      </c>
      <c r="Y424" s="346">
        <f t="shared" si="178"/>
        <v>-26.199186833744434</v>
      </c>
      <c r="AA424" s="345">
        <f t="shared" si="179"/>
        <v>34.31774673507509</v>
      </c>
      <c r="AB424" s="346">
        <f t="shared" si="180"/>
        <v>-115.41715833643839</v>
      </c>
      <c r="AD424">
        <f t="shared" si="184"/>
        <v>0</v>
      </c>
      <c r="AE424">
        <f t="shared" si="187"/>
        <v>0</v>
      </c>
    </row>
    <row r="425" spans="1:31" x14ac:dyDescent="0.25">
      <c r="A425" s="347">
        <v>41687</v>
      </c>
      <c r="B425" s="364">
        <f t="shared" si="181"/>
        <v>41.686999999999998</v>
      </c>
      <c r="C425" s="337">
        <f t="shared" si="162"/>
        <v>18.105760765137603</v>
      </c>
      <c r="D425" s="338">
        <f t="shared" si="163"/>
        <v>1.5155371679310816</v>
      </c>
      <c r="E425" s="338">
        <f t="shared" si="164"/>
        <v>1.0056939896504256</v>
      </c>
      <c r="F425" s="339">
        <f t="shared" si="165"/>
        <v>0.10646222191783128</v>
      </c>
      <c r="G425" s="338">
        <f t="shared" si="166"/>
        <v>1</v>
      </c>
      <c r="H425" s="339">
        <f t="shared" si="167"/>
        <v>0</v>
      </c>
      <c r="I425" s="337">
        <f t="shared" si="168"/>
        <v>55334.571632436979</v>
      </c>
      <c r="J425" s="340">
        <f t="shared" si="169"/>
        <v>1.5707782549101679</v>
      </c>
      <c r="K425" s="348">
        <f t="shared" si="185"/>
        <v>15.590576157959118</v>
      </c>
      <c r="L425" s="349">
        <f t="shared" si="186"/>
        <v>1.506610953075691</v>
      </c>
      <c r="M425" s="337">
        <f t="shared" si="170"/>
        <v>1.0833150420077129</v>
      </c>
      <c r="N425" s="340">
        <f t="shared" si="171"/>
        <v>0.3947505947234447</v>
      </c>
      <c r="O425" s="341">
        <f t="shared" si="172"/>
        <v>1.0438032629544374</v>
      </c>
      <c r="P425" s="342">
        <f t="shared" si="173"/>
        <v>0.60861325489087081</v>
      </c>
      <c r="Q425" s="343">
        <f t="shared" si="174"/>
        <v>-3.3357749846180185</v>
      </c>
      <c r="R425" s="344">
        <f t="shared" si="175"/>
        <v>-141.89907706308381</v>
      </c>
      <c r="S425" s="346">
        <f t="shared" si="176"/>
        <v>38.100922936916191</v>
      </c>
      <c r="U425" s="319">
        <f t="shared" si="182"/>
        <v>41687</v>
      </c>
      <c r="V425" s="319">
        <f t="shared" si="183"/>
        <v>1737805969</v>
      </c>
      <c r="X425" s="345">
        <f t="shared" si="177"/>
        <v>26.00944118830942</v>
      </c>
      <c r="Y425" s="346">
        <f t="shared" si="178"/>
        <v>-26.294058645835531</v>
      </c>
      <c r="AA425" s="345">
        <f t="shared" si="179"/>
        <v>34.263905116235186</v>
      </c>
      <c r="AB425" s="346">
        <f t="shared" si="180"/>
        <v>-115.60501841724825</v>
      </c>
      <c r="AD425">
        <f t="shared" si="184"/>
        <v>0</v>
      </c>
      <c r="AE425">
        <f t="shared" si="187"/>
        <v>0</v>
      </c>
    </row>
    <row r="426" spans="1:31" x14ac:dyDescent="0.25">
      <c r="A426" s="347">
        <v>41929.75</v>
      </c>
      <c r="B426" s="364">
        <f t="shared" si="181"/>
        <v>41.929749999999999</v>
      </c>
      <c r="C426" s="337">
        <f t="shared" si="162"/>
        <v>18.210872785276901</v>
      </c>
      <c r="D426" s="338">
        <f t="shared" si="163"/>
        <v>1.5158564425756296</v>
      </c>
      <c r="E426" s="338">
        <f t="shared" si="164"/>
        <v>1.005760306275278</v>
      </c>
      <c r="F426" s="339">
        <f t="shared" si="165"/>
        <v>0.10707745396655022</v>
      </c>
      <c r="G426" s="338">
        <f t="shared" si="166"/>
        <v>1</v>
      </c>
      <c r="H426" s="339">
        <f t="shared" si="167"/>
        <v>0</v>
      </c>
      <c r="I426" s="337">
        <f t="shared" si="168"/>
        <v>55656.793602341262</v>
      </c>
      <c r="J426" s="340">
        <f t="shared" si="169"/>
        <v>1.5707783595363585</v>
      </c>
      <c r="K426" s="348">
        <f t="shared" si="185"/>
        <v>15.680990122656858</v>
      </c>
      <c r="L426" s="349">
        <f t="shared" si="186"/>
        <v>1.5069815398492348</v>
      </c>
      <c r="M426" s="337">
        <f t="shared" si="170"/>
        <v>1.0842503559218339</v>
      </c>
      <c r="N426" s="340">
        <f t="shared" si="171"/>
        <v>0.39681604023256839</v>
      </c>
      <c r="O426" s="341">
        <f t="shared" si="172"/>
        <v>1.0444207325775816</v>
      </c>
      <c r="P426" s="342">
        <f t="shared" si="173"/>
        <v>0.61226142102036074</v>
      </c>
      <c r="Q426" s="343">
        <f t="shared" si="174"/>
        <v>-3.3983208765415003</v>
      </c>
      <c r="R426" s="344">
        <f t="shared" si="175"/>
        <v>-142.1882587224807</v>
      </c>
      <c r="S426" s="346">
        <f t="shared" si="176"/>
        <v>37.811741277519303</v>
      </c>
      <c r="U426" s="319">
        <f t="shared" si="182"/>
        <v>41929.75</v>
      </c>
      <c r="V426" s="319">
        <f t="shared" si="183"/>
        <v>1758103935.0625</v>
      </c>
      <c r="X426" s="345">
        <f t="shared" si="177"/>
        <v>26.001738899361875</v>
      </c>
      <c r="Y426" s="346">
        <f t="shared" si="178"/>
        <v>-26.391172893005265</v>
      </c>
      <c r="AA426" s="345">
        <f t="shared" si="179"/>
        <v>34.20906151325925</v>
      </c>
      <c r="AB426" s="346">
        <f t="shared" si="180"/>
        <v>-115.79708582947542</v>
      </c>
      <c r="AD426">
        <f t="shared" si="184"/>
        <v>0</v>
      </c>
      <c r="AE426">
        <f t="shared" si="187"/>
        <v>0</v>
      </c>
    </row>
    <row r="427" spans="1:31" x14ac:dyDescent="0.25">
      <c r="A427" s="347">
        <v>42172.5</v>
      </c>
      <c r="B427" s="364">
        <f t="shared" si="181"/>
        <v>42.172499999999999</v>
      </c>
      <c r="C427" s="337">
        <f t="shared" si="162"/>
        <v>18.315986640458579</v>
      </c>
      <c r="D427" s="338">
        <f t="shared" si="163"/>
        <v>1.5161720526731794</v>
      </c>
      <c r="E427" s="338">
        <f t="shared" si="164"/>
        <v>1.0058270035406565</v>
      </c>
      <c r="F427" s="339">
        <f t="shared" si="165"/>
        <v>0.10769260465493759</v>
      </c>
      <c r="G427" s="338">
        <f t="shared" si="166"/>
        <v>1</v>
      </c>
      <c r="H427" s="339">
        <f t="shared" si="167"/>
        <v>0</v>
      </c>
      <c r="I427" s="337">
        <f t="shared" si="168"/>
        <v>55979.01557224615</v>
      </c>
      <c r="J427" s="340">
        <f t="shared" si="169"/>
        <v>1.5707784629580672</v>
      </c>
      <c r="K427" s="348">
        <f t="shared" si="185"/>
        <v>15.771406216204703</v>
      </c>
      <c r="L427" s="349">
        <f t="shared" si="186"/>
        <v>1.5073478775894367</v>
      </c>
      <c r="M427" s="337">
        <f t="shared" si="170"/>
        <v>1.0851902873338062</v>
      </c>
      <c r="N427" s="340">
        <f t="shared" si="171"/>
        <v>0.39887791657730126</v>
      </c>
      <c r="O427" s="341">
        <f t="shared" si="172"/>
        <v>1.0450441356397975</v>
      </c>
      <c r="P427" s="342">
        <f t="shared" si="173"/>
        <v>0.61591061191943663</v>
      </c>
      <c r="Q427" s="343">
        <f t="shared" si="174"/>
        <v>-3.4606482445122766</v>
      </c>
      <c r="R427" s="344">
        <f t="shared" si="175"/>
        <v>-142.47733267998629</v>
      </c>
      <c r="S427" s="346">
        <f t="shared" si="176"/>
        <v>37.52266732001371</v>
      </c>
      <c r="U427" s="319">
        <f t="shared" si="182"/>
        <v>42172.5</v>
      </c>
      <c r="V427" s="319">
        <f t="shared" si="183"/>
        <v>1778519756.25</v>
      </c>
      <c r="X427" s="345">
        <f t="shared" si="177"/>
        <v>25.994009657785824</v>
      </c>
      <c r="Y427" s="346">
        <f t="shared" si="178"/>
        <v>-26.488326024784826</v>
      </c>
      <c r="AA427" s="345">
        <f t="shared" si="179"/>
        <v>34.154463386864528</v>
      </c>
      <c r="AB427" s="346">
        <f t="shared" si="180"/>
        <v>-115.98900665520148</v>
      </c>
      <c r="AD427">
        <f t="shared" si="184"/>
        <v>0</v>
      </c>
      <c r="AE427">
        <f t="shared" si="187"/>
        <v>0</v>
      </c>
    </row>
    <row r="428" spans="1:31" x14ac:dyDescent="0.25">
      <c r="A428" s="347">
        <v>42415.25</v>
      </c>
      <c r="B428" s="364">
        <f t="shared" si="181"/>
        <v>42.41525</v>
      </c>
      <c r="C428" s="337">
        <f t="shared" si="162"/>
        <v>18.421102299269471</v>
      </c>
      <c r="D428" s="338">
        <f t="shared" si="163"/>
        <v>1.5164840608929204</v>
      </c>
      <c r="E428" s="338">
        <f t="shared" si="164"/>
        <v>1.0058940813708446</v>
      </c>
      <c r="F428" s="339">
        <f t="shared" si="165"/>
        <v>0.10830767353366524</v>
      </c>
      <c r="G428" s="338">
        <f t="shared" si="166"/>
        <v>1</v>
      </c>
      <c r="H428" s="339">
        <f t="shared" si="167"/>
        <v>0</v>
      </c>
      <c r="I428" s="337">
        <f t="shared" si="168"/>
        <v>56301.237542151626</v>
      </c>
      <c r="J428" s="340">
        <f t="shared" si="169"/>
        <v>1.5707785651959743</v>
      </c>
      <c r="K428" s="348">
        <f t="shared" si="185"/>
        <v>15.861824402197827</v>
      </c>
      <c r="L428" s="349">
        <f t="shared" si="186"/>
        <v>1.5077100388602394</v>
      </c>
      <c r="M428" s="337">
        <f t="shared" si="170"/>
        <v>1.0861348242558049</v>
      </c>
      <c r="N428" s="340">
        <f t="shared" si="171"/>
        <v>0.40093621551517328</v>
      </c>
      <c r="O428" s="341">
        <f t="shared" si="172"/>
        <v>1.0456735086777051</v>
      </c>
      <c r="P428" s="342">
        <f t="shared" si="173"/>
        <v>0.61956081199553448</v>
      </c>
      <c r="Q428" s="343">
        <f t="shared" si="174"/>
        <v>-3.522760490803492</v>
      </c>
      <c r="R428" s="344">
        <f t="shared" si="175"/>
        <v>-142.76629702995567</v>
      </c>
      <c r="S428" s="346">
        <f t="shared" si="176"/>
        <v>37.233702970044334</v>
      </c>
      <c r="U428" s="319">
        <f t="shared" si="182"/>
        <v>42415.25</v>
      </c>
      <c r="V428" s="319">
        <f t="shared" si="183"/>
        <v>1799053432.5625</v>
      </c>
      <c r="X428" s="345">
        <f t="shared" si="177"/>
        <v>25.986253563668132</v>
      </c>
      <c r="Y428" s="346">
        <f t="shared" si="178"/>
        <v>-26.585513412492688</v>
      </c>
      <c r="AA428" s="345">
        <f t="shared" si="179"/>
        <v>34.100107234691002</v>
      </c>
      <c r="AB428" s="346">
        <f t="shared" si="180"/>
        <v>-116.18078361746298</v>
      </c>
      <c r="AD428">
        <f t="shared" si="184"/>
        <v>0</v>
      </c>
      <c r="AE428">
        <f t="shared" si="187"/>
        <v>0</v>
      </c>
    </row>
    <row r="429" spans="1:31" x14ac:dyDescent="0.25">
      <c r="A429" s="347">
        <v>42658</v>
      </c>
      <c r="B429" s="364">
        <f t="shared" si="181"/>
        <v>42.658000000000001</v>
      </c>
      <c r="C429" s="337">
        <f t="shared" si="162"/>
        <v>18.526219731008812</v>
      </c>
      <c r="D429" s="338">
        <f t="shared" si="163"/>
        <v>1.5167925284845487</v>
      </c>
      <c r="E429" s="338">
        <f t="shared" si="164"/>
        <v>1.0059615396897137</v>
      </c>
      <c r="F429" s="339">
        <f t="shared" si="165"/>
        <v>0.10892266015377215</v>
      </c>
      <c r="G429" s="338">
        <f t="shared" si="166"/>
        <v>1</v>
      </c>
      <c r="H429" s="339">
        <f t="shared" si="167"/>
        <v>0</v>
      </c>
      <c r="I429" s="337">
        <f t="shared" si="168"/>
        <v>56623.459512057685</v>
      </c>
      <c r="J429" s="340">
        <f t="shared" si="169"/>
        <v>1.5707786662702896</v>
      </c>
      <c r="K429" s="348">
        <f t="shared" si="185"/>
        <v>15.95224464505595</v>
      </c>
      <c r="L429" s="349">
        <f t="shared" si="186"/>
        <v>1.5080680945848024</v>
      </c>
      <c r="M429" s="337">
        <f t="shared" si="170"/>
        <v>1.0870839546830326</v>
      </c>
      <c r="N429" s="340">
        <f t="shared" si="171"/>
        <v>0.40299092895353816</v>
      </c>
      <c r="O429" s="341">
        <f t="shared" si="172"/>
        <v>1.0463088883102536</v>
      </c>
      <c r="P429" s="342">
        <f t="shared" si="173"/>
        <v>0.62321200534549326</v>
      </c>
      <c r="Q429" s="343">
        <f t="shared" si="174"/>
        <v>-3.5846609592370586</v>
      </c>
      <c r="R429" s="344">
        <f t="shared" si="175"/>
        <v>-143.05514987016321</v>
      </c>
      <c r="S429" s="346">
        <f t="shared" si="176"/>
        <v>36.944850129836794</v>
      </c>
      <c r="U429" s="319">
        <f t="shared" si="182"/>
        <v>42658</v>
      </c>
      <c r="V429" s="319">
        <f t="shared" si="183"/>
        <v>1819704964</v>
      </c>
      <c r="X429" s="345">
        <f t="shared" si="177"/>
        <v>25.978470719341082</v>
      </c>
      <c r="Y429" s="346">
        <f t="shared" si="178"/>
        <v>-26.682730530014634</v>
      </c>
      <c r="AA429" s="345">
        <f t="shared" si="179"/>
        <v>34.045989610584485</v>
      </c>
      <c r="AB429" s="346">
        <f t="shared" si="180"/>
        <v>-116.37241934014853</v>
      </c>
      <c r="AD429">
        <f t="shared" si="184"/>
        <v>0</v>
      </c>
      <c r="AE429">
        <f t="shared" si="187"/>
        <v>0</v>
      </c>
    </row>
    <row r="430" spans="1:31" x14ac:dyDescent="0.25">
      <c r="A430" s="347">
        <v>42906.5</v>
      </c>
      <c r="B430" s="364">
        <f t="shared" si="181"/>
        <v>42.906500000000001</v>
      </c>
      <c r="C430" s="337">
        <f t="shared" si="162"/>
        <v>18.633828876112347</v>
      </c>
      <c r="D430" s="338">
        <f t="shared" si="163"/>
        <v>1.5171046977977465</v>
      </c>
      <c r="E430" s="338">
        <f t="shared" si="164"/>
        <v>1.0060309899228519</v>
      </c>
      <c r="F430" s="339">
        <f t="shared" si="165"/>
        <v>0.10955212824048093</v>
      </c>
      <c r="G430" s="338">
        <f t="shared" si="166"/>
        <v>1</v>
      </c>
      <c r="H430" s="339">
        <f t="shared" si="167"/>
        <v>0</v>
      </c>
      <c r="I430" s="337">
        <f t="shared" si="168"/>
        <v>56953.3139282134</v>
      </c>
      <c r="J430" s="340">
        <f t="shared" si="169"/>
        <v>1.5707787685541013</v>
      </c>
      <c r="K430" s="348">
        <f t="shared" si="185"/>
        <v>16.044808759255595</v>
      </c>
      <c r="L430" s="349">
        <f t="shared" si="186"/>
        <v>1.5084304513458118</v>
      </c>
      <c r="M430" s="337">
        <f t="shared" si="170"/>
        <v>1.0880603125401924</v>
      </c>
      <c r="N430" s="340">
        <f t="shared" si="171"/>
        <v>0.40509059003476849</v>
      </c>
      <c r="O430" s="341">
        <f t="shared" si="172"/>
        <v>1.0469655781398493</v>
      </c>
      <c r="P430" s="342">
        <f t="shared" si="173"/>
        <v>0.62695069613820664</v>
      </c>
      <c r="Q430" s="343">
        <f t="shared" si="174"/>
        <v>-3.6478117282395446</v>
      </c>
      <c r="R430" s="344">
        <f t="shared" si="175"/>
        <v>-143.35072725897012</v>
      </c>
      <c r="S430" s="346">
        <f t="shared" si="176"/>
        <v>36.649272741029876</v>
      </c>
      <c r="U430" s="319">
        <f t="shared" si="182"/>
        <v>42906.5</v>
      </c>
      <c r="V430" s="319">
        <f t="shared" si="183"/>
        <v>1840967742.25</v>
      </c>
      <c r="X430" s="345">
        <f t="shared" si="177"/>
        <v>25.970475924338565</v>
      </c>
      <c r="Y430" s="346">
        <f t="shared" si="178"/>
        <v>-26.782276595837605</v>
      </c>
      <c r="AA430" s="345">
        <f t="shared" si="179"/>
        <v>33.990833636584519</v>
      </c>
      <c r="AB430" s="346">
        <f t="shared" si="180"/>
        <v>-116.56845066313258</v>
      </c>
      <c r="AD430">
        <f t="shared" si="184"/>
        <v>0</v>
      </c>
      <c r="AE430">
        <f t="shared" si="187"/>
        <v>0</v>
      </c>
    </row>
    <row r="431" spans="1:31" x14ac:dyDescent="0.25">
      <c r="A431" s="347">
        <v>43155</v>
      </c>
      <c r="B431" s="364">
        <f t="shared" si="181"/>
        <v>43.155000000000001</v>
      </c>
      <c r="C431" s="337">
        <f t="shared" si="162"/>
        <v>18.74143981622391</v>
      </c>
      <c r="D431" s="338">
        <f t="shared" si="163"/>
        <v>1.5174132822685311</v>
      </c>
      <c r="E431" s="338">
        <f t="shared" si="164"/>
        <v>1.0061008387205972</v>
      </c>
      <c r="F431" s="339">
        <f t="shared" si="165"/>
        <v>0.11018150917458765</v>
      </c>
      <c r="G431" s="338">
        <f t="shared" si="166"/>
        <v>1</v>
      </c>
      <c r="H431" s="339">
        <f t="shared" si="167"/>
        <v>0</v>
      </c>
      <c r="I431" s="337">
        <f t="shared" si="168"/>
        <v>57283.168344369697</v>
      </c>
      <c r="J431" s="340">
        <f t="shared" si="169"/>
        <v>1.5707788696599483</v>
      </c>
      <c r="K431" s="348">
        <f t="shared" si="185"/>
        <v>16.13737495600898</v>
      </c>
      <c r="L431" s="349">
        <f t="shared" si="186"/>
        <v>1.5087886510972139</v>
      </c>
      <c r="M431" s="337">
        <f t="shared" si="170"/>
        <v>1.0890414585813823</v>
      </c>
      <c r="N431" s="340">
        <f t="shared" si="171"/>
        <v>0.40718647706245575</v>
      </c>
      <c r="O431" s="341">
        <f t="shared" si="172"/>
        <v>1.0476286404013753</v>
      </c>
      <c r="P431" s="342">
        <f t="shared" si="173"/>
        <v>0.63069039309619146</v>
      </c>
      <c r="Q431" s="343">
        <f t="shared" si="174"/>
        <v>-3.7107474769508753</v>
      </c>
      <c r="R431" s="344">
        <f t="shared" si="175"/>
        <v>-143.64618376821022</v>
      </c>
      <c r="S431" s="346">
        <f t="shared" si="176"/>
        <v>36.353816231789779</v>
      </c>
      <c r="U431" s="319">
        <f t="shared" si="182"/>
        <v>43155</v>
      </c>
      <c r="V431" s="319">
        <f t="shared" si="183"/>
        <v>1862354025</v>
      </c>
      <c r="X431" s="345">
        <f t="shared" si="177"/>
        <v>25.962453320708512</v>
      </c>
      <c r="Y431" s="346">
        <f t="shared" si="178"/>
        <v>-26.881844535934416</v>
      </c>
      <c r="AA431" s="345">
        <f t="shared" si="179"/>
        <v>33.935920491503239</v>
      </c>
      <c r="AB431" s="346">
        <f t="shared" si="180"/>
        <v>-116.76433923227579</v>
      </c>
      <c r="AD431">
        <f t="shared" si="184"/>
        <v>0</v>
      </c>
      <c r="AE431">
        <f t="shared" si="187"/>
        <v>0</v>
      </c>
    </row>
    <row r="432" spans="1:31" x14ac:dyDescent="0.25">
      <c r="A432" s="347">
        <v>43403.5</v>
      </c>
      <c r="B432" s="364">
        <f t="shared" si="181"/>
        <v>43.403500000000001</v>
      </c>
      <c r="C432" s="337">
        <f t="shared" si="162"/>
        <v>18.849052520599916</v>
      </c>
      <c r="D432" s="338">
        <f t="shared" si="163"/>
        <v>1.5177183432371966</v>
      </c>
      <c r="E432" s="338">
        <f t="shared" si="164"/>
        <v>1.006171085999944</v>
      </c>
      <c r="F432" s="339">
        <f t="shared" si="165"/>
        <v>0.11081080247567376</v>
      </c>
      <c r="G432" s="338">
        <f t="shared" si="166"/>
        <v>1</v>
      </c>
      <c r="H432" s="339">
        <f t="shared" si="167"/>
        <v>0</v>
      </c>
      <c r="I432" s="337">
        <f t="shared" si="168"/>
        <v>57613.022760526583</v>
      </c>
      <c r="J432" s="340">
        <f t="shared" si="169"/>
        <v>1.5707789696080638</v>
      </c>
      <c r="K432" s="348">
        <f t="shared" si="185"/>
        <v>16.229943199683063</v>
      </c>
      <c r="L432" s="349">
        <f t="shared" si="186"/>
        <v>1.509142764875393</v>
      </c>
      <c r="M432" s="337">
        <f t="shared" si="170"/>
        <v>1.0900273798769058</v>
      </c>
      <c r="N432" s="340">
        <f t="shared" si="171"/>
        <v>0.40927858183933891</v>
      </c>
      <c r="O432" s="341">
        <f t="shared" si="172"/>
        <v>1.048298114630714</v>
      </c>
      <c r="P432" s="342">
        <f t="shared" si="173"/>
        <v>0.63443107815058764</v>
      </c>
      <c r="Q432" s="343">
        <f t="shared" si="174"/>
        <v>-3.7734716105024768</v>
      </c>
      <c r="R432" s="344">
        <f t="shared" si="175"/>
        <v>-143.94151736608549</v>
      </c>
      <c r="S432" s="346">
        <f t="shared" si="176"/>
        <v>36.058482633914508</v>
      </c>
      <c r="U432" s="319">
        <f t="shared" si="182"/>
        <v>43403.5</v>
      </c>
      <c r="V432" s="319">
        <f t="shared" si="183"/>
        <v>1883863812.25</v>
      </c>
      <c r="X432" s="345">
        <f t="shared" si="177"/>
        <v>25.954403024980031</v>
      </c>
      <c r="Y432" s="346">
        <f t="shared" si="178"/>
        <v>-26.981429811710871</v>
      </c>
      <c r="AA432" s="345">
        <f t="shared" si="179"/>
        <v>33.881246653680122</v>
      </c>
      <c r="AB432" s="346">
        <f t="shared" si="180"/>
        <v>-116.96008755437464</v>
      </c>
      <c r="AD432">
        <f t="shared" si="184"/>
        <v>0</v>
      </c>
      <c r="AE432">
        <f t="shared" si="187"/>
        <v>0</v>
      </c>
    </row>
    <row r="433" spans="1:31" x14ac:dyDescent="0.25">
      <c r="A433" s="347">
        <v>43652</v>
      </c>
      <c r="B433" s="364">
        <f t="shared" si="181"/>
        <v>43.652000000000001</v>
      </c>
      <c r="C433" s="337">
        <f t="shared" si="162"/>
        <v>18.956666959194376</v>
      </c>
      <c r="D433" s="338">
        <f t="shared" si="163"/>
        <v>1.5180199406538111</v>
      </c>
      <c r="E433" s="338">
        <f t="shared" si="164"/>
        <v>1.0062417316774361</v>
      </c>
      <c r="F433" s="339">
        <f t="shared" si="165"/>
        <v>0.11144000766373215</v>
      </c>
      <c r="G433" s="338">
        <f t="shared" si="166"/>
        <v>1</v>
      </c>
      <c r="H433" s="339">
        <f t="shared" si="167"/>
        <v>0</v>
      </c>
      <c r="I433" s="337">
        <f t="shared" si="168"/>
        <v>57942.877176684022</v>
      </c>
      <c r="J433" s="340">
        <f t="shared" si="169"/>
        <v>1.5707790684182199</v>
      </c>
      <c r="K433" s="348">
        <f t="shared" si="185"/>
        <v>16.322513455452359</v>
      </c>
      <c r="L433" s="349">
        <f t="shared" si="186"/>
        <v>1.5094928621094046</v>
      </c>
      <c r="M433" s="337">
        <f t="shared" si="170"/>
        <v>1.0910180634809872</v>
      </c>
      <c r="N433" s="340">
        <f t="shared" si="171"/>
        <v>0.41136689633015094</v>
      </c>
      <c r="O433" s="341">
        <f t="shared" si="172"/>
        <v>1.0489740404436729</v>
      </c>
      <c r="P433" s="342">
        <f t="shared" si="173"/>
        <v>0.63817273289351628</v>
      </c>
      <c r="Q433" s="343">
        <f t="shared" si="174"/>
        <v>-3.8359874753513616</v>
      </c>
      <c r="R433" s="344">
        <f t="shared" si="175"/>
        <v>-144.2367260230447</v>
      </c>
      <c r="S433" s="346">
        <f t="shared" si="176"/>
        <v>35.763273976955304</v>
      </c>
      <c r="U433" s="319">
        <f t="shared" si="182"/>
        <v>43652</v>
      </c>
      <c r="V433" s="319">
        <f t="shared" si="183"/>
        <v>1905497104</v>
      </c>
      <c r="X433" s="345">
        <f t="shared" si="177"/>
        <v>25.946325155780364</v>
      </c>
      <c r="Y433" s="346">
        <f t="shared" si="178"/>
        <v>-27.081027985921061</v>
      </c>
      <c r="AA433" s="345">
        <f t="shared" si="179"/>
        <v>33.826808658030899</v>
      </c>
      <c r="AB433" s="346">
        <f t="shared" si="180"/>
        <v>-117.15569803712363</v>
      </c>
      <c r="AD433">
        <f t="shared" si="184"/>
        <v>0</v>
      </c>
      <c r="AE433">
        <f t="shared" si="187"/>
        <v>0</v>
      </c>
    </row>
    <row r="434" spans="1:31" x14ac:dyDescent="0.25">
      <c r="A434" s="347">
        <v>43906</v>
      </c>
      <c r="B434" s="364">
        <f t="shared" si="181"/>
        <v>43.905999999999999</v>
      </c>
      <c r="C434" s="337">
        <f t="shared" si="162"/>
        <v>19.066664967936457</v>
      </c>
      <c r="D434" s="338">
        <f t="shared" si="163"/>
        <v>1.5183246948751714</v>
      </c>
      <c r="E434" s="338">
        <f t="shared" si="164"/>
        <v>1.0063143525762208</v>
      </c>
      <c r="F434" s="339">
        <f t="shared" si="165"/>
        <v>0.11208304736317284</v>
      </c>
      <c r="G434" s="338">
        <f t="shared" si="166"/>
        <v>1</v>
      </c>
      <c r="H434" s="339">
        <f t="shared" si="167"/>
        <v>0</v>
      </c>
      <c r="I434" s="337">
        <f t="shared" si="168"/>
        <v>58280.032193602085</v>
      </c>
      <c r="J434" s="340">
        <f t="shared" si="169"/>
        <v>1.5707791682594188</v>
      </c>
      <c r="K434" s="348">
        <f t="shared" si="185"/>
        <v>16.417134593834259</v>
      </c>
      <c r="L434" s="349">
        <f t="shared" si="186"/>
        <v>1.5098466277456435</v>
      </c>
      <c r="M434" s="337">
        <f t="shared" si="170"/>
        <v>1.0920355817701557</v>
      </c>
      <c r="N434" s="340">
        <f t="shared" si="171"/>
        <v>0.41349750581594125</v>
      </c>
      <c r="O434" s="341">
        <f t="shared" si="172"/>
        <v>1.0496716350600983</v>
      </c>
      <c r="P434" s="342">
        <f t="shared" si="173"/>
        <v>0.64199818352134708</v>
      </c>
      <c r="Q434" s="343">
        <f t="shared" si="174"/>
        <v>-3.8996751808956147</v>
      </c>
      <c r="R434" s="344">
        <f t="shared" si="175"/>
        <v>-144.53833724284752</v>
      </c>
      <c r="S434" s="346">
        <f t="shared" si="176"/>
        <v>35.461662757152482</v>
      </c>
      <c r="U434" s="319">
        <f t="shared" si="182"/>
        <v>43906</v>
      </c>
      <c r="V434" s="319">
        <f t="shared" si="183"/>
        <v>1927736836</v>
      </c>
      <c r="X434" s="345">
        <f t="shared" si="177"/>
        <v>25.938040130707655</v>
      </c>
      <c r="Y434" s="346">
        <f t="shared" si="178"/>
        <v>-27.182839359949785</v>
      </c>
      <c r="AA434" s="345">
        <f t="shared" si="179"/>
        <v>33.771405977559354</v>
      </c>
      <c r="AB434" s="346">
        <f t="shared" si="180"/>
        <v>-117.35549788289778</v>
      </c>
      <c r="AD434">
        <f t="shared" si="184"/>
        <v>0</v>
      </c>
      <c r="AE434">
        <f t="shared" si="187"/>
        <v>0</v>
      </c>
    </row>
    <row r="435" spans="1:31" x14ac:dyDescent="0.25">
      <c r="A435" s="347">
        <v>44160</v>
      </c>
      <c r="B435" s="364">
        <f t="shared" si="181"/>
        <v>44.16</v>
      </c>
      <c r="C435" s="337">
        <f t="shared" si="162"/>
        <v>19.176664727182569</v>
      </c>
      <c r="D435" s="338">
        <f t="shared" si="163"/>
        <v>1.5186259529072057</v>
      </c>
      <c r="E435" s="338">
        <f t="shared" si="164"/>
        <v>1.0063873895258921</v>
      </c>
      <c r="F435" s="339">
        <f t="shared" si="165"/>
        <v>0.11272599399329156</v>
      </c>
      <c r="G435" s="338">
        <f t="shared" si="166"/>
        <v>1</v>
      </c>
      <c r="H435" s="339">
        <f t="shared" si="167"/>
        <v>0</v>
      </c>
      <c r="I435" s="337">
        <f t="shared" si="168"/>
        <v>58617.1872105207</v>
      </c>
      <c r="J435" s="340">
        <f t="shared" si="169"/>
        <v>1.5707792669520819</v>
      </c>
      <c r="K435" s="348">
        <f t="shared" si="185"/>
        <v>16.511757763274488</v>
      </c>
      <c r="L435" s="349">
        <f t="shared" si="186"/>
        <v>1.5101963388083677</v>
      </c>
      <c r="M435" s="337">
        <f t="shared" si="170"/>
        <v>1.0930580481088188</v>
      </c>
      <c r="N435" s="340">
        <f t="shared" si="171"/>
        <v>0.41562413891899058</v>
      </c>
      <c r="O435" s="341">
        <f t="shared" si="172"/>
        <v>1.0503760539413489</v>
      </c>
      <c r="P435" s="342">
        <f t="shared" si="173"/>
        <v>0.6458246072667545</v>
      </c>
      <c r="Q435" s="343">
        <f t="shared" si="174"/>
        <v>-3.9631521843966802</v>
      </c>
      <c r="R435" s="344">
        <f t="shared" si="175"/>
        <v>-144.83981364796199</v>
      </c>
      <c r="S435" s="346">
        <f t="shared" si="176"/>
        <v>35.160186352038011</v>
      </c>
      <c r="U435" s="319">
        <f t="shared" si="182"/>
        <v>44160</v>
      </c>
      <c r="V435" s="319">
        <f t="shared" si="183"/>
        <v>1950105600</v>
      </c>
      <c r="X435" s="345">
        <f t="shared" si="177"/>
        <v>25.929726555061432</v>
      </c>
      <c r="Y435" s="346">
        <f t="shared" si="178"/>
        <v>-27.284655148173602</v>
      </c>
      <c r="AA435" s="345">
        <f t="shared" si="179"/>
        <v>33.716242549704518</v>
      </c>
      <c r="AB435" s="346">
        <f t="shared" si="180"/>
        <v>-117.55515849978842</v>
      </c>
      <c r="AD435">
        <f t="shared" si="184"/>
        <v>0</v>
      </c>
      <c r="AE435">
        <f t="shared" si="187"/>
        <v>0</v>
      </c>
    </row>
    <row r="436" spans="1:31" x14ac:dyDescent="0.25">
      <c r="A436" s="347">
        <v>44414</v>
      </c>
      <c r="B436" s="364">
        <f t="shared" si="181"/>
        <v>44.414000000000001</v>
      </c>
      <c r="C436" s="337">
        <f t="shared" si="162"/>
        <v>19.286666206981199</v>
      </c>
      <c r="D436" s="338">
        <f t="shared" si="163"/>
        <v>1.5189237745162949</v>
      </c>
      <c r="E436" s="338">
        <f t="shared" si="164"/>
        <v>1.0064608424358741</v>
      </c>
      <c r="F436" s="339">
        <f t="shared" si="165"/>
        <v>0.11336884704284497</v>
      </c>
      <c r="G436" s="338">
        <f t="shared" si="166"/>
        <v>1</v>
      </c>
      <c r="H436" s="339">
        <f t="shared" si="167"/>
        <v>0</v>
      </c>
      <c r="I436" s="337">
        <f t="shared" si="168"/>
        <v>58954.342227439898</v>
      </c>
      <c r="J436" s="340">
        <f t="shared" si="169"/>
        <v>1.5707793645159149</v>
      </c>
      <c r="K436" s="348">
        <f t="shared" si="185"/>
        <v>16.606382929054138</v>
      </c>
      <c r="L436" s="349">
        <f t="shared" si="186"/>
        <v>1.5105420645216414</v>
      </c>
      <c r="M436" s="337">
        <f t="shared" si="170"/>
        <v>1.0940854486245295</v>
      </c>
      <c r="N436" s="340">
        <f t="shared" si="171"/>
        <v>0.41774678757889783</v>
      </c>
      <c r="O436" s="341">
        <f t="shared" si="172"/>
        <v>1.0510873396336036</v>
      </c>
      <c r="P436" s="342">
        <f t="shared" si="173"/>
        <v>0.6496519833788007</v>
      </c>
      <c r="Q436" s="343">
        <f t="shared" si="174"/>
        <v>-4.0264218777153324</v>
      </c>
      <c r="R436" s="344">
        <f t="shared" si="175"/>
        <v>-145.14115307615577</v>
      </c>
      <c r="S436" s="346">
        <f t="shared" si="176"/>
        <v>34.858846923844226</v>
      </c>
      <c r="U436" s="319">
        <f t="shared" si="182"/>
        <v>44414</v>
      </c>
      <c r="V436" s="319">
        <f t="shared" si="183"/>
        <v>1972603396</v>
      </c>
      <c r="X436" s="345">
        <f t="shared" si="177"/>
        <v>25.921384561775124</v>
      </c>
      <c r="Y436" s="346">
        <f t="shared" si="178"/>
        <v>-27.38647092364786</v>
      </c>
      <c r="AA436" s="345">
        <f t="shared" si="179"/>
        <v>33.661314849672173</v>
      </c>
      <c r="AB436" s="346">
        <f t="shared" si="180"/>
        <v>-117.75468215250793</v>
      </c>
      <c r="AD436">
        <f t="shared" si="184"/>
        <v>0</v>
      </c>
      <c r="AE436">
        <f t="shared" si="187"/>
        <v>0</v>
      </c>
    </row>
    <row r="437" spans="1:31" x14ac:dyDescent="0.25">
      <c r="A437" s="347">
        <v>44668</v>
      </c>
      <c r="B437" s="364">
        <f t="shared" si="181"/>
        <v>44.667999999999999</v>
      </c>
      <c r="C437" s="337">
        <f t="shared" si="162"/>
        <v>19.396669378059791</v>
      </c>
      <c r="D437" s="338">
        <f t="shared" si="163"/>
        <v>1.5192182181154918</v>
      </c>
      <c r="E437" s="338">
        <f t="shared" si="164"/>
        <v>1.0065347112151011</v>
      </c>
      <c r="F437" s="339">
        <f t="shared" si="165"/>
        <v>0.11401160600104798</v>
      </c>
      <c r="G437" s="338">
        <f t="shared" si="166"/>
        <v>1</v>
      </c>
      <c r="H437" s="339">
        <f t="shared" si="167"/>
        <v>0</v>
      </c>
      <c r="I437" s="337">
        <f t="shared" si="168"/>
        <v>59291.497244359649</v>
      </c>
      <c r="J437" s="340">
        <f t="shared" si="169"/>
        <v>1.5707794609701744</v>
      </c>
      <c r="K437" s="348">
        <f t="shared" si="185"/>
        <v>16.701010057240424</v>
      </c>
      <c r="L437" s="349">
        <f t="shared" si="186"/>
        <v>1.5108838725445084</v>
      </c>
      <c r="M437" s="337">
        <f t="shared" si="170"/>
        <v>1.0951177694300804</v>
      </c>
      <c r="N437" s="340">
        <f t="shared" si="171"/>
        <v>0.4198654439090555</v>
      </c>
      <c r="O437" s="341">
        <f t="shared" si="172"/>
        <v>1.0518055347583635</v>
      </c>
      <c r="P437" s="342">
        <f t="shared" si="173"/>
        <v>0.65348029073979197</v>
      </c>
      <c r="Q437" s="343">
        <f t="shared" si="174"/>
        <v>-4.0894875941385225</v>
      </c>
      <c r="R437" s="344">
        <f t="shared" si="175"/>
        <v>-145.44235336621767</v>
      </c>
      <c r="S437" s="346">
        <f t="shared" si="176"/>
        <v>34.557646633782326</v>
      </c>
      <c r="U437" s="319">
        <f t="shared" si="182"/>
        <v>44668</v>
      </c>
      <c r="V437" s="319">
        <f t="shared" si="183"/>
        <v>1995230224</v>
      </c>
      <c r="X437" s="345">
        <f t="shared" si="177"/>
        <v>25.91301428571688</v>
      </c>
      <c r="Y437" s="346">
        <f t="shared" si="178"/>
        <v>-27.488282359028901</v>
      </c>
      <c r="AA437" s="345">
        <f t="shared" si="179"/>
        <v>33.606619409307221</v>
      </c>
      <c r="AB437" s="346">
        <f t="shared" si="180"/>
        <v>-117.95407100718877</v>
      </c>
      <c r="AD437">
        <f t="shared" si="184"/>
        <v>0</v>
      </c>
      <c r="AE437">
        <f t="shared" si="187"/>
        <v>0</v>
      </c>
    </row>
    <row r="438" spans="1:31" x14ac:dyDescent="0.25">
      <c r="A438" s="347">
        <v>44928.25</v>
      </c>
      <c r="B438" s="364">
        <f t="shared" si="181"/>
        <v>44.928249999999998</v>
      </c>
      <c r="C438" s="337">
        <f t="shared" si="162"/>
        <v>19.509381044379758</v>
      </c>
      <c r="D438" s="338">
        <f t="shared" si="163"/>
        <v>1.5195164628689688</v>
      </c>
      <c r="E438" s="338">
        <f t="shared" si="164"/>
        <v>1.0066108288805173</v>
      </c>
      <c r="F438" s="339">
        <f t="shared" si="165"/>
        <v>0.11467008275214963</v>
      </c>
      <c r="G438" s="338">
        <f t="shared" si="166"/>
        <v>1</v>
      </c>
      <c r="H438" s="339">
        <f t="shared" si="167"/>
        <v>0</v>
      </c>
      <c r="I438" s="337">
        <f t="shared" si="168"/>
        <v>59636.948398507309</v>
      </c>
      <c r="J438" s="340">
        <f t="shared" si="169"/>
        <v>1.5707795586666322</v>
      </c>
      <c r="K438" s="348">
        <f t="shared" si="185"/>
        <v>16.797967609608133</v>
      </c>
      <c r="L438" s="349">
        <f t="shared" si="186"/>
        <v>1.5112300968738175</v>
      </c>
      <c r="M438" s="337">
        <f t="shared" si="170"/>
        <v>1.0961805806779041</v>
      </c>
      <c r="N438" s="340">
        <f t="shared" si="171"/>
        <v>0.42203208357258315</v>
      </c>
      <c r="O438" s="341">
        <f t="shared" si="172"/>
        <v>1.0525486132009987</v>
      </c>
      <c r="P438" s="342">
        <f t="shared" si="173"/>
        <v>0.65740374201191587</v>
      </c>
      <c r="Q438" s="343">
        <f t="shared" si="174"/>
        <v>-4.1538969825403838</v>
      </c>
      <c r="R438" s="344">
        <f t="shared" si="175"/>
        <v>-145.75081850568495</v>
      </c>
      <c r="S438" s="346">
        <f t="shared" si="176"/>
        <v>34.249181494315053</v>
      </c>
      <c r="U438" s="319">
        <f t="shared" si="182"/>
        <v>44928.25</v>
      </c>
      <c r="V438" s="319">
        <f t="shared" si="183"/>
        <v>2018547648.0625</v>
      </c>
      <c r="X438" s="345">
        <f t="shared" si="177"/>
        <v>25.904408855888938</v>
      </c>
      <c r="Y438" s="346">
        <f t="shared" si="178"/>
        <v>-27.592590072354412</v>
      </c>
      <c r="AA438" s="345">
        <f t="shared" si="179"/>
        <v>33.55081545073331</v>
      </c>
      <c r="AB438" s="346">
        <f t="shared" si="180"/>
        <v>-118.15822843333056</v>
      </c>
      <c r="AD438">
        <f t="shared" si="184"/>
        <v>0</v>
      </c>
      <c r="AE438">
        <f t="shared" si="187"/>
        <v>0</v>
      </c>
    </row>
    <row r="439" spans="1:31" x14ac:dyDescent="0.25">
      <c r="A439" s="347">
        <v>45188.5</v>
      </c>
      <c r="B439" s="364">
        <f t="shared" si="181"/>
        <v>45.188499999999998</v>
      </c>
      <c r="C439" s="337">
        <f t="shared" si="162"/>
        <v>19.62209442612156</v>
      </c>
      <c r="D439" s="338">
        <f t="shared" si="163"/>
        <v>1.5198112812889264</v>
      </c>
      <c r="E439" s="338">
        <f t="shared" si="164"/>
        <v>1.006687382937852</v>
      </c>
      <c r="F439" s="339">
        <f t="shared" si="165"/>
        <v>0.1153284596402787</v>
      </c>
      <c r="G439" s="338">
        <f t="shared" si="166"/>
        <v>1</v>
      </c>
      <c r="H439" s="339">
        <f t="shared" si="167"/>
        <v>0</v>
      </c>
      <c r="I439" s="337">
        <f t="shared" si="168"/>
        <v>59982.399552655545</v>
      </c>
      <c r="J439" s="340">
        <f t="shared" si="169"/>
        <v>1.5707796552377815</v>
      </c>
      <c r="K439" s="348">
        <f t="shared" si="185"/>
        <v>16.89492715245823</v>
      </c>
      <c r="L439" s="349">
        <f t="shared" si="186"/>
        <v>1.5115723472991098</v>
      </c>
      <c r="M439" s="337">
        <f t="shared" si="170"/>
        <v>1.0972485277735662</v>
      </c>
      <c r="N439" s="340">
        <f t="shared" si="171"/>
        <v>0.42419451580941903</v>
      </c>
      <c r="O439" s="341">
        <f t="shared" si="172"/>
        <v>1.0532990361106254</v>
      </c>
      <c r="P439" s="342">
        <f t="shared" si="173"/>
        <v>0.66132812486488968</v>
      </c>
      <c r="Q439" s="343">
        <f t="shared" si="174"/>
        <v>-4.2180991340851888</v>
      </c>
      <c r="R439" s="344">
        <f t="shared" si="175"/>
        <v>-146.05913298374094</v>
      </c>
      <c r="S439" s="346">
        <f t="shared" si="176"/>
        <v>33.940867016259062</v>
      </c>
      <c r="U439" s="319">
        <f t="shared" si="182"/>
        <v>45188.5</v>
      </c>
      <c r="V439" s="319">
        <f t="shared" si="183"/>
        <v>2042000532.25</v>
      </c>
      <c r="X439" s="345">
        <f t="shared" si="177"/>
        <v>25.895774026829447</v>
      </c>
      <c r="Y439" s="346">
        <f t="shared" si="178"/>
        <v>-27.696884341340784</v>
      </c>
      <c r="AA439" s="345">
        <f t="shared" si="179"/>
        <v>33.495248128247994</v>
      </c>
      <c r="AB439" s="346">
        <f t="shared" si="180"/>
        <v>-118.36224864240013</v>
      </c>
      <c r="AD439">
        <f t="shared" si="184"/>
        <v>0</v>
      </c>
      <c r="AE439">
        <f t="shared" si="187"/>
        <v>0</v>
      </c>
    </row>
    <row r="440" spans="1:31" x14ac:dyDescent="0.25">
      <c r="A440" s="347">
        <v>45448.75</v>
      </c>
      <c r="B440" s="364">
        <f t="shared" si="181"/>
        <v>45.448749999999997</v>
      </c>
      <c r="C440" s="337">
        <f t="shared" si="162"/>
        <v>19.734809493892818</v>
      </c>
      <c r="D440" s="338">
        <f t="shared" si="163"/>
        <v>1.5201027320320282</v>
      </c>
      <c r="E440" s="338">
        <f t="shared" si="164"/>
        <v>1.0067643732875557</v>
      </c>
      <c r="F440" s="339">
        <f t="shared" si="165"/>
        <v>0.11598673611752101</v>
      </c>
      <c r="G440" s="338">
        <f t="shared" si="166"/>
        <v>1</v>
      </c>
      <c r="H440" s="339">
        <f t="shared" si="167"/>
        <v>0</v>
      </c>
      <c r="I440" s="337">
        <f t="shared" si="168"/>
        <v>60327.850706804318</v>
      </c>
      <c r="J440" s="340">
        <f t="shared" si="169"/>
        <v>1.5707797507029535</v>
      </c>
      <c r="K440" s="348">
        <f t="shared" si="185"/>
        <v>16.991888651716298</v>
      </c>
      <c r="L440" s="349">
        <f t="shared" si="186"/>
        <v>1.5119106917688583</v>
      </c>
      <c r="M440" s="337">
        <f t="shared" si="170"/>
        <v>1.0983215957356247</v>
      </c>
      <c r="N440" s="340">
        <f t="shared" si="171"/>
        <v>0.42635273269877039</v>
      </c>
      <c r="O440" s="341">
        <f t="shared" si="172"/>
        <v>1.0540568495589739</v>
      </c>
      <c r="P440" s="342">
        <f t="shared" si="173"/>
        <v>0.66525341539221894</v>
      </c>
      <c r="Q440" s="343">
        <f t="shared" si="174"/>
        <v>-4.2820974511885677</v>
      </c>
      <c r="R440" s="344">
        <f t="shared" si="175"/>
        <v>-146.3672944769356</v>
      </c>
      <c r="S440" s="346">
        <f t="shared" si="176"/>
        <v>33.632705523064402</v>
      </c>
      <c r="U440" s="319">
        <f t="shared" si="182"/>
        <v>45448.75</v>
      </c>
      <c r="V440" s="319">
        <f t="shared" si="183"/>
        <v>2065588876.5625</v>
      </c>
      <c r="X440" s="345">
        <f t="shared" si="177"/>
        <v>25.88710994940034</v>
      </c>
      <c r="Y440" s="346">
        <f t="shared" si="178"/>
        <v>-27.801160820106897</v>
      </c>
      <c r="AA440" s="345">
        <f t="shared" si="179"/>
        <v>33.43991388857372</v>
      </c>
      <c r="AB440" s="346">
        <f t="shared" si="180"/>
        <v>-118.5661336568287</v>
      </c>
      <c r="AD440">
        <f t="shared" si="184"/>
        <v>0</v>
      </c>
      <c r="AE440">
        <f t="shared" si="187"/>
        <v>0</v>
      </c>
    </row>
    <row r="441" spans="1:31" x14ac:dyDescent="0.25">
      <c r="A441" s="347">
        <v>45709</v>
      </c>
      <c r="B441" s="364">
        <f t="shared" si="181"/>
        <v>45.709000000000003</v>
      </c>
      <c r="C441" s="337">
        <f t="shared" si="162"/>
        <v>19.847526218968405</v>
      </c>
      <c r="D441" s="338">
        <f t="shared" si="163"/>
        <v>1.5203908724247797</v>
      </c>
      <c r="E441" s="338">
        <f t="shared" si="164"/>
        <v>1.0068417998295427</v>
      </c>
      <c r="F441" s="339">
        <f t="shared" si="165"/>
        <v>0.11664491163647753</v>
      </c>
      <c r="G441" s="338">
        <f t="shared" si="166"/>
        <v>1</v>
      </c>
      <c r="H441" s="339">
        <f t="shared" si="167"/>
        <v>0</v>
      </c>
      <c r="I441" s="337">
        <f t="shared" si="168"/>
        <v>60673.301860953652</v>
      </c>
      <c r="J441" s="340">
        <f t="shared" si="169"/>
        <v>1.5707798450810393</v>
      </c>
      <c r="K441" s="348">
        <f t="shared" si="185"/>
        <v>17.088852074080584</v>
      </c>
      <c r="L441" s="349">
        <f t="shared" si="186"/>
        <v>1.5122451966929806</v>
      </c>
      <c r="M441" s="337">
        <f t="shared" si="170"/>
        <v>1.0993997695694311</v>
      </c>
      <c r="N441" s="340">
        <f t="shared" si="171"/>
        <v>0.42850672650777105</v>
      </c>
      <c r="O441" s="341">
        <f t="shared" si="172"/>
        <v>1.054822099687124</v>
      </c>
      <c r="P441" s="342">
        <f t="shared" si="173"/>
        <v>0.66917958928805854</v>
      </c>
      <c r="Q441" s="343">
        <f t="shared" si="174"/>
        <v>-4.3458952771905004</v>
      </c>
      <c r="R441" s="344">
        <f t="shared" si="175"/>
        <v>-146.67530066159094</v>
      </c>
      <c r="S441" s="346">
        <f t="shared" si="176"/>
        <v>33.324699338409062</v>
      </c>
      <c r="U441" s="319">
        <f t="shared" si="182"/>
        <v>45709</v>
      </c>
      <c r="V441" s="319">
        <f t="shared" si="183"/>
        <v>2089312681</v>
      </c>
      <c r="X441" s="345">
        <f t="shared" si="177"/>
        <v>25.878416776248422</v>
      </c>
      <c r="Y441" s="346">
        <f t="shared" si="178"/>
        <v>-27.905415261666516</v>
      </c>
      <c r="AA441" s="345">
        <f t="shared" si="179"/>
        <v>33.384809235723708</v>
      </c>
      <c r="AB441" s="346">
        <f t="shared" si="180"/>
        <v>-118.76988539992445</v>
      </c>
      <c r="AD441">
        <f t="shared" si="184"/>
        <v>0</v>
      </c>
      <c r="AE441">
        <f t="shared" si="187"/>
        <v>0</v>
      </c>
    </row>
    <row r="442" spans="1:31" x14ac:dyDescent="0.25">
      <c r="A442" s="347">
        <v>45975.25</v>
      </c>
      <c r="B442" s="364">
        <f t="shared" si="181"/>
        <v>45.975250000000003</v>
      </c>
      <c r="C442" s="337">
        <f t="shared" si="162"/>
        <v>19.962843286313191</v>
      </c>
      <c r="D442" s="338">
        <f t="shared" si="163"/>
        <v>1.5206822885391145</v>
      </c>
      <c r="E442" s="338">
        <f t="shared" si="164"/>
        <v>1.006921462709222</v>
      </c>
      <c r="F442" s="339">
        <f t="shared" si="165"/>
        <v>0.1173181561840447</v>
      </c>
      <c r="G442" s="338">
        <f t="shared" si="166"/>
        <v>1</v>
      </c>
      <c r="H442" s="339">
        <f t="shared" si="167"/>
        <v>0</v>
      </c>
      <c r="I442" s="337">
        <f t="shared" si="168"/>
        <v>61026.717306841841</v>
      </c>
      <c r="J442" s="340">
        <f t="shared" si="169"/>
        <v>1.5707799405292711</v>
      </c>
      <c r="K442" s="348">
        <f t="shared" si="185"/>
        <v>17.188052920578414</v>
      </c>
      <c r="L442" s="349">
        <f t="shared" si="186"/>
        <v>1.5125835078847025</v>
      </c>
      <c r="M442" s="337">
        <f t="shared" si="170"/>
        <v>1.1005080685880151</v>
      </c>
      <c r="N442" s="340">
        <f t="shared" si="171"/>
        <v>0.4307060020028643</v>
      </c>
      <c r="O442" s="341">
        <f t="shared" si="172"/>
        <v>1.0556127364869561</v>
      </c>
      <c r="P442" s="342">
        <f t="shared" si="173"/>
        <v>0.67319716854986478</v>
      </c>
      <c r="Q442" s="343">
        <f t="shared" si="174"/>
        <v>-4.4109598944829038</v>
      </c>
      <c r="R442" s="344">
        <f t="shared" si="175"/>
        <v>-146.99024470897783</v>
      </c>
      <c r="S442" s="346">
        <f t="shared" si="176"/>
        <v>33.009755291022174</v>
      </c>
      <c r="U442" s="319">
        <f t="shared" si="182"/>
        <v>45975.25</v>
      </c>
      <c r="V442" s="319">
        <f t="shared" si="183"/>
        <v>2113723612.5625</v>
      </c>
      <c r="X442" s="345">
        <f t="shared" si="177"/>
        <v>25.86949323543891</v>
      </c>
      <c r="Y442" s="346">
        <f t="shared" si="178"/>
        <v>-28.01204613097687</v>
      </c>
      <c r="AA442" s="345">
        <f t="shared" si="179"/>
        <v>33.328668159240813</v>
      </c>
      <c r="AB442" s="346">
        <f t="shared" si="180"/>
        <v>-118.97819857800091</v>
      </c>
      <c r="AD442">
        <f t="shared" si="184"/>
        <v>0</v>
      </c>
      <c r="AE442">
        <f t="shared" si="187"/>
        <v>0</v>
      </c>
    </row>
    <row r="443" spans="1:31" x14ac:dyDescent="0.25">
      <c r="A443" s="347">
        <v>46241.5</v>
      </c>
      <c r="B443" s="364">
        <f t="shared" si="181"/>
        <v>46.241500000000002</v>
      </c>
      <c r="C443" s="337">
        <f t="shared" si="162"/>
        <v>20.078162029495719</v>
      </c>
      <c r="D443" s="338">
        <f t="shared" si="163"/>
        <v>1.5209703571860118</v>
      </c>
      <c r="E443" s="338">
        <f t="shared" si="164"/>
        <v>1.0070015819120013</v>
      </c>
      <c r="F443" s="339">
        <f t="shared" si="165"/>
        <v>0.11799129390712024</v>
      </c>
      <c r="G443" s="338">
        <f t="shared" si="166"/>
        <v>1</v>
      </c>
      <c r="H443" s="339">
        <f t="shared" si="167"/>
        <v>0</v>
      </c>
      <c r="I443" s="337">
        <f t="shared" si="168"/>
        <v>61380.132752730584</v>
      </c>
      <c r="J443" s="340">
        <f t="shared" si="169"/>
        <v>1.5707800348783563</v>
      </c>
      <c r="K443" s="348">
        <f t="shared" si="185"/>
        <v>17.287255711747822</v>
      </c>
      <c r="L443" s="349">
        <f t="shared" si="186"/>
        <v>1.51291793632171</v>
      </c>
      <c r="M443" s="337">
        <f t="shared" si="170"/>
        <v>1.1016216798325724</v>
      </c>
      <c r="N443" s="340">
        <f t="shared" si="171"/>
        <v>0.43290084167326548</v>
      </c>
      <c r="O443" s="341">
        <f t="shared" si="172"/>
        <v>1.0564112547278937</v>
      </c>
      <c r="P443" s="342">
        <f t="shared" si="173"/>
        <v>0.67721561964233057</v>
      </c>
      <c r="Q443" s="343">
        <f t="shared" si="174"/>
        <v>-4.4758215649750674</v>
      </c>
      <c r="R443" s="344">
        <f t="shared" si="175"/>
        <v>-147.30502128186606</v>
      </c>
      <c r="S443" s="346">
        <f t="shared" si="176"/>
        <v>32.694978718133939</v>
      </c>
      <c r="U443" s="319">
        <f t="shared" si="182"/>
        <v>46241.5</v>
      </c>
      <c r="V443" s="319">
        <f t="shared" si="183"/>
        <v>2138276322.25</v>
      </c>
      <c r="X443" s="345">
        <f t="shared" si="177"/>
        <v>25.860539570444949</v>
      </c>
      <c r="Y443" s="346">
        <f t="shared" si="178"/>
        <v>-28.118645248735248</v>
      </c>
      <c r="AA443" s="345">
        <f t="shared" si="179"/>
        <v>33.27276015374261</v>
      </c>
      <c r="AB443" s="346">
        <f t="shared" si="180"/>
        <v>-119.1863760331308</v>
      </c>
      <c r="AD443">
        <f t="shared" si="184"/>
        <v>0</v>
      </c>
      <c r="AE443">
        <f t="shared" si="187"/>
        <v>0</v>
      </c>
    </row>
    <row r="444" spans="1:31" x14ac:dyDescent="0.25">
      <c r="A444" s="347">
        <v>46507.75</v>
      </c>
      <c r="B444" s="364">
        <f t="shared" si="181"/>
        <v>46.507750000000001</v>
      </c>
      <c r="C444" s="337">
        <f t="shared" si="162"/>
        <v>20.19348241980542</v>
      </c>
      <c r="D444" s="338">
        <f t="shared" si="163"/>
        <v>1.5212551356671253</v>
      </c>
      <c r="E444" s="338">
        <f t="shared" si="164"/>
        <v>1.0070821573289712</v>
      </c>
      <c r="F444" s="339">
        <f t="shared" si="165"/>
        <v>0.118664324221256</v>
      </c>
      <c r="G444" s="338">
        <f t="shared" si="166"/>
        <v>1</v>
      </c>
      <c r="H444" s="339">
        <f t="shared" si="167"/>
        <v>0</v>
      </c>
      <c r="I444" s="337">
        <f t="shared" si="168"/>
        <v>61733.548198619857</v>
      </c>
      <c r="J444" s="340">
        <f t="shared" si="169"/>
        <v>1.5707801281471723</v>
      </c>
      <c r="K444" s="348">
        <f t="shared" si="185"/>
        <v>17.386460414301379</v>
      </c>
      <c r="L444" s="349">
        <f t="shared" si="186"/>
        <v>1.5132485483919087</v>
      </c>
      <c r="M444" s="337">
        <f t="shared" si="170"/>
        <v>1.1027405872093241</v>
      </c>
      <c r="N444" s="340">
        <f t="shared" si="171"/>
        <v>0.43509123784323123</v>
      </c>
      <c r="O444" s="341">
        <f t="shared" si="172"/>
        <v>1.0572177040188613</v>
      </c>
      <c r="P444" s="342">
        <f t="shared" si="173"/>
        <v>0.68123491525146085</v>
      </c>
      <c r="Q444" s="343">
        <f t="shared" si="174"/>
        <v>-4.5404836849398649</v>
      </c>
      <c r="R444" s="344">
        <f t="shared" si="175"/>
        <v>-147.61962788945547</v>
      </c>
      <c r="S444" s="346">
        <f t="shared" si="176"/>
        <v>32.380372110544528</v>
      </c>
      <c r="U444" s="319">
        <f t="shared" si="182"/>
        <v>46507.75</v>
      </c>
      <c r="V444" s="319">
        <f t="shared" si="183"/>
        <v>2162970810.0625</v>
      </c>
      <c r="X444" s="345">
        <f t="shared" si="177"/>
        <v>25.851555950000641</v>
      </c>
      <c r="Y444" s="346">
        <f t="shared" si="178"/>
        <v>-28.225208372488716</v>
      </c>
      <c r="AA444" s="345">
        <f t="shared" si="179"/>
        <v>33.217081654222127</v>
      </c>
      <c r="AB444" s="346">
        <f t="shared" si="180"/>
        <v>-119.39441951696679</v>
      </c>
      <c r="AD444">
        <f t="shared" si="184"/>
        <v>0</v>
      </c>
      <c r="AE444">
        <f t="shared" si="187"/>
        <v>0</v>
      </c>
    </row>
    <row r="445" spans="1:31" x14ac:dyDescent="0.25">
      <c r="A445" s="347">
        <v>46774</v>
      </c>
      <c r="B445" s="364">
        <f t="shared" si="181"/>
        <v>46.774000000000001</v>
      </c>
      <c r="C445" s="337">
        <f t="shared" si="162"/>
        <v>20.308804429183429</v>
      </c>
      <c r="D445" s="338">
        <f t="shared" si="163"/>
        <v>1.521536679984739</v>
      </c>
      <c r="E445" s="338">
        <f t="shared" si="164"/>
        <v>1.0071631888506372</v>
      </c>
      <c r="F445" s="339">
        <f t="shared" si="165"/>
        <v>0.11933724654257959</v>
      </c>
      <c r="G445" s="338">
        <f t="shared" si="166"/>
        <v>1</v>
      </c>
      <c r="H445" s="339">
        <f t="shared" si="167"/>
        <v>0</v>
      </c>
      <c r="I445" s="337">
        <f t="shared" si="168"/>
        <v>62086.963644509677</v>
      </c>
      <c r="J445" s="340">
        <f t="shared" si="169"/>
        <v>1.5707802203541668</v>
      </c>
      <c r="K445" s="348">
        <f t="shared" si="185"/>
        <v>17.485666995706445</v>
      </c>
      <c r="L445" s="349">
        <f t="shared" si="186"/>
        <v>1.5135754089799531</v>
      </c>
      <c r="M445" s="337">
        <f t="shared" si="170"/>
        <v>1.103864774613359</v>
      </c>
      <c r="N445" s="340">
        <f t="shared" si="171"/>
        <v>0.43727718303861801</v>
      </c>
      <c r="O445" s="341">
        <f t="shared" si="172"/>
        <v>1.0580321340292078</v>
      </c>
      <c r="P445" s="342">
        <f t="shared" si="173"/>
        <v>0.68525502763257573</v>
      </c>
      <c r="Q445" s="343">
        <f t="shared" si="174"/>
        <v>-4.6049495913919873</v>
      </c>
      <c r="R445" s="344">
        <f t="shared" si="175"/>
        <v>-147.93406203944426</v>
      </c>
      <c r="S445" s="346">
        <f t="shared" si="176"/>
        <v>32.065937960555743</v>
      </c>
      <c r="U445" s="319">
        <f t="shared" si="182"/>
        <v>46774</v>
      </c>
      <c r="V445" s="319">
        <f t="shared" si="183"/>
        <v>2187807076</v>
      </c>
      <c r="X445" s="345">
        <f t="shared" si="177"/>
        <v>25.842542544457178</v>
      </c>
      <c r="Y445" s="346">
        <f t="shared" si="178"/>
        <v>-28.331731357440535</v>
      </c>
      <c r="AA445" s="345">
        <f t="shared" si="179"/>
        <v>33.161629153313463</v>
      </c>
      <c r="AB445" s="346">
        <f t="shared" si="180"/>
        <v>-119.60233068200371</v>
      </c>
      <c r="AD445">
        <f t="shared" si="184"/>
        <v>0</v>
      </c>
      <c r="AE445">
        <f t="shared" si="187"/>
        <v>0</v>
      </c>
    </row>
    <row r="446" spans="1:31" x14ac:dyDescent="0.25">
      <c r="A446" s="347">
        <v>47046.25</v>
      </c>
      <c r="B446" s="364">
        <f t="shared" si="181"/>
        <v>47.046250000000001</v>
      </c>
      <c r="C446" s="337">
        <f t="shared" si="162"/>
        <v>20.426726890046101</v>
      </c>
      <c r="D446" s="338">
        <f t="shared" si="163"/>
        <v>1.5218212816761882</v>
      </c>
      <c r="E446" s="338">
        <f t="shared" si="164"/>
        <v>1.0072465179582095</v>
      </c>
      <c r="F446" s="339">
        <f t="shared" si="165"/>
        <v>0.12002522103219983</v>
      </c>
      <c r="G446" s="338">
        <f t="shared" si="166"/>
        <v>1</v>
      </c>
      <c r="H446" s="339">
        <f t="shared" si="167"/>
        <v>0</v>
      </c>
      <c r="I446" s="337">
        <f t="shared" si="168"/>
        <v>62448.343382138388</v>
      </c>
      <c r="J446" s="340">
        <f t="shared" si="169"/>
        <v>1.570780313559863</v>
      </c>
      <c r="K446" s="348">
        <f t="shared" si="185"/>
        <v>17.587111128096801</v>
      </c>
      <c r="L446" s="349">
        <f t="shared" si="186"/>
        <v>1.5139058222629522</v>
      </c>
      <c r="M446" s="337">
        <f t="shared" si="170"/>
        <v>1.1050197388765401</v>
      </c>
      <c r="N446" s="340">
        <f t="shared" si="171"/>
        <v>0.43950777883386466</v>
      </c>
      <c r="O446" s="341">
        <f t="shared" si="172"/>
        <v>1.0588732217143915</v>
      </c>
      <c r="P446" s="342">
        <f t="shared" si="173"/>
        <v>0.68936654932981922</v>
      </c>
      <c r="Q446" s="343">
        <f t="shared" si="174"/>
        <v>-4.6706687706072412</v>
      </c>
      <c r="R446" s="344">
        <f t="shared" si="175"/>
        <v>-148.25540110008373</v>
      </c>
      <c r="S446" s="346">
        <f t="shared" si="176"/>
        <v>31.744598899916269</v>
      </c>
      <c r="U446" s="319">
        <f t="shared" si="182"/>
        <v>47046.25</v>
      </c>
      <c r="V446" s="319">
        <f t="shared" si="183"/>
        <v>2213349639.0625</v>
      </c>
      <c r="X446" s="345">
        <f t="shared" si="177"/>
        <v>25.833295399521077</v>
      </c>
      <c r="Y446" s="346">
        <f t="shared" si="178"/>
        <v>-28.440609136114322</v>
      </c>
      <c r="AA446" s="345">
        <f t="shared" si="179"/>
        <v>33.10515711903431</v>
      </c>
      <c r="AB446" s="346">
        <f t="shared" si="180"/>
        <v>-119.8147919639694</v>
      </c>
      <c r="AD446">
        <f t="shared" si="184"/>
        <v>0</v>
      </c>
      <c r="AE446">
        <f t="shared" si="187"/>
        <v>0</v>
      </c>
    </row>
    <row r="447" spans="1:31" x14ac:dyDescent="0.25">
      <c r="A447" s="347">
        <v>47318.5</v>
      </c>
      <c r="B447" s="364">
        <f t="shared" si="181"/>
        <v>47.3185</v>
      </c>
      <c r="C447" s="337">
        <f t="shared" si="162"/>
        <v>20.544650986441884</v>
      </c>
      <c r="D447" s="338">
        <f t="shared" si="163"/>
        <v>1.5221026162237496</v>
      </c>
      <c r="E447" s="338">
        <f t="shared" si="164"/>
        <v>1.0073303237255158</v>
      </c>
      <c r="F447" s="339">
        <f t="shared" si="165"/>
        <v>0.1207130813740121</v>
      </c>
      <c r="G447" s="338">
        <f t="shared" si="166"/>
        <v>1</v>
      </c>
      <c r="H447" s="339">
        <f t="shared" si="167"/>
        <v>0</v>
      </c>
      <c r="I447" s="337">
        <f t="shared" si="168"/>
        <v>62809.723119767637</v>
      </c>
      <c r="J447" s="340">
        <f t="shared" si="169"/>
        <v>1.5707804056930295</v>
      </c>
      <c r="K447" s="348">
        <f t="shared" si="185"/>
        <v>17.688557158500746</v>
      </c>
      <c r="L447" s="349">
        <f t="shared" si="186"/>
        <v>1.5142324456604013</v>
      </c>
      <c r="M447" s="337">
        <f t="shared" si="170"/>
        <v>1.1061801897320194</v>
      </c>
      <c r="N447" s="340">
        <f t="shared" si="171"/>
        <v>0.44173370562146241</v>
      </c>
      <c r="O447" s="341">
        <f t="shared" si="172"/>
        <v>1.0597227590792588</v>
      </c>
      <c r="P447" s="342">
        <f t="shared" si="173"/>
        <v>0.69347886498416245</v>
      </c>
      <c r="Q447" s="343">
        <f t="shared" si="174"/>
        <v>-4.7361896659293263</v>
      </c>
      <c r="R447" s="344">
        <f t="shared" si="175"/>
        <v>-148.57655456630835</v>
      </c>
      <c r="S447" s="346">
        <f t="shared" si="176"/>
        <v>31.423445433691654</v>
      </c>
      <c r="U447" s="319">
        <f t="shared" si="182"/>
        <v>47318.5</v>
      </c>
      <c r="V447" s="319">
        <f t="shared" si="183"/>
        <v>2239040442.25</v>
      </c>
      <c r="X447" s="345">
        <f t="shared" si="177"/>
        <v>25.824017477019009</v>
      </c>
      <c r="Y447" s="346">
        <f t="shared" si="178"/>
        <v>-28.549436483350657</v>
      </c>
      <c r="AA447" s="345">
        <f t="shared" si="179"/>
        <v>33.048914146214294</v>
      </c>
      <c r="AB447" s="346">
        <f t="shared" si="180"/>
        <v>-120.02711808295767</v>
      </c>
      <c r="AD447">
        <f t="shared" si="184"/>
        <v>0</v>
      </c>
      <c r="AE447">
        <f t="shared" si="187"/>
        <v>0</v>
      </c>
    </row>
    <row r="448" spans="1:31" x14ac:dyDescent="0.25">
      <c r="A448" s="347">
        <v>47590.75</v>
      </c>
      <c r="B448" s="364">
        <f t="shared" si="181"/>
        <v>47.59075</v>
      </c>
      <c r="C448" s="337">
        <f t="shared" si="162"/>
        <v>20.662576690368152</v>
      </c>
      <c r="D448" s="338">
        <f t="shared" si="163"/>
        <v>1.5223807395213502</v>
      </c>
      <c r="E448" s="338">
        <f t="shared" si="164"/>
        <v>1.0074146060335976</v>
      </c>
      <c r="F448" s="339">
        <f t="shared" si="165"/>
        <v>0.12140082694566068</v>
      </c>
      <c r="G448" s="338">
        <f t="shared" si="166"/>
        <v>1</v>
      </c>
      <c r="H448" s="339">
        <f t="shared" si="167"/>
        <v>0</v>
      </c>
      <c r="I448" s="337">
        <f t="shared" si="168"/>
        <v>63171.102857397418</v>
      </c>
      <c r="J448" s="340">
        <f t="shared" si="169"/>
        <v>1.5707804967720727</v>
      </c>
      <c r="K448" s="348">
        <f t="shared" si="185"/>
        <v>17.790005054448478</v>
      </c>
      <c r="L448" s="349">
        <f t="shared" si="186"/>
        <v>1.5145553439377248</v>
      </c>
      <c r="M448" s="337">
        <f t="shared" si="170"/>
        <v>1.1073461099306618</v>
      </c>
      <c r="N448" s="340">
        <f t="shared" si="171"/>
        <v>0.44395495605708102</v>
      </c>
      <c r="O448" s="341">
        <f t="shared" si="172"/>
        <v>1.0605807993973184</v>
      </c>
      <c r="P448" s="342">
        <f t="shared" si="173"/>
        <v>0.69759194354873788</v>
      </c>
      <c r="Q448" s="343">
        <f t="shared" si="174"/>
        <v>-4.8015156611075103</v>
      </c>
      <c r="R448" s="344">
        <f t="shared" si="175"/>
        <v>-148.89751976687813</v>
      </c>
      <c r="S448" s="346">
        <f t="shared" si="176"/>
        <v>31.102480233121867</v>
      </c>
      <c r="U448" s="319">
        <f t="shared" si="182"/>
        <v>47590.75</v>
      </c>
      <c r="V448" s="319">
        <f t="shared" si="183"/>
        <v>2264879485.5625</v>
      </c>
      <c r="X448" s="345">
        <f t="shared" si="177"/>
        <v>25.814708963824945</v>
      </c>
      <c r="Y448" s="346">
        <f t="shared" si="178"/>
        <v>-28.65820926861959</v>
      </c>
      <c r="AA448" s="345">
        <f t="shared" si="179"/>
        <v>32.992896664230173</v>
      </c>
      <c r="AB448" s="346">
        <f t="shared" si="180"/>
        <v>-120.23931049825853</v>
      </c>
      <c r="AD448">
        <f t="shared" si="184"/>
        <v>0</v>
      </c>
      <c r="AE448">
        <f t="shared" si="187"/>
        <v>0</v>
      </c>
    </row>
    <row r="449" spans="1:31" x14ac:dyDescent="0.25">
      <c r="A449" s="347">
        <v>47863</v>
      </c>
      <c r="B449" s="364">
        <f t="shared" si="181"/>
        <v>47.863</v>
      </c>
      <c r="C449" s="337">
        <f t="shared" si="162"/>
        <v>20.780503974457552</v>
      </c>
      <c r="D449" s="338">
        <f t="shared" si="163"/>
        <v>1.5226557061961608</v>
      </c>
      <c r="E449" s="338">
        <f t="shared" si="164"/>
        <v>1.0074993647628596</v>
      </c>
      <c r="F449" s="339">
        <f t="shared" si="165"/>
        <v>0.12208845712543187</v>
      </c>
      <c r="G449" s="338">
        <f t="shared" si="166"/>
        <v>1</v>
      </c>
      <c r="H449" s="339">
        <f t="shared" si="167"/>
        <v>0</v>
      </c>
      <c r="I449" s="337">
        <f t="shared" si="168"/>
        <v>63532.482595027708</v>
      </c>
      <c r="J449" s="340">
        <f t="shared" si="169"/>
        <v>1.5707805868149809</v>
      </c>
      <c r="K449" s="348">
        <f t="shared" si="185"/>
        <v>17.891454784206061</v>
      </c>
      <c r="L449" s="349">
        <f t="shared" si="186"/>
        <v>1.51487458039454</v>
      </c>
      <c r="M449" s="337">
        <f t="shared" si="170"/>
        <v>1.1085174822147763</v>
      </c>
      <c r="N449" s="340">
        <f t="shared" si="171"/>
        <v>0.44617152301179797</v>
      </c>
      <c r="O449" s="341">
        <f t="shared" si="172"/>
        <v>1.0614473959905397</v>
      </c>
      <c r="P449" s="342">
        <f t="shared" si="173"/>
        <v>0.70170575351497644</v>
      </c>
      <c r="Q449" s="343">
        <f t="shared" si="174"/>
        <v>-4.8666500805238835</v>
      </c>
      <c r="R449" s="344">
        <f t="shared" si="175"/>
        <v>-149.21829402778553</v>
      </c>
      <c r="S449" s="346">
        <f t="shared" si="176"/>
        <v>30.781705972214468</v>
      </c>
      <c r="U449" s="319">
        <f t="shared" si="182"/>
        <v>47863</v>
      </c>
      <c r="V449" s="319">
        <f t="shared" si="183"/>
        <v>2290866769</v>
      </c>
      <c r="X449" s="345">
        <f t="shared" si="177"/>
        <v>25.805370048252307</v>
      </c>
      <c r="Y449" s="346">
        <f t="shared" si="178"/>
        <v>-28.766923457693643</v>
      </c>
      <c r="AA449" s="345">
        <f t="shared" si="179"/>
        <v>32.93710116038644</v>
      </c>
      <c r="AB449" s="346">
        <f t="shared" si="180"/>
        <v>-120.45137057009187</v>
      </c>
      <c r="AD449">
        <f t="shared" si="184"/>
        <v>0</v>
      </c>
      <c r="AE449">
        <f t="shared" si="187"/>
        <v>0</v>
      </c>
    </row>
    <row r="450" spans="1:31" x14ac:dyDescent="0.25">
      <c r="A450" s="347">
        <v>48141.75</v>
      </c>
      <c r="B450" s="364">
        <f t="shared" si="181"/>
        <v>48.141750000000002</v>
      </c>
      <c r="C450" s="337">
        <f t="shared" si="162"/>
        <v>20.90124839526171</v>
      </c>
      <c r="D450" s="338">
        <f t="shared" si="163"/>
        <v>1.5229340229186661</v>
      </c>
      <c r="E450" s="338">
        <f t="shared" si="164"/>
        <v>1.0075866406098271</v>
      </c>
      <c r="F450" s="339">
        <f t="shared" si="165"/>
        <v>0.12279238434881252</v>
      </c>
      <c r="G450" s="338">
        <f t="shared" si="166"/>
        <v>1</v>
      </c>
      <c r="H450" s="339">
        <f t="shared" si="167"/>
        <v>0</v>
      </c>
      <c r="I450" s="337">
        <f t="shared" si="168"/>
        <v>63902.490315375144</v>
      </c>
      <c r="J450" s="340">
        <f t="shared" si="169"/>
        <v>1.5707806779524947</v>
      </c>
      <c r="K450" s="348">
        <f t="shared" si="185"/>
        <v>17.995328505522629</v>
      </c>
      <c r="L450" s="349">
        <f t="shared" si="186"/>
        <v>1.5151977092647291</v>
      </c>
      <c r="M450" s="337">
        <f t="shared" si="170"/>
        <v>1.1097224520087512</v>
      </c>
      <c r="N450" s="340">
        <f t="shared" si="171"/>
        <v>0.44843615099317136</v>
      </c>
      <c r="O450" s="341">
        <f t="shared" si="172"/>
        <v>1.0623436035463922</v>
      </c>
      <c r="P450" s="342">
        <f t="shared" si="173"/>
        <v>0.70591850558181157</v>
      </c>
      <c r="Q450" s="343">
        <f t="shared" si="174"/>
        <v>-4.9331445112446719</v>
      </c>
      <c r="R450" s="344">
        <f t="shared" si="175"/>
        <v>-149.54652618310277</v>
      </c>
      <c r="S450" s="346">
        <f t="shared" si="176"/>
        <v>30.45347381689723</v>
      </c>
      <c r="U450" s="319">
        <f t="shared" si="182"/>
        <v>48141.75</v>
      </c>
      <c r="V450" s="319">
        <f t="shared" si="183"/>
        <v>2317628093.0625</v>
      </c>
      <c r="X450" s="345">
        <f t="shared" si="177"/>
        <v>25.795776863260237</v>
      </c>
      <c r="Y450" s="346">
        <f t="shared" si="178"/>
        <v>-28.878168384614931</v>
      </c>
      <c r="AA450" s="345">
        <f t="shared" si="179"/>
        <v>32.880199914657723</v>
      </c>
      <c r="AB450" s="346">
        <f t="shared" si="180"/>
        <v>-120.66835779848789</v>
      </c>
      <c r="AD450">
        <f t="shared" si="184"/>
        <v>0</v>
      </c>
      <c r="AE450">
        <f t="shared" si="187"/>
        <v>0</v>
      </c>
    </row>
    <row r="451" spans="1:31" x14ac:dyDescent="0.25">
      <c r="A451" s="347">
        <v>48420.5</v>
      </c>
      <c r="B451" s="364">
        <f t="shared" si="181"/>
        <v>48.420499999999997</v>
      </c>
      <c r="C451" s="337">
        <f t="shared" si="162"/>
        <v>21.021994416482304</v>
      </c>
      <c r="D451" s="338">
        <f t="shared" si="163"/>
        <v>1.5232091424740184</v>
      </c>
      <c r="E451" s="338">
        <f t="shared" si="164"/>
        <v>1.0076744156429838</v>
      </c>
      <c r="F451" s="339">
        <f t="shared" si="165"/>
        <v>0.12349618928755599</v>
      </c>
      <c r="G451" s="338">
        <f t="shared" si="166"/>
        <v>1</v>
      </c>
      <c r="H451" s="339">
        <f t="shared" si="167"/>
        <v>0</v>
      </c>
      <c r="I451" s="337">
        <f t="shared" si="168"/>
        <v>64272.498035723103</v>
      </c>
      <c r="J451" s="340">
        <f t="shared" si="169"/>
        <v>1.5707807680406767</v>
      </c>
      <c r="K451" s="348">
        <f t="shared" si="185"/>
        <v>18.09920408420524</v>
      </c>
      <c r="L451" s="349">
        <f t="shared" si="186"/>
        <v>1.515517129143154</v>
      </c>
      <c r="M451" s="337">
        <f t="shared" si="170"/>
        <v>1.1109331006955852</v>
      </c>
      <c r="N451" s="340">
        <f t="shared" si="171"/>
        <v>0.45069585474776463</v>
      </c>
      <c r="O451" s="341">
        <f t="shared" si="172"/>
        <v>1.0632488940866776</v>
      </c>
      <c r="P451" s="342">
        <f t="shared" si="173"/>
        <v>0.71013195606920043</v>
      </c>
      <c r="Q451" s="343">
        <f t="shared" si="174"/>
        <v>-4.9994449772043756</v>
      </c>
      <c r="R451" s="344">
        <f t="shared" si="175"/>
        <v>-149.87455248921947</v>
      </c>
      <c r="S451" s="346">
        <f t="shared" si="176"/>
        <v>30.125447510780532</v>
      </c>
      <c r="U451" s="319">
        <f t="shared" si="182"/>
        <v>48420.5</v>
      </c>
      <c r="V451" s="319">
        <f t="shared" si="183"/>
        <v>2344544820.25</v>
      </c>
      <c r="X451" s="345">
        <f t="shared" si="177"/>
        <v>25.786152210676072</v>
      </c>
      <c r="Y451" s="346">
        <f t="shared" si="178"/>
        <v>-28.9893436235763</v>
      </c>
      <c r="AA451" s="345">
        <f t="shared" si="179"/>
        <v>32.823524101282182</v>
      </c>
      <c r="AB451" s="346">
        <f t="shared" si="180"/>
        <v>-120.88520886564311</v>
      </c>
      <c r="AD451">
        <f t="shared" si="184"/>
        <v>0</v>
      </c>
      <c r="AE451">
        <f t="shared" si="187"/>
        <v>0</v>
      </c>
    </row>
    <row r="452" spans="1:31" x14ac:dyDescent="0.25">
      <c r="A452" s="347">
        <v>48699.25</v>
      </c>
      <c r="B452" s="364">
        <f t="shared" si="181"/>
        <v>48.699249999999999</v>
      </c>
      <c r="C452" s="337">
        <f t="shared" si="162"/>
        <v>21.14274201069944</v>
      </c>
      <c r="D452" s="338">
        <f t="shared" si="163"/>
        <v>1.5234811195979057</v>
      </c>
      <c r="E452" s="338">
        <f t="shared" si="164"/>
        <v>1.0077626897318943</v>
      </c>
      <c r="F452" s="339">
        <f t="shared" si="165"/>
        <v>0.12419987127645889</v>
      </c>
      <c r="G452" s="338">
        <f t="shared" si="166"/>
        <v>1</v>
      </c>
      <c r="H452" s="339">
        <f t="shared" si="167"/>
        <v>0</v>
      </c>
      <c r="I452" s="337">
        <f t="shared" si="168"/>
        <v>64642.50575607158</v>
      </c>
      <c r="J452" s="340">
        <f t="shared" si="169"/>
        <v>1.5707808570975459</v>
      </c>
      <c r="K452" s="348">
        <f t="shared" si="185"/>
        <v>18.203081488456803</v>
      </c>
      <c r="L452" s="349">
        <f t="shared" si="186"/>
        <v>1.5158329034610833</v>
      </c>
      <c r="M452" s="337">
        <f t="shared" si="170"/>
        <v>1.1121494097297189</v>
      </c>
      <c r="N452" s="340">
        <f t="shared" si="171"/>
        <v>0.4529506273170959</v>
      </c>
      <c r="O452" s="341">
        <f t="shared" si="172"/>
        <v>1.0641633249728752</v>
      </c>
      <c r="P452" s="342">
        <f t="shared" si="173"/>
        <v>0.71434606967029046</v>
      </c>
      <c r="Q452" s="343">
        <f t="shared" si="174"/>
        <v>-5.0655548613742951</v>
      </c>
      <c r="R452" s="344">
        <f t="shared" si="175"/>
        <v>-150.20237006543579</v>
      </c>
      <c r="S452" s="346">
        <f t="shared" si="176"/>
        <v>29.797629934564213</v>
      </c>
      <c r="U452" s="319">
        <f t="shared" si="182"/>
        <v>48699.25</v>
      </c>
      <c r="V452" s="319">
        <f t="shared" si="183"/>
        <v>2371616950.5625</v>
      </c>
      <c r="X452" s="345">
        <f t="shared" si="177"/>
        <v>25.776496296827162</v>
      </c>
      <c r="Y452" s="346">
        <f t="shared" si="178"/>
        <v>-29.100445142574589</v>
      </c>
      <c r="AA452" s="345">
        <f t="shared" si="179"/>
        <v>32.767070130961173</v>
      </c>
      <c r="AB452" s="346">
        <f t="shared" si="180"/>
        <v>-121.10192492286122</v>
      </c>
      <c r="AD452">
        <f t="shared" si="184"/>
        <v>0</v>
      </c>
      <c r="AE452">
        <f t="shared" si="187"/>
        <v>0</v>
      </c>
    </row>
    <row r="453" spans="1:31" x14ac:dyDescent="0.25">
      <c r="A453" s="347">
        <v>48978</v>
      </c>
      <c r="B453" s="364">
        <f t="shared" si="181"/>
        <v>48.978000000000002</v>
      </c>
      <c r="C453" s="337">
        <f t="shared" si="162"/>
        <v>21.263491151115701</v>
      </c>
      <c r="D453" s="338">
        <f t="shared" si="163"/>
        <v>1.5237500077845889</v>
      </c>
      <c r="E453" s="338">
        <f t="shared" si="164"/>
        <v>1.0078514627454269</v>
      </c>
      <c r="F453" s="339">
        <f t="shared" si="165"/>
        <v>0.1249034296510373</v>
      </c>
      <c r="G453" s="338">
        <f t="shared" si="166"/>
        <v>1</v>
      </c>
      <c r="H453" s="339">
        <f t="shared" si="167"/>
        <v>0</v>
      </c>
      <c r="I453" s="337">
        <f t="shared" si="168"/>
        <v>65012.51347642055</v>
      </c>
      <c r="J453" s="340">
        <f t="shared" si="169"/>
        <v>1.5707809451407109</v>
      </c>
      <c r="K453" s="348">
        <f t="shared" si="185"/>
        <v>18.306960687201371</v>
      </c>
      <c r="L453" s="349">
        <f t="shared" si="186"/>
        <v>1.5161450942130199</v>
      </c>
      <c r="M453" s="337">
        <f t="shared" si="170"/>
        <v>1.1133713605601148</v>
      </c>
      <c r="N453" s="340">
        <f t="shared" si="171"/>
        <v>0.45520046197357944</v>
      </c>
      <c r="O453" s="341">
        <f t="shared" si="172"/>
        <v>1.0650869535997409</v>
      </c>
      <c r="P453" s="342">
        <f t="shared" si="173"/>
        <v>0.71856081058289067</v>
      </c>
      <c r="Q453" s="343">
        <f t="shared" si="174"/>
        <v>-5.1314774868873574</v>
      </c>
      <c r="R453" s="344">
        <f t="shared" si="175"/>
        <v>-150.52997602702825</v>
      </c>
      <c r="S453" s="346">
        <f t="shared" si="176"/>
        <v>29.470023972971745</v>
      </c>
      <c r="U453" s="319">
        <f t="shared" si="182"/>
        <v>48978</v>
      </c>
      <c r="V453" s="319">
        <f t="shared" si="183"/>
        <v>2398844484</v>
      </c>
      <c r="X453" s="345">
        <f t="shared" si="177"/>
        <v>25.766809329301616</v>
      </c>
      <c r="Y453" s="346">
        <f t="shared" si="178"/>
        <v>-29.211469005133019</v>
      </c>
      <c r="AA453" s="345">
        <f t="shared" si="179"/>
        <v>32.710834472973652</v>
      </c>
      <c r="AB453" s="346">
        <f t="shared" si="180"/>
        <v>-121.31850702189526</v>
      </c>
      <c r="AD453">
        <f t="shared" si="184"/>
        <v>0</v>
      </c>
      <c r="AE453">
        <f t="shared" si="187"/>
        <v>0</v>
      </c>
    </row>
    <row r="454" spans="1:31" x14ac:dyDescent="0.25">
      <c r="A454" s="347">
        <v>49263.25</v>
      </c>
      <c r="B454" s="364">
        <f t="shared" si="181"/>
        <v>49.263249999999999</v>
      </c>
      <c r="C454" s="337">
        <f t="shared" si="162"/>
        <v>21.387057539933981</v>
      </c>
      <c r="D454" s="338">
        <f t="shared" si="163"/>
        <v>1.5240220227336556</v>
      </c>
      <c r="E454" s="338">
        <f t="shared" si="164"/>
        <v>1.0079428221762281</v>
      </c>
      <c r="F454" s="339">
        <f t="shared" si="165"/>
        <v>0.12562326520696504</v>
      </c>
      <c r="G454" s="338">
        <f t="shared" si="166"/>
        <v>1</v>
      </c>
      <c r="H454" s="339">
        <f t="shared" si="167"/>
        <v>0</v>
      </c>
      <c r="I454" s="337">
        <f t="shared" si="168"/>
        <v>65391.149179486711</v>
      </c>
      <c r="J454" s="340">
        <f t="shared" si="169"/>
        <v>1.5707810342054165</v>
      </c>
      <c r="K454" s="348">
        <f t="shared" si="185"/>
        <v>18.413264007225127</v>
      </c>
      <c r="L454" s="349">
        <f t="shared" si="186"/>
        <v>1.5164609180780944</v>
      </c>
      <c r="M454" s="337">
        <f t="shared" si="170"/>
        <v>1.1146276266187534</v>
      </c>
      <c r="N454" s="340">
        <f t="shared" si="171"/>
        <v>0.45749764039250518</v>
      </c>
      <c r="O454" s="341">
        <f t="shared" si="172"/>
        <v>1.0660417016204069</v>
      </c>
      <c r="P454" s="342">
        <f t="shared" si="173"/>
        <v>0.72287444400483458</v>
      </c>
      <c r="Q454" s="343">
        <f t="shared" si="174"/>
        <v>-5.1987468677392918</v>
      </c>
      <c r="R454" s="344">
        <f t="shared" si="175"/>
        <v>-150.86499914278934</v>
      </c>
      <c r="S454" s="346">
        <f t="shared" si="176"/>
        <v>29.135000857210656</v>
      </c>
      <c r="U454" s="319">
        <f t="shared" si="182"/>
        <v>49263.25</v>
      </c>
      <c r="V454" s="319">
        <f t="shared" si="183"/>
        <v>2426867800.5625</v>
      </c>
      <c r="X454" s="345">
        <f t="shared" si="177"/>
        <v>25.75686454685021</v>
      </c>
      <c r="Y454" s="346">
        <f t="shared" si="178"/>
        <v>-29.324997361949176</v>
      </c>
      <c r="AA454" s="345">
        <f t="shared" si="179"/>
        <v>32.653509874573125</v>
      </c>
      <c r="AB454" s="346">
        <f t="shared" si="180"/>
        <v>-121.5400017808402</v>
      </c>
      <c r="AD454">
        <f t="shared" si="184"/>
        <v>0</v>
      </c>
      <c r="AE454">
        <f t="shared" si="187"/>
        <v>0</v>
      </c>
    </row>
    <row r="455" spans="1:31" x14ac:dyDescent="0.25">
      <c r="A455" s="347">
        <v>49548.5</v>
      </c>
      <c r="B455" s="364">
        <f t="shared" si="181"/>
        <v>49.548499999999997</v>
      </c>
      <c r="C455" s="337">
        <f t="shared" si="162"/>
        <v>21.51062549304535</v>
      </c>
      <c r="D455" s="338">
        <f t="shared" si="163"/>
        <v>1.524290912518506</v>
      </c>
      <c r="E455" s="338">
        <f t="shared" si="164"/>
        <v>1.0080347037911077</v>
      </c>
      <c r="F455" s="339">
        <f t="shared" si="165"/>
        <v>0.12634296991080771</v>
      </c>
      <c r="G455" s="338">
        <f t="shared" si="166"/>
        <v>1</v>
      </c>
      <c r="H455" s="339">
        <f t="shared" si="167"/>
        <v>0</v>
      </c>
      <c r="I455" s="337">
        <f t="shared" si="168"/>
        <v>65769.784882553373</v>
      </c>
      <c r="J455" s="340">
        <f t="shared" si="169"/>
        <v>1.5707811222446335</v>
      </c>
      <c r="K455" s="348">
        <f t="shared" si="185"/>
        <v>18.519569142789862</v>
      </c>
      <c r="L455" s="349">
        <f t="shared" si="186"/>
        <v>1.5167731162202447</v>
      </c>
      <c r="M455" s="337">
        <f t="shared" si="170"/>
        <v>1.115889761337564</v>
      </c>
      <c r="N455" s="340">
        <f t="shared" si="171"/>
        <v>0.45978963440499721</v>
      </c>
      <c r="O455" s="341">
        <f t="shared" si="172"/>
        <v>1.0670062030275729</v>
      </c>
      <c r="P455" s="342">
        <f t="shared" si="173"/>
        <v>0.72718865690417911</v>
      </c>
      <c r="Q455" s="343">
        <f t="shared" si="174"/>
        <v>-5.2658270094815194</v>
      </c>
      <c r="R455" s="344">
        <f t="shared" si="175"/>
        <v>-151.19979453396905</v>
      </c>
      <c r="S455" s="346">
        <f t="shared" si="176"/>
        <v>28.800205466030945</v>
      </c>
      <c r="U455" s="319">
        <f t="shared" si="182"/>
        <v>49548.5</v>
      </c>
      <c r="V455" s="319">
        <f t="shared" si="183"/>
        <v>2455053852.25</v>
      </c>
      <c r="X455" s="345">
        <f t="shared" si="177"/>
        <v>25.74688768915232</v>
      </c>
      <c r="Y455" s="346">
        <f t="shared" si="178"/>
        <v>-29.438436354022382</v>
      </c>
      <c r="AA455" s="345">
        <f t="shared" si="179"/>
        <v>32.596406590528787</v>
      </c>
      <c r="AB455" s="346">
        <f t="shared" si="180"/>
        <v>-121.76135817994668</v>
      </c>
      <c r="AD455">
        <f t="shared" si="184"/>
        <v>0</v>
      </c>
      <c r="AE455">
        <f t="shared" si="187"/>
        <v>0</v>
      </c>
    </row>
    <row r="456" spans="1:31" x14ac:dyDescent="0.25">
      <c r="A456" s="347">
        <v>49833.75</v>
      </c>
      <c r="B456" s="364">
        <f t="shared" si="181"/>
        <v>49.833750000000002</v>
      </c>
      <c r="C456" s="337">
        <f t="shared" si="162"/>
        <v>21.634194983645507</v>
      </c>
      <c r="D456" s="338">
        <f t="shared" si="163"/>
        <v>1.5245567306505543</v>
      </c>
      <c r="E456" s="338">
        <f t="shared" si="164"/>
        <v>1.0081271074472891</v>
      </c>
      <c r="F456" s="339">
        <f t="shared" si="165"/>
        <v>0.12706254305286782</v>
      </c>
      <c r="G456" s="338">
        <f t="shared" si="166"/>
        <v>1</v>
      </c>
      <c r="H456" s="339">
        <f t="shared" si="167"/>
        <v>0</v>
      </c>
      <c r="I456" s="337">
        <f t="shared" si="168"/>
        <v>66148.420585620537</v>
      </c>
      <c r="J456" s="340">
        <f t="shared" si="169"/>
        <v>1.5707812092759721</v>
      </c>
      <c r="K456" s="348">
        <f t="shared" si="185"/>
        <v>18.625876062809578</v>
      </c>
      <c r="L456" s="349">
        <f t="shared" si="186"/>
        <v>1.5170817506593699</v>
      </c>
      <c r="M456" s="337">
        <f t="shared" si="170"/>
        <v>1.1171577448257848</v>
      </c>
      <c r="N456" s="340">
        <f t="shared" si="171"/>
        <v>0.46207643754276417</v>
      </c>
      <c r="O456" s="341">
        <f t="shared" si="172"/>
        <v>1.0679805194002303</v>
      </c>
      <c r="P456" s="342">
        <f t="shared" si="173"/>
        <v>0.73150340932678337</v>
      </c>
      <c r="Q456" s="343">
        <f t="shared" si="174"/>
        <v>-5.3327212867345777</v>
      </c>
      <c r="R456" s="344">
        <f t="shared" si="175"/>
        <v>-151.5343590949293</v>
      </c>
      <c r="S456" s="346">
        <f t="shared" si="176"/>
        <v>28.4656409050707</v>
      </c>
      <c r="U456" s="319">
        <f t="shared" si="182"/>
        <v>49833.75</v>
      </c>
      <c r="V456" s="319">
        <f t="shared" si="183"/>
        <v>2483402639.0625</v>
      </c>
      <c r="X456" s="345">
        <f t="shared" si="177"/>
        <v>25.736878982281659</v>
      </c>
      <c r="Y456" s="346">
        <f t="shared" si="178"/>
        <v>-29.551782058277333</v>
      </c>
      <c r="AA456" s="345">
        <f t="shared" si="179"/>
        <v>32.539521020146381</v>
      </c>
      <c r="AB456" s="346">
        <f t="shared" si="180"/>
        <v>-121.98257703665195</v>
      </c>
      <c r="AD456">
        <f t="shared" si="184"/>
        <v>0</v>
      </c>
      <c r="AE456">
        <f t="shared" si="187"/>
        <v>0</v>
      </c>
    </row>
    <row r="457" spans="1:31" x14ac:dyDescent="0.25">
      <c r="A457" s="347">
        <v>50119</v>
      </c>
      <c r="B457" s="364">
        <f t="shared" si="181"/>
        <v>50.119</v>
      </c>
      <c r="C457" s="337">
        <f t="shared" si="162"/>
        <v>21.757765985538747</v>
      </c>
      <c r="D457" s="338">
        <f t="shared" si="163"/>
        <v>1.5248195294273237</v>
      </c>
      <c r="E457" s="338">
        <f t="shared" si="164"/>
        <v>1.0082200330012363</v>
      </c>
      <c r="F457" s="339">
        <f t="shared" si="165"/>
        <v>0.12778198392425219</v>
      </c>
      <c r="G457" s="338">
        <f t="shared" si="166"/>
        <v>1</v>
      </c>
      <c r="H457" s="339">
        <f t="shared" si="167"/>
        <v>0</v>
      </c>
      <c r="I457" s="337">
        <f t="shared" si="168"/>
        <v>66527.056288688211</v>
      </c>
      <c r="J457" s="340">
        <f t="shared" si="169"/>
        <v>1.5707812953166407</v>
      </c>
      <c r="K457" s="348">
        <f t="shared" si="185"/>
        <v>18.732184736903424</v>
      </c>
      <c r="L457" s="349">
        <f t="shared" si="186"/>
        <v>1.5173868820102216</v>
      </c>
      <c r="M457" s="337">
        <f t="shared" si="170"/>
        <v>1.1184315571908892</v>
      </c>
      <c r="N457" s="340">
        <f t="shared" si="171"/>
        <v>0.46435804358394234</v>
      </c>
      <c r="O457" s="341">
        <f t="shared" si="172"/>
        <v>1.0689647123312678</v>
      </c>
      <c r="P457" s="342">
        <f t="shared" si="173"/>
        <v>0.7358186607909124</v>
      </c>
      <c r="Q457" s="343">
        <f t="shared" si="174"/>
        <v>-5.3994330138835034</v>
      </c>
      <c r="R457" s="344">
        <f t="shared" si="175"/>
        <v>-151.86868971481141</v>
      </c>
      <c r="S457" s="346">
        <f t="shared" si="176"/>
        <v>28.13131028518859</v>
      </c>
      <c r="U457" s="319">
        <f t="shared" si="182"/>
        <v>50119</v>
      </c>
      <c r="V457" s="319">
        <f t="shared" si="183"/>
        <v>2511914161</v>
      </c>
      <c r="X457" s="345">
        <f t="shared" si="177"/>
        <v>25.726838653380749</v>
      </c>
      <c r="Y457" s="346">
        <f t="shared" si="178"/>
        <v>-29.665030646244052</v>
      </c>
      <c r="AA457" s="345">
        <f t="shared" si="179"/>
        <v>32.482849621898374</v>
      </c>
      <c r="AB457" s="346">
        <f t="shared" si="180"/>
        <v>-122.20365906856736</v>
      </c>
      <c r="AD457">
        <f t="shared" si="184"/>
        <v>0</v>
      </c>
      <c r="AE457">
        <f t="shared" si="187"/>
        <v>0</v>
      </c>
    </row>
    <row r="458" spans="1:31" x14ac:dyDescent="0.25">
      <c r="A458" s="347">
        <v>50410.75</v>
      </c>
      <c r="B458" s="364">
        <f t="shared" si="181"/>
        <v>50.41075</v>
      </c>
      <c r="C458" s="337">
        <f t="shared" si="162"/>
        <v>21.884154340084464</v>
      </c>
      <c r="D458" s="338">
        <f t="shared" si="163"/>
        <v>1.5250852465381808</v>
      </c>
      <c r="E458" s="338">
        <f t="shared" si="164"/>
        <v>1.0083156157740802</v>
      </c>
      <c r="F458" s="339">
        <f t="shared" si="165"/>
        <v>0.12851768115145024</v>
      </c>
      <c r="G458" s="338">
        <f t="shared" si="166"/>
        <v>1</v>
      </c>
      <c r="H458" s="339">
        <f t="shared" si="167"/>
        <v>0</v>
      </c>
      <c r="I458" s="337">
        <f t="shared" si="168"/>
        <v>66914.319974473066</v>
      </c>
      <c r="J458" s="340">
        <f t="shared" si="169"/>
        <v>1.5707813823106604</v>
      </c>
      <c r="K458" s="348">
        <f t="shared" si="185"/>
        <v>18.840917653365597</v>
      </c>
      <c r="L458" s="349">
        <f t="shared" si="186"/>
        <v>1.5176954044100686</v>
      </c>
      <c r="M458" s="337">
        <f t="shared" si="170"/>
        <v>1.1197404048449049</v>
      </c>
      <c r="N458" s="340">
        <f t="shared" si="171"/>
        <v>0.46668625833394706</v>
      </c>
      <c r="O458" s="341">
        <f t="shared" si="172"/>
        <v>1.0699816130104416</v>
      </c>
      <c r="P458" s="342">
        <f t="shared" si="173"/>
        <v>0.7402327175010025</v>
      </c>
      <c r="Q458" s="343">
        <f t="shared" si="174"/>
        <v>-5.4674794586915851</v>
      </c>
      <c r="R458" s="344">
        <f t="shared" si="175"/>
        <v>-152.21039349006912</v>
      </c>
      <c r="S458" s="346">
        <f t="shared" si="176"/>
        <v>27.789606509930877</v>
      </c>
      <c r="U458" s="319">
        <f t="shared" si="182"/>
        <v>50410.75</v>
      </c>
      <c r="V458" s="319">
        <f t="shared" si="183"/>
        <v>2541243715.5625</v>
      </c>
      <c r="X458" s="345">
        <f t="shared" si="177"/>
        <v>25.716537061910319</v>
      </c>
      <c r="Y458" s="346">
        <f t="shared" si="178"/>
        <v>-29.780755478345355</v>
      </c>
      <c r="AA458" s="345">
        <f t="shared" si="179"/>
        <v>32.425104768560729</v>
      </c>
      <c r="AB458" s="346">
        <f t="shared" si="180"/>
        <v>-122.42963801172372</v>
      </c>
      <c r="AD458">
        <f t="shared" si="184"/>
        <v>0</v>
      </c>
      <c r="AE458">
        <f t="shared" si="187"/>
        <v>0</v>
      </c>
    </row>
    <row r="459" spans="1:31" x14ac:dyDescent="0.25">
      <c r="A459" s="347">
        <v>50702.5</v>
      </c>
      <c r="B459" s="364">
        <f t="shared" si="181"/>
        <v>50.702500000000001</v>
      </c>
      <c r="C459" s="337">
        <f t="shared" si="162"/>
        <v>22.010544222028631</v>
      </c>
      <c r="D459" s="338">
        <f t="shared" si="163"/>
        <v>1.5253479120432456</v>
      </c>
      <c r="E459" s="338">
        <f t="shared" si="164"/>
        <v>1.0084117441945337</v>
      </c>
      <c r="F459" s="339">
        <f t="shared" si="165"/>
        <v>0.12925323851373738</v>
      </c>
      <c r="G459" s="338">
        <f t="shared" si="166"/>
        <v>1</v>
      </c>
      <c r="H459" s="339">
        <f t="shared" si="167"/>
        <v>0</v>
      </c>
      <c r="I459" s="337">
        <f t="shared" si="168"/>
        <v>67301.58366025846</v>
      </c>
      <c r="J459" s="340">
        <f t="shared" si="169"/>
        <v>1.5707814683035262</v>
      </c>
      <c r="K459" s="348">
        <f t="shared" si="185"/>
        <v>18.949652342639663</v>
      </c>
      <c r="L459" s="349">
        <f t="shared" si="186"/>
        <v>1.5180003861840246</v>
      </c>
      <c r="M459" s="337">
        <f t="shared" si="170"/>
        <v>1.1210553079537953</v>
      </c>
      <c r="N459" s="340">
        <f t="shared" si="171"/>
        <v>0.46900902405197092</v>
      </c>
      <c r="O459" s="341">
        <f t="shared" si="172"/>
        <v>1.0710089758431085</v>
      </c>
      <c r="P459" s="342">
        <f t="shared" si="173"/>
        <v>0.74464720892382874</v>
      </c>
      <c r="Q459" s="343">
        <f t="shared" si="174"/>
        <v>-5.5353417648810481</v>
      </c>
      <c r="R459" s="344">
        <f t="shared" si="175"/>
        <v>-152.55184594109156</v>
      </c>
      <c r="S459" s="346">
        <f t="shared" si="176"/>
        <v>27.448154058908443</v>
      </c>
      <c r="U459" s="319">
        <f t="shared" si="182"/>
        <v>50702.5</v>
      </c>
      <c r="V459" s="319">
        <f t="shared" si="183"/>
        <v>2570743506.25</v>
      </c>
      <c r="X459" s="345">
        <f t="shared" si="177"/>
        <v>25.706202874597043</v>
      </c>
      <c r="Y459" s="346">
        <f t="shared" si="178"/>
        <v>-29.896370909470097</v>
      </c>
      <c r="AA459" s="345">
        <f t="shared" si="179"/>
        <v>32.367576649684537</v>
      </c>
      <c r="AB459" s="346">
        <f t="shared" si="180"/>
        <v>-122.65547503162149</v>
      </c>
      <c r="AD459">
        <f t="shared" si="184"/>
        <v>0</v>
      </c>
      <c r="AE459">
        <f t="shared" si="187"/>
        <v>0</v>
      </c>
    </row>
    <row r="460" spans="1:31" x14ac:dyDescent="0.25">
      <c r="A460" s="347">
        <v>50994.25</v>
      </c>
      <c r="B460" s="364">
        <f t="shared" si="181"/>
        <v>50.994250000000001</v>
      </c>
      <c r="C460" s="337">
        <f t="shared" si="162"/>
        <v>22.136935605209398</v>
      </c>
      <c r="D460" s="338">
        <f t="shared" si="163"/>
        <v>1.5256075781756167</v>
      </c>
      <c r="E460" s="338">
        <f t="shared" si="164"/>
        <v>1.0085084181065678</v>
      </c>
      <c r="F460" s="339">
        <f t="shared" si="165"/>
        <v>0.12998865525528389</v>
      </c>
      <c r="G460" s="338">
        <f t="shared" si="166"/>
        <v>1</v>
      </c>
      <c r="H460" s="339">
        <f t="shared" si="167"/>
        <v>0</v>
      </c>
      <c r="I460" s="337">
        <f t="shared" si="168"/>
        <v>67688.84734604432</v>
      </c>
      <c r="J460" s="340">
        <f t="shared" si="169"/>
        <v>1.5707815533124214</v>
      </c>
      <c r="K460" s="348">
        <f t="shared" si="185"/>
        <v>19.058388774382099</v>
      </c>
      <c r="L460" s="349">
        <f t="shared" si="186"/>
        <v>1.5183018878773151</v>
      </c>
      <c r="M460" s="337">
        <f t="shared" si="170"/>
        <v>1.1223762452350281</v>
      </c>
      <c r="N460" s="340">
        <f t="shared" si="171"/>
        <v>0.47132633486955994</v>
      </c>
      <c r="O460" s="341">
        <f t="shared" si="172"/>
        <v>1.0720468667369223</v>
      </c>
      <c r="P460" s="342">
        <f t="shared" si="173"/>
        <v>0.74906209006253888</v>
      </c>
      <c r="Q460" s="343">
        <f t="shared" si="174"/>
        <v>-5.6030232911798796</v>
      </c>
      <c r="R460" s="344">
        <f t="shared" si="175"/>
        <v>-152.89304372155212</v>
      </c>
      <c r="S460" s="346">
        <f t="shared" si="176"/>
        <v>27.106956278447882</v>
      </c>
      <c r="U460" s="319">
        <f t="shared" si="182"/>
        <v>50994.25</v>
      </c>
      <c r="V460" s="319">
        <f t="shared" si="183"/>
        <v>2600413533.0625</v>
      </c>
      <c r="X460" s="345">
        <f t="shared" si="177"/>
        <v>25.695836337471476</v>
      </c>
      <c r="Y460" s="346">
        <f t="shared" si="178"/>
        <v>-30.011873135379254</v>
      </c>
      <c r="AA460" s="345">
        <f t="shared" si="179"/>
        <v>32.310261660511273</v>
      </c>
      <c r="AB460" s="346">
        <f t="shared" si="180"/>
        <v>-122.88117058617287</v>
      </c>
      <c r="AD460">
        <f t="shared" si="184"/>
        <v>0</v>
      </c>
      <c r="AE460">
        <f t="shared" si="187"/>
        <v>0</v>
      </c>
    </row>
    <row r="461" spans="1:31" x14ac:dyDescent="0.25">
      <c r="A461" s="347">
        <v>51286</v>
      </c>
      <c r="B461" s="364">
        <f t="shared" si="181"/>
        <v>51.286000000000001</v>
      </c>
      <c r="C461" s="337">
        <f t="shared" ref="C461:C524" si="188">SQRT(1+(A461/pole1)^2)</f>
        <v>22.263328464058713</v>
      </c>
      <c r="D461" s="338">
        <f t="shared" ref="D461:D524" si="189">ATAN(A461/pole1)</f>
        <v>1.5258642959838857</v>
      </c>
      <c r="E461" s="338">
        <f t="shared" ref="E461:E524" si="190">SQRT(1+(A461/Zero1)^2)</f>
        <v>1.0086056373533279</v>
      </c>
      <c r="F461" s="339">
        <f t="shared" ref="F461:F524" si="191">ATAN(A461/Zero1)</f>
        <v>0.13072393062115739</v>
      </c>
      <c r="G461" s="338">
        <f t="shared" ref="G461:G524" si="192">IF(VIN_nom&gt;Vout, 1, SQRT(1+(A461/z_RHP)^2))</f>
        <v>1</v>
      </c>
      <c r="H461" s="339">
        <f t="shared" ref="H461:H524" si="193">IF(VIN_nom&gt;Vout, 0, -ATAN(A461/z_RHP))</f>
        <v>0</v>
      </c>
      <c r="I461" s="337">
        <f t="shared" ref="I461:I524" si="194">SQRT(1+(A461/Pole2)^2)</f>
        <v>68076.11103183066</v>
      </c>
      <c r="J461" s="340">
        <f t="shared" ref="J461:J524" si="195">ATAN(A461/Pole2)</f>
        <v>1.5707816373541386</v>
      </c>
      <c r="K461" s="348">
        <f t="shared" si="185"/>
        <v>19.167126918937488</v>
      </c>
      <c r="L461" s="349">
        <f t="shared" si="186"/>
        <v>1.5185999686637983</v>
      </c>
      <c r="M461" s="337">
        <f t="shared" ref="M461:M524" si="196">SQRT(1+(A461/pole4)^2)</f>
        <v>1.1237031954087051</v>
      </c>
      <c r="N461" s="340">
        <f t="shared" ref="N461:N524" si="197">ATAN(A461/pole4)</f>
        <v>0.47363818518012835</v>
      </c>
      <c r="O461" s="341">
        <f t="shared" ref="O461:O524" si="198">SQRT((1-(V461/pterm2))^2+(A461/pterm1)^2)</f>
        <v>1.0730953515893435</v>
      </c>
      <c r="P461" s="342">
        <f t="shared" ref="P461:P524" si="199">IF((ATAN((A461/pterm1)/(1-A461^2/pterm2))&gt;0),ATAN((A461/pterm1)/(1-A461^2/pterm2)),PI()+ATAN((A461/pterm1)/(1-A461^2/pterm2)))</f>
        <v>0.75347731536270801</v>
      </c>
      <c r="Q461" s="343">
        <f t="shared" ref="Q461:Q524" si="200">20*LOG10(((E461*K461*G461)/(C461*I461*O461*M461))*Adc)</f>
        <v>-5.6705273357452768</v>
      </c>
      <c r="R461" s="344">
        <f t="shared" ref="R461:R524" si="201">((F461+L461+H461)-(D461+J461+P461+N461))*radconv</f>
        <v>-153.23398347881383</v>
      </c>
      <c r="S461" s="346">
        <f t="shared" ref="S461:S524" si="202">IF(R461&gt;0,R461,R461+180)</f>
        <v>26.766016521186174</v>
      </c>
      <c r="U461" s="319">
        <f t="shared" si="182"/>
        <v>51286</v>
      </c>
      <c r="V461" s="319">
        <f t="shared" si="183"/>
        <v>2630253796</v>
      </c>
      <c r="X461" s="345">
        <f t="shared" ref="X461:X524" si="203">20*LOG10((K461/(I461*M461))*AEA)</f>
        <v>25.685437697427925</v>
      </c>
      <c r="Y461" s="346">
        <f t="shared" ref="Y461:Y524" si="204">(L461-(J461+N461))*radconv</f>
        <v>-30.127258445388943</v>
      </c>
      <c r="AA461" s="345">
        <f t="shared" ref="AA461:AA524" si="205">20*LOG10((E461*G461/(C461*O461))*Acs*Am)</f>
        <v>32.253156255989424</v>
      </c>
      <c r="AB461" s="346">
        <f t="shared" ref="AB461:AB524" si="206">(F461+H461-(D461+P461))*radconv</f>
        <v>-123.10672503342487</v>
      </c>
      <c r="AD461">
        <f t="shared" si="184"/>
        <v>0</v>
      </c>
      <c r="AE461">
        <f t="shared" si="187"/>
        <v>0</v>
      </c>
    </row>
    <row r="462" spans="1:31" x14ac:dyDescent="0.25">
      <c r="A462" s="347">
        <v>51584.75</v>
      </c>
      <c r="B462" s="364">
        <f t="shared" ref="B462:B525" si="207">A462/1000</f>
        <v>51.58475</v>
      </c>
      <c r="C462" s="337">
        <f t="shared" si="188"/>
        <v>22.392755388175047</v>
      </c>
      <c r="D462" s="338">
        <f t="shared" si="189"/>
        <v>1.526124170091721</v>
      </c>
      <c r="E462" s="338">
        <f t="shared" si="190"/>
        <v>1.0087057541489786</v>
      </c>
      <c r="F462" s="339">
        <f t="shared" si="191"/>
        <v>0.13147670026329872</v>
      </c>
      <c r="G462" s="338">
        <f t="shared" si="192"/>
        <v>1</v>
      </c>
      <c r="H462" s="339">
        <f t="shared" si="193"/>
        <v>0</v>
      </c>
      <c r="I462" s="337">
        <f t="shared" si="194"/>
        <v>68472.666391312465</v>
      </c>
      <c r="J462" s="340">
        <f t="shared" si="195"/>
        <v>1.5707817224271579</v>
      </c>
      <c r="K462" s="348">
        <f t="shared" si="185"/>
        <v>19.278475778217363</v>
      </c>
      <c r="L462" s="349">
        <f t="shared" si="186"/>
        <v>1.5189017167474381</v>
      </c>
      <c r="M462" s="337">
        <f t="shared" si="196"/>
        <v>1.1250681920912391</v>
      </c>
      <c r="N462" s="340">
        <f t="shared" si="197"/>
        <v>0.47599983986575817</v>
      </c>
      <c r="O462" s="341">
        <f t="shared" si="198"/>
        <v>1.0741800399888728</v>
      </c>
      <c r="P462" s="342">
        <f t="shared" si="199"/>
        <v>0.75799878428487089</v>
      </c>
      <c r="Q462" s="343">
        <f t="shared" si="200"/>
        <v>-5.7394704771059013</v>
      </c>
      <c r="R462" s="344">
        <f t="shared" si="201"/>
        <v>-153.58283256060545</v>
      </c>
      <c r="S462" s="346">
        <f t="shared" si="202"/>
        <v>26.417167439394547</v>
      </c>
      <c r="U462" s="319">
        <f t="shared" ref="U462:U525" si="208">IF(Q462&lt;0,A462,1000000000)</f>
        <v>51584.75</v>
      </c>
      <c r="V462" s="319">
        <f t="shared" ref="V462:V525" si="209">A462^2</f>
        <v>2660986432.5625</v>
      </c>
      <c r="X462" s="345">
        <f t="shared" si="203"/>
        <v>25.674756552504661</v>
      </c>
      <c r="Y462" s="346">
        <f t="shared" si="204"/>
        <v>-30.245287274333929</v>
      </c>
      <c r="AA462" s="345">
        <f t="shared" si="205"/>
        <v>32.194894259552065</v>
      </c>
      <c r="AB462" s="346">
        <f t="shared" si="206"/>
        <v>-123.33754528627152</v>
      </c>
      <c r="AD462">
        <f t="shared" ref="AD462:AD525" si="210">SUM((Q463&lt;0)*(Q462&gt;0))*A462</f>
        <v>0</v>
      </c>
      <c r="AE462">
        <f t="shared" si="187"/>
        <v>0</v>
      </c>
    </row>
    <row r="463" spans="1:31" x14ac:dyDescent="0.25">
      <c r="A463" s="347">
        <v>51883.5</v>
      </c>
      <c r="B463" s="364">
        <f t="shared" si="207"/>
        <v>51.883499999999998</v>
      </c>
      <c r="C463" s="337">
        <f t="shared" si="188"/>
        <v>22.522183807194903</v>
      </c>
      <c r="D463" s="338">
        <f t="shared" si="189"/>
        <v>1.5263810573753911</v>
      </c>
      <c r="E463" s="338">
        <f t="shared" si="190"/>
        <v>1.0088064424263423</v>
      </c>
      <c r="F463" s="339">
        <f t="shared" si="191"/>
        <v>0.13222932006500965</v>
      </c>
      <c r="G463" s="338">
        <f t="shared" si="192"/>
        <v>1</v>
      </c>
      <c r="H463" s="339">
        <f t="shared" si="193"/>
        <v>0</v>
      </c>
      <c r="I463" s="337">
        <f t="shared" si="194"/>
        <v>68869.221750794764</v>
      </c>
      <c r="J463" s="340">
        <f t="shared" si="195"/>
        <v>1.5707818065204604</v>
      </c>
      <c r="K463" s="348">
        <f t="shared" si="185"/>
        <v>19.389826372678499</v>
      </c>
      <c r="L463" s="349">
        <f t="shared" si="186"/>
        <v>1.5191999991406633</v>
      </c>
      <c r="M463" s="337">
        <f t="shared" si="196"/>
        <v>1.1264394485154179</v>
      </c>
      <c r="N463" s="340">
        <f t="shared" si="197"/>
        <v>0.47835575780544093</v>
      </c>
      <c r="O463" s="341">
        <f t="shared" si="198"/>
        <v>1.0752759766029107</v>
      </c>
      <c r="P463" s="342">
        <f t="shared" si="199"/>
        <v>0.7625205156340924</v>
      </c>
      <c r="Q463" s="343">
        <f t="shared" si="200"/>
        <v>-5.808234328241598</v>
      </c>
      <c r="R463" s="344">
        <f t="shared" si="201"/>
        <v>-153.93140395313446</v>
      </c>
      <c r="S463" s="346">
        <f t="shared" si="202"/>
        <v>26.068596046865537</v>
      </c>
      <c r="U463" s="319">
        <f t="shared" si="208"/>
        <v>51883.5</v>
      </c>
      <c r="V463" s="319">
        <f t="shared" si="209"/>
        <v>2691897572.25</v>
      </c>
      <c r="X463" s="345">
        <f t="shared" si="203"/>
        <v>25.664042272134044</v>
      </c>
      <c r="Y463" s="346">
        <f t="shared" si="204"/>
        <v>-30.3631859252481</v>
      </c>
      <c r="AA463" s="345">
        <f t="shared" si="205"/>
        <v>32.136844688786987</v>
      </c>
      <c r="AB463" s="346">
        <f t="shared" si="206"/>
        <v>-123.56821802788635</v>
      </c>
      <c r="AD463">
        <f t="shared" si="210"/>
        <v>0</v>
      </c>
      <c r="AE463">
        <f t="shared" si="187"/>
        <v>0</v>
      </c>
    </row>
    <row r="464" spans="1:31" x14ac:dyDescent="0.25">
      <c r="A464" s="347">
        <v>52182.25</v>
      </c>
      <c r="B464" s="364">
        <f t="shared" si="207"/>
        <v>52.182250000000003</v>
      </c>
      <c r="C464" s="337">
        <f t="shared" si="188"/>
        <v>22.651613695493225</v>
      </c>
      <c r="D464" s="338">
        <f t="shared" si="189"/>
        <v>1.5266350090002709</v>
      </c>
      <c r="E464" s="338">
        <f t="shared" si="190"/>
        <v>1.0089077020143187</v>
      </c>
      <c r="F464" s="339">
        <f t="shared" si="191"/>
        <v>0.13298178921865761</v>
      </c>
      <c r="G464" s="338">
        <f t="shared" si="192"/>
        <v>1</v>
      </c>
      <c r="H464" s="339">
        <f t="shared" si="193"/>
        <v>0</v>
      </c>
      <c r="I464" s="337">
        <f t="shared" si="194"/>
        <v>69265.77711027753</v>
      </c>
      <c r="J464" s="340">
        <f t="shared" si="195"/>
        <v>1.5707818896508732</v>
      </c>
      <c r="K464" s="348">
        <f t="shared" si="185"/>
        <v>19.501178672597554</v>
      </c>
      <c r="L464" s="349">
        <f t="shared" si="186"/>
        <v>1.519494875157517</v>
      </c>
      <c r="M464" s="337">
        <f t="shared" si="196"/>
        <v>1.127816941848518</v>
      </c>
      <c r="N464" s="340">
        <f t="shared" si="197"/>
        <v>0.48070593381967303</v>
      </c>
      <c r="O464" s="341">
        <f t="shared" si="198"/>
        <v>1.0763832321113302</v>
      </c>
      <c r="P464" s="342">
        <f t="shared" si="199"/>
        <v>0.76704245871610166</v>
      </c>
      <c r="Q464" s="343">
        <f t="shared" si="200"/>
        <v>-5.8768222410927624</v>
      </c>
      <c r="R464" s="344">
        <f t="shared" si="201"/>
        <v>-154.27969403542306</v>
      </c>
      <c r="S464" s="346">
        <f t="shared" si="202"/>
        <v>25.720305964576937</v>
      </c>
      <c r="U464" s="319">
        <f t="shared" si="208"/>
        <v>52182.25</v>
      </c>
      <c r="V464" s="319">
        <f t="shared" si="209"/>
        <v>2722987215.0625</v>
      </c>
      <c r="X464" s="345">
        <f t="shared" si="203"/>
        <v>25.653295123770874</v>
      </c>
      <c r="Y464" s="346">
        <f t="shared" si="204"/>
        <v>-30.480950703887487</v>
      </c>
      <c r="AA464" s="345">
        <f t="shared" si="205"/>
        <v>32.079003924298988</v>
      </c>
      <c r="AB464" s="346">
        <f t="shared" si="206"/>
        <v>-123.79874333153556</v>
      </c>
      <c r="AD464">
        <f t="shared" si="210"/>
        <v>0</v>
      </c>
      <c r="AE464">
        <f t="shared" si="187"/>
        <v>0</v>
      </c>
    </row>
    <row r="465" spans="1:31" x14ac:dyDescent="0.25">
      <c r="A465" s="347">
        <v>52481</v>
      </c>
      <c r="B465" s="364">
        <f t="shared" si="207"/>
        <v>52.481000000000002</v>
      </c>
      <c r="C465" s="337">
        <f t="shared" si="188"/>
        <v>22.781045028027012</v>
      </c>
      <c r="D465" s="338">
        <f t="shared" si="189"/>
        <v>1.5268860749704778</v>
      </c>
      <c r="E465" s="338">
        <f t="shared" si="190"/>
        <v>1.009009532740905</v>
      </c>
      <c r="F465" s="339">
        <f t="shared" si="191"/>
        <v>0.13373410691761559</v>
      </c>
      <c r="G465" s="338">
        <f t="shared" si="192"/>
        <v>1</v>
      </c>
      <c r="H465" s="339">
        <f t="shared" si="193"/>
        <v>0</v>
      </c>
      <c r="I465" s="337">
        <f t="shared" si="194"/>
        <v>69662.33246976079</v>
      </c>
      <c r="J465" s="340">
        <f t="shared" si="195"/>
        <v>1.5707819718348404</v>
      </c>
      <c r="K465" s="348">
        <f t="shared" si="185"/>
        <v>19.612532648925747</v>
      </c>
      <c r="L465" s="349">
        <f t="shared" si="186"/>
        <v>1.5197864027673742</v>
      </c>
      <c r="M465" s="337">
        <f t="shared" si="196"/>
        <v>1.1292006492656308</v>
      </c>
      <c r="N465" s="340">
        <f t="shared" si="197"/>
        <v>0.48305036300788129</v>
      </c>
      <c r="O465" s="341">
        <f t="shared" si="198"/>
        <v>1.0775018771541842</v>
      </c>
      <c r="P465" s="342">
        <f t="shared" si="199"/>
        <v>0.7715645622484818</v>
      </c>
      <c r="Q465" s="343">
        <f t="shared" si="200"/>
        <v>-5.9452375063386338</v>
      </c>
      <c r="R465" s="344">
        <f t="shared" si="201"/>
        <v>-154.62769917920596</v>
      </c>
      <c r="S465" s="346">
        <f t="shared" si="202"/>
        <v>25.372300820794038</v>
      </c>
      <c r="U465" s="319">
        <f t="shared" si="208"/>
        <v>52481</v>
      </c>
      <c r="V465" s="319">
        <f t="shared" si="209"/>
        <v>2754255361</v>
      </c>
      <c r="X465" s="345">
        <f t="shared" si="203"/>
        <v>25.642515375519871</v>
      </c>
      <c r="Y465" s="346">
        <f t="shared" si="204"/>
        <v>-30.598578009011604</v>
      </c>
      <c r="AA465" s="345">
        <f t="shared" si="205"/>
        <v>32.021368407304124</v>
      </c>
      <c r="AB465" s="346">
        <f t="shared" si="206"/>
        <v>-124.02912117019432</v>
      </c>
      <c r="AD465">
        <f t="shared" si="210"/>
        <v>0</v>
      </c>
      <c r="AE465">
        <f t="shared" si="187"/>
        <v>0</v>
      </c>
    </row>
    <row r="466" spans="1:31" x14ac:dyDescent="0.25">
      <c r="A466" s="347">
        <v>52786.5</v>
      </c>
      <c r="B466" s="364">
        <f t="shared" si="207"/>
        <v>52.786499999999997</v>
      </c>
      <c r="C466" s="337">
        <f t="shared" si="188"/>
        <v>22.913402218551333</v>
      </c>
      <c r="D466" s="338">
        <f t="shared" si="189"/>
        <v>1.5271398802900706</v>
      </c>
      <c r="E466" s="338">
        <f t="shared" si="190"/>
        <v>1.009114254706228</v>
      </c>
      <c r="F466" s="339">
        <f t="shared" si="191"/>
        <v>0.13450326512396241</v>
      </c>
      <c r="G466" s="338">
        <f t="shared" si="192"/>
        <v>1</v>
      </c>
      <c r="H466" s="339">
        <f t="shared" si="193"/>
        <v>0</v>
      </c>
      <c r="I466" s="337">
        <f t="shared" si="194"/>
        <v>70067.847657450402</v>
      </c>
      <c r="J466" s="340">
        <f t="shared" si="195"/>
        <v>1.5707820549136635</v>
      </c>
      <c r="K466" s="348">
        <f t="shared" si="185"/>
        <v>19.726404276908724</v>
      </c>
      <c r="L466" s="349">
        <f t="shared" si="186"/>
        <v>1.5200811134814693</v>
      </c>
      <c r="M466" s="337">
        <f t="shared" si="196"/>
        <v>1.130622022865353</v>
      </c>
      <c r="N466" s="340">
        <f t="shared" si="197"/>
        <v>0.48544181468665654</v>
      </c>
      <c r="O466" s="341">
        <f t="shared" si="198"/>
        <v>1.0786576490220101</v>
      </c>
      <c r="P466" s="342">
        <f t="shared" si="199"/>
        <v>0.77618895071841898</v>
      </c>
      <c r="Q466" s="343">
        <f t="shared" si="200"/>
        <v>-6.0150233787108967</v>
      </c>
      <c r="R466" s="344">
        <f t="shared" si="201"/>
        <v>-154.98326874447201</v>
      </c>
      <c r="S466" s="346">
        <f t="shared" si="202"/>
        <v>25.016731255527986</v>
      </c>
      <c r="U466" s="319">
        <f t="shared" si="208"/>
        <v>52786.5</v>
      </c>
      <c r="V466" s="319">
        <f t="shared" si="209"/>
        <v>2786414582.25</v>
      </c>
      <c r="X466" s="345">
        <f t="shared" si="203"/>
        <v>25.631458635000239</v>
      </c>
      <c r="Y466" s="346">
        <f t="shared" si="204"/>
        <v>-30.71871717722318</v>
      </c>
      <c r="AA466" s="345">
        <f t="shared" si="205"/>
        <v>31.962639275451487</v>
      </c>
      <c r="AB466" s="346">
        <f t="shared" si="206"/>
        <v>-124.26455156724882</v>
      </c>
      <c r="AD466">
        <f t="shared" si="210"/>
        <v>0</v>
      </c>
      <c r="AE466">
        <f t="shared" si="187"/>
        <v>0</v>
      </c>
    </row>
    <row r="467" spans="1:31" x14ac:dyDescent="0.25">
      <c r="A467" s="347">
        <v>53092</v>
      </c>
      <c r="B467" s="364">
        <f t="shared" si="207"/>
        <v>53.091999999999999</v>
      </c>
      <c r="C467" s="337">
        <f t="shared" si="188"/>
        <v>23.045760868137229</v>
      </c>
      <c r="D467" s="338">
        <f t="shared" si="189"/>
        <v>1.5273907702670022</v>
      </c>
      <c r="E467" s="338">
        <f t="shared" si="190"/>
        <v>1.009219573543829</v>
      </c>
      <c r="F467" s="339">
        <f t="shared" si="191"/>
        <v>0.13527226325152822</v>
      </c>
      <c r="G467" s="338">
        <f t="shared" si="192"/>
        <v>1</v>
      </c>
      <c r="H467" s="339">
        <f t="shared" si="193"/>
        <v>0</v>
      </c>
      <c r="I467" s="337">
        <f t="shared" si="194"/>
        <v>70473.362845140495</v>
      </c>
      <c r="J467" s="340">
        <f t="shared" si="195"/>
        <v>1.5707821370363884</v>
      </c>
      <c r="K467" s="348">
        <f t="shared" si="185"/>
        <v>19.840277598549751</v>
      </c>
      <c r="L467" s="349">
        <f t="shared" si="186"/>
        <v>1.5203724412349022</v>
      </c>
      <c r="M467" s="337">
        <f t="shared" si="196"/>
        <v>1.1320498462801054</v>
      </c>
      <c r="N467" s="340">
        <f t="shared" si="197"/>
        <v>0.48782724743442257</v>
      </c>
      <c r="O467" s="341">
        <f t="shared" si="198"/>
        <v>1.0798254801590028</v>
      </c>
      <c r="P467" s="342">
        <f t="shared" si="199"/>
        <v>0.7808133966542915</v>
      </c>
      <c r="Q467" s="343">
        <f t="shared" si="200"/>
        <v>-6.0846354828382543</v>
      </c>
      <c r="R467" s="344">
        <f t="shared" si="201"/>
        <v>-155.3385326525453</v>
      </c>
      <c r="S467" s="346">
        <f t="shared" si="202"/>
        <v>24.661467347454703</v>
      </c>
      <c r="U467" s="319">
        <f t="shared" si="208"/>
        <v>53092</v>
      </c>
      <c r="V467" s="319">
        <f t="shared" si="209"/>
        <v>2818760464</v>
      </c>
      <c r="X467" s="345">
        <f t="shared" si="203"/>
        <v>25.620368373649431</v>
      </c>
      <c r="Y467" s="346">
        <f t="shared" si="204"/>
        <v>-30.838705260678385</v>
      </c>
      <c r="AA467" s="345">
        <f t="shared" si="205"/>
        <v>31.904117432674944</v>
      </c>
      <c r="AB467" s="346">
        <f t="shared" si="206"/>
        <v>-124.4998273918669</v>
      </c>
      <c r="AD467">
        <f t="shared" si="210"/>
        <v>0</v>
      </c>
      <c r="AE467">
        <f t="shared" si="187"/>
        <v>0</v>
      </c>
    </row>
    <row r="468" spans="1:31" x14ac:dyDescent="0.25">
      <c r="A468" s="347">
        <v>53397.5</v>
      </c>
      <c r="B468" s="364">
        <f t="shared" si="207"/>
        <v>53.397500000000001</v>
      </c>
      <c r="C468" s="337">
        <f t="shared" si="188"/>
        <v>23.178120951788792</v>
      </c>
      <c r="D468" s="338">
        <f t="shared" si="189"/>
        <v>1.5276387948141441</v>
      </c>
      <c r="E468" s="338">
        <f t="shared" si="190"/>
        <v>1.0093254890668648</v>
      </c>
      <c r="F468" s="339">
        <f t="shared" si="191"/>
        <v>0.13604110044106008</v>
      </c>
      <c r="G468" s="338">
        <f t="shared" si="192"/>
        <v>1</v>
      </c>
      <c r="H468" s="339">
        <f t="shared" si="193"/>
        <v>0</v>
      </c>
      <c r="I468" s="337">
        <f t="shared" si="194"/>
        <v>70878.878032831082</v>
      </c>
      <c r="J468" s="340">
        <f t="shared" si="195"/>
        <v>1.5707822182194255</v>
      </c>
      <c r="K468" s="348">
        <f t="shared" si="185"/>
        <v>19.954152584852981</v>
      </c>
      <c r="L468" s="349">
        <f t="shared" si="186"/>
        <v>1.5206604438957527</v>
      </c>
      <c r="M468" s="337">
        <f t="shared" si="196"/>
        <v>1.1334840951358449</v>
      </c>
      <c r="N468" s="340">
        <f t="shared" si="197"/>
        <v>0.4902066569006529</v>
      </c>
      <c r="O468" s="341">
        <f t="shared" si="198"/>
        <v>1.0810054459258478</v>
      </c>
      <c r="P468" s="342">
        <f t="shared" si="199"/>
        <v>0.78543784335514399</v>
      </c>
      <c r="Q468" s="343">
        <f t="shared" si="200"/>
        <v>-6.1540771468203612</v>
      </c>
      <c r="R468" s="344">
        <f t="shared" si="201"/>
        <v>-155.69348699980551</v>
      </c>
      <c r="S468" s="346">
        <f t="shared" si="202"/>
        <v>24.306513000194485</v>
      </c>
      <c r="U468" s="319">
        <f t="shared" si="208"/>
        <v>53397.5</v>
      </c>
      <c r="V468" s="319">
        <f t="shared" si="209"/>
        <v>2851293006.25</v>
      </c>
      <c r="X468" s="345">
        <f t="shared" si="203"/>
        <v>25.609244879822089</v>
      </c>
      <c r="Y468" s="346">
        <f t="shared" si="204"/>
        <v>-30.958538695453932</v>
      </c>
      <c r="AA468" s="345">
        <f t="shared" si="205"/>
        <v>31.845799262520185</v>
      </c>
      <c r="AB468" s="346">
        <f t="shared" si="206"/>
        <v>-124.73494830435163</v>
      </c>
      <c r="AD468">
        <f t="shared" si="210"/>
        <v>0</v>
      </c>
      <c r="AE468">
        <f t="shared" si="187"/>
        <v>0</v>
      </c>
    </row>
    <row r="469" spans="1:31" x14ac:dyDescent="0.25">
      <c r="A469" s="347">
        <v>53703</v>
      </c>
      <c r="B469" s="364">
        <f t="shared" si="207"/>
        <v>53.703000000000003</v>
      </c>
      <c r="C469" s="337">
        <f t="shared" si="188"/>
        <v>23.310482445077575</v>
      </c>
      <c r="D469" s="338">
        <f t="shared" si="189"/>
        <v>1.5278840027121361</v>
      </c>
      <c r="E469" s="338">
        <f t="shared" si="190"/>
        <v>1.0094320010875122</v>
      </c>
      <c r="F469" s="339">
        <f t="shared" si="191"/>
        <v>0.13680977583442575</v>
      </c>
      <c r="G469" s="338">
        <f t="shared" si="192"/>
        <v>1</v>
      </c>
      <c r="H469" s="339">
        <f t="shared" si="193"/>
        <v>0</v>
      </c>
      <c r="I469" s="337">
        <f t="shared" si="194"/>
        <v>71284.393220522106</v>
      </c>
      <c r="J469" s="340">
        <f t="shared" si="195"/>
        <v>1.5707822984788116</v>
      </c>
      <c r="K469" s="348">
        <f t="shared" si="185"/>
        <v>20.068029207480301</v>
      </c>
      <c r="L469" s="349">
        <f t="shared" si="186"/>
        <v>1.5209451780208396</v>
      </c>
      <c r="M469" s="337">
        <f t="shared" si="196"/>
        <v>1.1349247450723274</v>
      </c>
      <c r="N469" s="340">
        <f t="shared" si="197"/>
        <v>0.4925800390295722</v>
      </c>
      <c r="O469" s="341">
        <f t="shared" si="198"/>
        <v>1.082197621607748</v>
      </c>
      <c r="P469" s="342">
        <f t="shared" si="199"/>
        <v>0.79006223350770155</v>
      </c>
      <c r="Q469" s="343">
        <f t="shared" si="200"/>
        <v>-6.2233516370643214</v>
      </c>
      <c r="R469" s="344">
        <f t="shared" si="201"/>
        <v>-156.04812787460907</v>
      </c>
      <c r="S469" s="346">
        <f t="shared" si="202"/>
        <v>23.951872125390935</v>
      </c>
      <c r="U469" s="319">
        <f t="shared" si="208"/>
        <v>53703</v>
      </c>
      <c r="V469" s="319">
        <f t="shared" si="209"/>
        <v>2884012209</v>
      </c>
      <c r="X469" s="345">
        <f t="shared" si="203"/>
        <v>25.598088442291402</v>
      </c>
      <c r="Y469" s="346">
        <f t="shared" si="204"/>
        <v>-31.078214009622766</v>
      </c>
      <c r="AA469" s="345">
        <f t="shared" si="205"/>
        <v>31.787681209806902</v>
      </c>
      <c r="AB469" s="346">
        <f t="shared" si="206"/>
        <v>-124.96991386498632</v>
      </c>
      <c r="AD469">
        <f t="shared" si="210"/>
        <v>0</v>
      </c>
      <c r="AE469">
        <f t="shared" si="187"/>
        <v>0</v>
      </c>
    </row>
    <row r="470" spans="1:31" x14ac:dyDescent="0.25">
      <c r="A470" s="347">
        <v>54015.75</v>
      </c>
      <c r="B470" s="364">
        <f t="shared" si="207"/>
        <v>54.015749999999997</v>
      </c>
      <c r="C470" s="337">
        <f t="shared" si="188"/>
        <v>23.445986522021631</v>
      </c>
      <c r="D470" s="338">
        <f t="shared" si="189"/>
        <v>1.5281321618502755</v>
      </c>
      <c r="E470" s="338">
        <f t="shared" si="190"/>
        <v>1.0095416585097101</v>
      </c>
      <c r="F470" s="339">
        <f t="shared" si="191"/>
        <v>0.13759652461917796</v>
      </c>
      <c r="G470" s="338">
        <f t="shared" si="192"/>
        <v>1</v>
      </c>
      <c r="H470" s="339">
        <f t="shared" si="193"/>
        <v>0</v>
      </c>
      <c r="I470" s="337">
        <f t="shared" si="194"/>
        <v>71699.531927397766</v>
      </c>
      <c r="J470" s="340">
        <f t="shared" si="195"/>
        <v>1.5707823797024518</v>
      </c>
      <c r="K470" s="348">
        <f t="shared" si="185"/>
        <v>20.184609969266575</v>
      </c>
      <c r="L470" s="349">
        <f t="shared" si="186"/>
        <v>1.5212333412424952</v>
      </c>
      <c r="M470" s="337">
        <f t="shared" si="196"/>
        <v>1.1364061892458555</v>
      </c>
      <c r="N470" s="340">
        <f t="shared" si="197"/>
        <v>0.49500349776457953</v>
      </c>
      <c r="O470" s="341">
        <f t="shared" si="198"/>
        <v>1.0834308160210331</v>
      </c>
      <c r="P470" s="342">
        <f t="shared" si="199"/>
        <v>0.79479624872923849</v>
      </c>
      <c r="Q470" s="343">
        <f t="shared" si="200"/>
        <v>-6.2941002960638865</v>
      </c>
      <c r="R470" s="344">
        <f t="shared" si="201"/>
        <v>-156.41085612842801</v>
      </c>
      <c r="S470" s="346">
        <f t="shared" si="202"/>
        <v>23.589143871571991</v>
      </c>
      <c r="U470" s="319">
        <f t="shared" si="208"/>
        <v>54015.75</v>
      </c>
      <c r="V470" s="319">
        <f t="shared" si="209"/>
        <v>2917701248.0625</v>
      </c>
      <c r="X470" s="345">
        <f t="shared" si="203"/>
        <v>25.586633420965459</v>
      </c>
      <c r="Y470" s="346">
        <f t="shared" si="204"/>
        <v>-31.200562084462643</v>
      </c>
      <c r="AA470" s="345">
        <f t="shared" si="205"/>
        <v>31.728387572133286</v>
      </c>
      <c r="AB470" s="346">
        <f t="shared" si="206"/>
        <v>-125.21029404396538</v>
      </c>
      <c r="AD470">
        <f t="shared" si="210"/>
        <v>0</v>
      </c>
      <c r="AE470">
        <f t="shared" si="187"/>
        <v>0</v>
      </c>
    </row>
    <row r="471" spans="1:31" x14ac:dyDescent="0.25">
      <c r="A471" s="347">
        <v>54328.5</v>
      </c>
      <c r="B471" s="364">
        <f t="shared" si="207"/>
        <v>54.328499999999998</v>
      </c>
      <c r="C471" s="337">
        <f t="shared" si="188"/>
        <v>23.581492026245247</v>
      </c>
      <c r="D471" s="338">
        <f t="shared" si="189"/>
        <v>1.5283774690269962</v>
      </c>
      <c r="E471" s="338">
        <f t="shared" si="190"/>
        <v>1.0096519406756324</v>
      </c>
      <c r="F471" s="339">
        <f t="shared" si="191"/>
        <v>0.13838310202086992</v>
      </c>
      <c r="G471" s="338">
        <f t="shared" si="192"/>
        <v>1</v>
      </c>
      <c r="H471" s="339">
        <f t="shared" si="193"/>
        <v>0</v>
      </c>
      <c r="I471" s="337">
        <f t="shared" si="194"/>
        <v>72114.670634273905</v>
      </c>
      <c r="J471" s="340">
        <f t="shared" si="195"/>
        <v>1.5707824599909408</v>
      </c>
      <c r="K471" s="348">
        <f t="shared" ref="K471:K534" si="211">SQRT(1+(A471/Zero2)^2)</f>
        <v>20.301192387893174</v>
      </c>
      <c r="L471" s="349">
        <f t="shared" ref="L471:L534" si="212">ATAN(A471/Zero2)</f>
        <v>1.5215181948528835</v>
      </c>
      <c r="M471" s="337">
        <f t="shared" si="196"/>
        <v>1.1378942903043705</v>
      </c>
      <c r="N471" s="340">
        <f t="shared" si="197"/>
        <v>0.49742063202425846</v>
      </c>
      <c r="O471" s="341">
        <f t="shared" si="198"/>
        <v>1.0846769661443374</v>
      </c>
      <c r="P471" s="342">
        <f t="shared" si="199"/>
        <v>0.79953008119935498</v>
      </c>
      <c r="Q471" s="343">
        <f t="shared" si="200"/>
        <v>-6.3646804876172389</v>
      </c>
      <c r="R471" s="344">
        <f t="shared" si="201"/>
        <v>-156.77324753296816</v>
      </c>
      <c r="S471" s="346">
        <f t="shared" si="202"/>
        <v>23.226752467031844</v>
      </c>
      <c r="U471" s="319">
        <f t="shared" si="208"/>
        <v>54328.5</v>
      </c>
      <c r="V471" s="319">
        <f t="shared" si="209"/>
        <v>2951585912.25</v>
      </c>
      <c r="X471" s="345">
        <f t="shared" si="203"/>
        <v>25.575144487290284</v>
      </c>
      <c r="Y471" s="346">
        <f t="shared" si="204"/>
        <v>-31.322737366735581</v>
      </c>
      <c r="AA471" s="345">
        <f t="shared" si="205"/>
        <v>31.669296314255103</v>
      </c>
      <c r="AB471" s="346">
        <f t="shared" si="206"/>
        <v>-125.45051016623259</v>
      </c>
      <c r="AD471">
        <f t="shared" si="210"/>
        <v>0</v>
      </c>
      <c r="AE471">
        <f t="shared" si="187"/>
        <v>0</v>
      </c>
    </row>
    <row r="472" spans="1:31" x14ac:dyDescent="0.25">
      <c r="A472" s="347">
        <v>54641.25</v>
      </c>
      <c r="B472" s="364">
        <f t="shared" si="207"/>
        <v>54.641249999999999</v>
      </c>
      <c r="C472" s="337">
        <f t="shared" si="188"/>
        <v>23.716998933284437</v>
      </c>
      <c r="D472" s="338">
        <f t="shared" si="189"/>
        <v>1.5286199730965044</v>
      </c>
      <c r="E472" s="338">
        <f t="shared" si="190"/>
        <v>1.0097628473805838</v>
      </c>
      <c r="F472" s="339">
        <f t="shared" si="191"/>
        <v>0.13916950712249795</v>
      </c>
      <c r="G472" s="338">
        <f t="shared" si="192"/>
        <v>1</v>
      </c>
      <c r="H472" s="339">
        <f t="shared" si="193"/>
        <v>0</v>
      </c>
      <c r="I472" s="337">
        <f t="shared" si="194"/>
        <v>72529.809341150481</v>
      </c>
      <c r="J472" s="340">
        <f t="shared" si="195"/>
        <v>1.5707825393603354</v>
      </c>
      <c r="K472" s="348">
        <f t="shared" si="211"/>
        <v>20.417776434979167</v>
      </c>
      <c r="L472" s="349">
        <f t="shared" si="212"/>
        <v>1.5217997954983098</v>
      </c>
      <c r="M472" s="337">
        <f t="shared" si="196"/>
        <v>1.1393890221651635</v>
      </c>
      <c r="N472" s="340">
        <f t="shared" si="197"/>
        <v>0.4998314383998817</v>
      </c>
      <c r="O472" s="341">
        <f t="shared" si="198"/>
        <v>1.0859361524522753</v>
      </c>
      <c r="P472" s="342">
        <f t="shared" si="199"/>
        <v>0.80426366748760303</v>
      </c>
      <c r="Q472" s="343">
        <f t="shared" si="200"/>
        <v>-6.4350955233275045</v>
      </c>
      <c r="R472" s="344">
        <f t="shared" si="201"/>
        <v>-157.13529786563291</v>
      </c>
      <c r="S472" s="346">
        <f t="shared" si="202"/>
        <v>22.864702134367093</v>
      </c>
      <c r="U472" s="319">
        <f t="shared" si="208"/>
        <v>54641.25</v>
      </c>
      <c r="V472" s="319">
        <f t="shared" si="209"/>
        <v>2985666201.5625</v>
      </c>
      <c r="X472" s="345">
        <f t="shared" si="203"/>
        <v>25.563621952017943</v>
      </c>
      <c r="Y472" s="346">
        <f t="shared" si="204"/>
        <v>-31.444736416461662</v>
      </c>
      <c r="AA472" s="345">
        <f t="shared" si="205"/>
        <v>31.610403813817179</v>
      </c>
      <c r="AB472" s="346">
        <f t="shared" si="206"/>
        <v>-125.69056144917121</v>
      </c>
      <c r="AD472">
        <f t="shared" si="210"/>
        <v>0</v>
      </c>
      <c r="AE472">
        <f t="shared" si="187"/>
        <v>0</v>
      </c>
    </row>
    <row r="473" spans="1:31" x14ac:dyDescent="0.25">
      <c r="A473" s="347">
        <v>54954</v>
      </c>
      <c r="B473" s="364">
        <f t="shared" si="207"/>
        <v>54.954000000000001</v>
      </c>
      <c r="C473" s="337">
        <f t="shared" si="188"/>
        <v>23.852507219230855</v>
      </c>
      <c r="D473" s="338">
        <f t="shared" si="189"/>
        <v>1.5288597218041606</v>
      </c>
      <c r="E473" s="338">
        <f t="shared" si="190"/>
        <v>1.0098743784187989</v>
      </c>
      <c r="F473" s="339">
        <f t="shared" si="191"/>
        <v>0.13995573900831237</v>
      </c>
      <c r="G473" s="338">
        <f t="shared" si="192"/>
        <v>1</v>
      </c>
      <c r="H473" s="339">
        <f t="shared" si="193"/>
        <v>0</v>
      </c>
      <c r="I473" s="337">
        <f t="shared" si="194"/>
        <v>72944.948048027538</v>
      </c>
      <c r="J473" s="340">
        <f t="shared" si="195"/>
        <v>1.570782617826328</v>
      </c>
      <c r="K473" s="348">
        <f t="shared" si="211"/>
        <v>20.534362082787784</v>
      </c>
      <c r="L473" s="349">
        <f t="shared" si="212"/>
        <v>1.5220781985407124</v>
      </c>
      <c r="M473" s="337">
        <f t="shared" si="196"/>
        <v>1.1408903587662966</v>
      </c>
      <c r="N473" s="340">
        <f t="shared" si="197"/>
        <v>0.50223591379476484</v>
      </c>
      <c r="O473" s="341">
        <f t="shared" si="198"/>
        <v>1.0872084553008865</v>
      </c>
      <c r="P473" s="342">
        <f t="shared" si="199"/>
        <v>0.80899694352889417</v>
      </c>
      <c r="Q473" s="343">
        <f t="shared" si="200"/>
        <v>-6.5053486523174033</v>
      </c>
      <c r="R473" s="344">
        <f t="shared" si="201"/>
        <v>-157.49700289530597</v>
      </c>
      <c r="S473" s="346">
        <f t="shared" si="202"/>
        <v>22.502997104694032</v>
      </c>
      <c r="U473" s="319">
        <f t="shared" si="208"/>
        <v>54954</v>
      </c>
      <c r="V473" s="319">
        <f t="shared" si="209"/>
        <v>3019942116</v>
      </c>
      <c r="X473" s="345">
        <f t="shared" si="203"/>
        <v>25.552066126074386</v>
      </c>
      <c r="Y473" s="346">
        <f t="shared" si="204"/>
        <v>-31.566555885107654</v>
      </c>
      <c r="AA473" s="345">
        <f t="shared" si="205"/>
        <v>31.551706510770842</v>
      </c>
      <c r="AB473" s="346">
        <f t="shared" si="206"/>
        <v>-125.93044701019835</v>
      </c>
      <c r="AD473">
        <f t="shared" si="210"/>
        <v>0</v>
      </c>
      <c r="AE473">
        <f t="shared" si="187"/>
        <v>0</v>
      </c>
    </row>
    <row r="474" spans="1:31" x14ac:dyDescent="0.25">
      <c r="A474" s="347">
        <v>55274</v>
      </c>
      <c r="B474" s="364">
        <f t="shared" si="207"/>
        <v>55.274000000000001</v>
      </c>
      <c r="C474" s="337">
        <f t="shared" si="188"/>
        <v>23.99115818724232</v>
      </c>
      <c r="D474" s="338">
        <f t="shared" si="189"/>
        <v>1.5291022249934594</v>
      </c>
      <c r="E474" s="338">
        <f t="shared" si="190"/>
        <v>1.0099891409034447</v>
      </c>
      <c r="F474" s="339">
        <f t="shared" si="191"/>
        <v>0.14076001665379129</v>
      </c>
      <c r="G474" s="338">
        <f t="shared" si="192"/>
        <v>1</v>
      </c>
      <c r="H474" s="339">
        <f t="shared" si="193"/>
        <v>0</v>
      </c>
      <c r="I474" s="337">
        <f t="shared" si="194"/>
        <v>73369.710274089215</v>
      </c>
      <c r="J474" s="340">
        <f t="shared" si="195"/>
        <v>1.5707826971922132</v>
      </c>
      <c r="K474" s="348">
        <f t="shared" si="211"/>
        <v>20.653651984065029</v>
      </c>
      <c r="L474" s="349">
        <f t="shared" si="212"/>
        <v>1.5223598021562013</v>
      </c>
      <c r="M474" s="337">
        <f t="shared" si="196"/>
        <v>1.1424333075498705</v>
      </c>
      <c r="N474" s="340">
        <f t="shared" si="197"/>
        <v>0.50468957269784653</v>
      </c>
      <c r="O474" s="341">
        <f t="shared" si="198"/>
        <v>1.0885239118168428</v>
      </c>
      <c r="P474" s="342">
        <f t="shared" si="199"/>
        <v>0.81383955519916285</v>
      </c>
      <c r="Q474" s="343">
        <f t="shared" si="200"/>
        <v>-6.5770660956908049</v>
      </c>
      <c r="R474" s="344">
        <f t="shared" si="201"/>
        <v>-157.86673094905672</v>
      </c>
      <c r="S474" s="346">
        <f t="shared" si="202"/>
        <v>22.133269050943284</v>
      </c>
      <c r="U474" s="319">
        <f t="shared" si="208"/>
        <v>55274</v>
      </c>
      <c r="V474" s="319">
        <f t="shared" si="209"/>
        <v>3055215076</v>
      </c>
      <c r="X474" s="345">
        <f t="shared" si="203"/>
        <v>25.540208286488738</v>
      </c>
      <c r="Y474" s="346">
        <f t="shared" si="204"/>
        <v>-31.691010033428267</v>
      </c>
      <c r="AA474" s="345">
        <f t="shared" si="205"/>
        <v>31.491846906983085</v>
      </c>
      <c r="AB474" s="346">
        <f t="shared" si="206"/>
        <v>-126.17572091562842</v>
      </c>
      <c r="AD474">
        <f t="shared" si="210"/>
        <v>0</v>
      </c>
      <c r="AE474">
        <f t="shared" ref="AE474:AE537" si="213">IF(AD474&gt;0,S474,0)</f>
        <v>0</v>
      </c>
    </row>
    <row r="475" spans="1:31" x14ac:dyDescent="0.25">
      <c r="A475" s="347">
        <v>55594</v>
      </c>
      <c r="B475" s="364">
        <f t="shared" si="207"/>
        <v>55.594000000000001</v>
      </c>
      <c r="C475" s="337">
        <f t="shared" si="188"/>
        <v>24.129810549907081</v>
      </c>
      <c r="D475" s="338">
        <f t="shared" si="189"/>
        <v>1.5293419413003975</v>
      </c>
      <c r="E475" s="338">
        <f t="shared" si="190"/>
        <v>1.010104556563522</v>
      </c>
      <c r="F475" s="339">
        <f t="shared" si="191"/>
        <v>0.1415641110240092</v>
      </c>
      <c r="G475" s="338">
        <f t="shared" si="192"/>
        <v>1</v>
      </c>
      <c r="H475" s="339">
        <f t="shared" si="193"/>
        <v>0</v>
      </c>
      <c r="I475" s="337">
        <f t="shared" si="194"/>
        <v>73794.472500151387</v>
      </c>
      <c r="J475" s="340">
        <f t="shared" si="195"/>
        <v>1.5707827756444357</v>
      </c>
      <c r="K475" s="348">
        <f t="shared" si="211"/>
        <v>20.77294350437824</v>
      </c>
      <c r="L475" s="349">
        <f t="shared" si="212"/>
        <v>1.5226381714976145</v>
      </c>
      <c r="M475" s="337">
        <f t="shared" si="196"/>
        <v>1.1439831157095104</v>
      </c>
      <c r="N475" s="340">
        <f t="shared" si="197"/>
        <v>0.50713659812385004</v>
      </c>
      <c r="O475" s="341">
        <f t="shared" si="198"/>
        <v>1.0898532698239871</v>
      </c>
      <c r="P475" s="342">
        <f t="shared" si="199"/>
        <v>0.81868170438671484</v>
      </c>
      <c r="Q475" s="343">
        <f t="shared" si="200"/>
        <v>-6.6486207257383203</v>
      </c>
      <c r="R475" s="344">
        <f t="shared" si="201"/>
        <v>-158.23608851646614</v>
      </c>
      <c r="S475" s="346">
        <f t="shared" si="202"/>
        <v>21.76391148353386</v>
      </c>
      <c r="U475" s="319">
        <f t="shared" si="208"/>
        <v>55594</v>
      </c>
      <c r="V475" s="319">
        <f t="shared" si="209"/>
        <v>3090692836</v>
      </c>
      <c r="X475" s="345">
        <f t="shared" si="203"/>
        <v>25.528316253727258</v>
      </c>
      <c r="Y475" s="346">
        <f t="shared" si="204"/>
        <v>-31.81526936941389</v>
      </c>
      <c r="AA475" s="345">
        <f t="shared" si="205"/>
        <v>31.43218430969705</v>
      </c>
      <c r="AB475" s="346">
        <f t="shared" si="206"/>
        <v>-126.4208191470522</v>
      </c>
      <c r="AD475">
        <f t="shared" si="210"/>
        <v>0</v>
      </c>
      <c r="AE475">
        <f t="shared" si="213"/>
        <v>0</v>
      </c>
    </row>
    <row r="476" spans="1:31" x14ac:dyDescent="0.25">
      <c r="A476" s="347">
        <v>55914</v>
      </c>
      <c r="B476" s="364">
        <f t="shared" si="207"/>
        <v>55.914000000000001</v>
      </c>
      <c r="C476" s="337">
        <f t="shared" si="188"/>
        <v>24.268464283321034</v>
      </c>
      <c r="D476" s="338">
        <f t="shared" si="189"/>
        <v>1.5295789184643176</v>
      </c>
      <c r="E476" s="338">
        <f t="shared" si="190"/>
        <v>1.0102206251751589</v>
      </c>
      <c r="F476" s="339">
        <f t="shared" si="191"/>
        <v>0.14236802114215871</v>
      </c>
      <c r="G476" s="338">
        <f t="shared" si="192"/>
        <v>1</v>
      </c>
      <c r="H476" s="339">
        <f t="shared" si="193"/>
        <v>0</v>
      </c>
      <c r="I476" s="337">
        <f t="shared" si="194"/>
        <v>74219.234726213981</v>
      </c>
      <c r="J476" s="340">
        <f t="shared" si="195"/>
        <v>1.5707828531986825</v>
      </c>
      <c r="K476" s="348">
        <f t="shared" si="211"/>
        <v>20.892236615994069</v>
      </c>
      <c r="L476" s="349">
        <f t="shared" si="212"/>
        <v>1.5229133619238273</v>
      </c>
      <c r="M476" s="337">
        <f t="shared" si="196"/>
        <v>1.1455397554049334</v>
      </c>
      <c r="N476" s="340">
        <f t="shared" si="197"/>
        <v>0.509576987750475</v>
      </c>
      <c r="O476" s="341">
        <f t="shared" si="198"/>
        <v>1.0911966149530195</v>
      </c>
      <c r="P476" s="342">
        <f t="shared" si="199"/>
        <v>0.82352332047112953</v>
      </c>
      <c r="Q476" s="343">
        <f t="shared" si="200"/>
        <v>-6.7200158276854527</v>
      </c>
      <c r="R476" s="344">
        <f t="shared" si="201"/>
        <v>-158.60507103852282</v>
      </c>
      <c r="S476" s="346">
        <f t="shared" si="202"/>
        <v>21.394928961477177</v>
      </c>
      <c r="U476" s="319">
        <f t="shared" si="208"/>
        <v>55914</v>
      </c>
      <c r="V476" s="319">
        <f t="shared" si="209"/>
        <v>3126375396</v>
      </c>
      <c r="X476" s="345">
        <f t="shared" si="203"/>
        <v>25.516390360984715</v>
      </c>
      <c r="Y476" s="346">
        <f t="shared" si="204"/>
        <v>-31.939330589075393</v>
      </c>
      <c r="AA476" s="345">
        <f t="shared" si="205"/>
        <v>31.372715100492456</v>
      </c>
      <c r="AB476" s="346">
        <f t="shared" si="206"/>
        <v>-126.66574044944748</v>
      </c>
      <c r="AD476">
        <f t="shared" si="210"/>
        <v>0</v>
      </c>
      <c r="AE476">
        <f t="shared" si="213"/>
        <v>0</v>
      </c>
    </row>
    <row r="477" spans="1:31" x14ac:dyDescent="0.25">
      <c r="A477" s="347">
        <v>56234</v>
      </c>
      <c r="B477" s="364">
        <f t="shared" si="207"/>
        <v>56.234000000000002</v>
      </c>
      <c r="C477" s="337">
        <f t="shared" si="188"/>
        <v>24.407119364123023</v>
      </c>
      <c r="D477" s="338">
        <f t="shared" si="189"/>
        <v>1.5298132031409948</v>
      </c>
      <c r="E477" s="338">
        <f t="shared" si="190"/>
        <v>1.0103373465133196</v>
      </c>
      <c r="F477" s="339">
        <f t="shared" si="191"/>
        <v>0.14317174603283245</v>
      </c>
      <c r="G477" s="338">
        <f t="shared" si="192"/>
        <v>1</v>
      </c>
      <c r="H477" s="339">
        <f t="shared" si="193"/>
        <v>0</v>
      </c>
      <c r="I477" s="337">
        <f t="shared" si="194"/>
        <v>74643.996952277041</v>
      </c>
      <c r="J477" s="340">
        <f t="shared" si="195"/>
        <v>1.5707829298702829</v>
      </c>
      <c r="K477" s="348">
        <f t="shared" si="211"/>
        <v>21.011531291808616</v>
      </c>
      <c r="L477" s="349">
        <f t="shared" si="212"/>
        <v>1.5231854275384484</v>
      </c>
      <c r="M477" s="337">
        <f t="shared" si="196"/>
        <v>1.1471031988245888</v>
      </c>
      <c r="N477" s="340">
        <f t="shared" si="197"/>
        <v>0.51201073958415355</v>
      </c>
      <c r="O477" s="341">
        <f t="shared" si="198"/>
        <v>1.0925540326651033</v>
      </c>
      <c r="P477" s="342">
        <f t="shared" si="199"/>
        <v>0.82836433218254246</v>
      </c>
      <c r="Q477" s="343">
        <f t="shared" si="200"/>
        <v>-6.791254623536175</v>
      </c>
      <c r="R477" s="344">
        <f t="shared" si="201"/>
        <v>-158.97367394757705</v>
      </c>
      <c r="S477" s="346">
        <f t="shared" si="202"/>
        <v>21.026326052422945</v>
      </c>
      <c r="U477" s="319">
        <f t="shared" si="208"/>
        <v>56234</v>
      </c>
      <c r="V477" s="319">
        <f t="shared" si="209"/>
        <v>3162262756</v>
      </c>
      <c r="X477" s="345">
        <f t="shared" si="203"/>
        <v>25.504430941367659</v>
      </c>
      <c r="Y477" s="346">
        <f t="shared" si="204"/>
        <v>-32.063190479159616</v>
      </c>
      <c r="AA477" s="345">
        <f t="shared" si="205"/>
        <v>31.313435724258799</v>
      </c>
      <c r="AB477" s="346">
        <f t="shared" si="206"/>
        <v>-126.91048346841744</v>
      </c>
      <c r="AD477">
        <f t="shared" si="210"/>
        <v>0</v>
      </c>
      <c r="AE477">
        <f t="shared" si="213"/>
        <v>0</v>
      </c>
    </row>
    <row r="478" spans="1:31" x14ac:dyDescent="0.25">
      <c r="A478" s="347">
        <v>56561.5</v>
      </c>
      <c r="B478" s="364">
        <f t="shared" si="207"/>
        <v>56.561500000000002</v>
      </c>
      <c r="C478" s="337">
        <f t="shared" si="188"/>
        <v>24.549025544684437</v>
      </c>
      <c r="D478" s="338">
        <f t="shared" si="189"/>
        <v>1.5300502385613779</v>
      </c>
      <c r="E478" s="338">
        <f t="shared" si="190"/>
        <v>1.0104574791250138</v>
      </c>
      <c r="F478" s="339">
        <f t="shared" si="191"/>
        <v>0.1439941154189972</v>
      </c>
      <c r="G478" s="338">
        <f t="shared" si="192"/>
        <v>1</v>
      </c>
      <c r="H478" s="339">
        <f t="shared" si="193"/>
        <v>0</v>
      </c>
      <c r="I478" s="337">
        <f t="shared" si="194"/>
        <v>75078.714543013892</v>
      </c>
      <c r="J478" s="340">
        <f t="shared" si="195"/>
        <v>1.570783007440588</v>
      </c>
      <c r="K478" s="348">
        <f t="shared" si="211"/>
        <v>21.133623528565799</v>
      </c>
      <c r="L478" s="349">
        <f t="shared" si="212"/>
        <v>1.523460689342321</v>
      </c>
      <c r="M478" s="337">
        <f t="shared" si="196"/>
        <v>1.1487103012455313</v>
      </c>
      <c r="N478" s="340">
        <f t="shared" si="197"/>
        <v>0.51449465776161962</v>
      </c>
      <c r="O478" s="341">
        <f t="shared" si="198"/>
        <v>1.093957925034305</v>
      </c>
      <c r="P478" s="342">
        <f t="shared" si="199"/>
        <v>0.83331810427911557</v>
      </c>
      <c r="Q478" s="343">
        <f t="shared" si="200"/>
        <v>-6.8640045316690728</v>
      </c>
      <c r="R478" s="344">
        <f t="shared" si="201"/>
        <v>-159.35051814901871</v>
      </c>
      <c r="S478" s="346">
        <f t="shared" si="202"/>
        <v>20.649481850981289</v>
      </c>
      <c r="U478" s="319">
        <f t="shared" si="208"/>
        <v>56561.5</v>
      </c>
      <c r="V478" s="319">
        <f t="shared" si="209"/>
        <v>3199203282.25</v>
      </c>
      <c r="X478" s="345">
        <f t="shared" si="203"/>
        <v>25.492156855533956</v>
      </c>
      <c r="Y478" s="346">
        <f t="shared" si="204"/>
        <v>-32.18974161235689</v>
      </c>
      <c r="AA478" s="345">
        <f t="shared" si="205"/>
        <v>31.252959901959599</v>
      </c>
      <c r="AB478" s="346">
        <f t="shared" si="206"/>
        <v>-127.16077653666183</v>
      </c>
      <c r="AD478">
        <f t="shared" si="210"/>
        <v>0</v>
      </c>
      <c r="AE478">
        <f t="shared" si="213"/>
        <v>0</v>
      </c>
    </row>
    <row r="479" spans="1:31" x14ac:dyDescent="0.25">
      <c r="A479" s="347">
        <v>56889</v>
      </c>
      <c r="B479" s="364">
        <f t="shared" si="207"/>
        <v>56.889000000000003</v>
      </c>
      <c r="C479" s="337">
        <f t="shared" si="188"/>
        <v>24.690933088697641</v>
      </c>
      <c r="D479" s="338">
        <f t="shared" si="189"/>
        <v>1.5302845493416466</v>
      </c>
      <c r="E479" s="338">
        <f t="shared" si="190"/>
        <v>1.0105782949376791</v>
      </c>
      <c r="F479" s="339">
        <f t="shared" si="191"/>
        <v>0.14481628873064353</v>
      </c>
      <c r="G479" s="338">
        <f t="shared" si="192"/>
        <v>1</v>
      </c>
      <c r="H479" s="339">
        <f t="shared" si="193"/>
        <v>0</v>
      </c>
      <c r="I479" s="337">
        <f t="shared" si="194"/>
        <v>75513.432133751179</v>
      </c>
      <c r="J479" s="340">
        <f t="shared" si="195"/>
        <v>1.5707830841177759</v>
      </c>
      <c r="K479" s="348">
        <f t="shared" si="211"/>
        <v>21.25571734820236</v>
      </c>
      <c r="L479" s="349">
        <f t="shared" si="212"/>
        <v>1.5237327889336494</v>
      </c>
      <c r="M479" s="337">
        <f t="shared" si="196"/>
        <v>1.1503244712073664</v>
      </c>
      <c r="N479" s="340">
        <f t="shared" si="197"/>
        <v>0.51697162016824594</v>
      </c>
      <c r="O479" s="341">
        <f t="shared" si="198"/>
        <v>1.095376737908794</v>
      </c>
      <c r="P479" s="342">
        <f t="shared" si="199"/>
        <v>0.83827109026094737</v>
      </c>
      <c r="Q479" s="343">
        <f t="shared" si="200"/>
        <v>-6.9365973521616908</v>
      </c>
      <c r="R479" s="344">
        <f t="shared" si="201"/>
        <v>-159.72695502721464</v>
      </c>
      <c r="S479" s="346">
        <f t="shared" si="202"/>
        <v>20.273044972785357</v>
      </c>
      <c r="U479" s="319">
        <f t="shared" si="208"/>
        <v>56889</v>
      </c>
      <c r="V479" s="319">
        <f t="shared" si="209"/>
        <v>3236358321</v>
      </c>
      <c r="X479" s="345">
        <f t="shared" si="203"/>
        <v>25.479848358263204</v>
      </c>
      <c r="Y479" s="346">
        <f t="shared" si="204"/>
        <v>-32.316075339502412</v>
      </c>
      <c r="AA479" s="345">
        <f t="shared" si="205"/>
        <v>31.192675578737731</v>
      </c>
      <c r="AB479" s="346">
        <f t="shared" si="206"/>
        <v>-127.41087968771222</v>
      </c>
      <c r="AD479">
        <f t="shared" si="210"/>
        <v>0</v>
      </c>
      <c r="AE479">
        <f t="shared" si="213"/>
        <v>0</v>
      </c>
    </row>
    <row r="480" spans="1:31" x14ac:dyDescent="0.25">
      <c r="A480" s="347">
        <v>57216.5</v>
      </c>
      <c r="B480" s="364">
        <f t="shared" si="207"/>
        <v>57.216500000000003</v>
      </c>
      <c r="C480" s="337">
        <f t="shared" si="188"/>
        <v>24.832841972788248</v>
      </c>
      <c r="D480" s="338">
        <f t="shared" si="189"/>
        <v>1.5305161821662474</v>
      </c>
      <c r="E480" s="338">
        <f t="shared" si="190"/>
        <v>1.0106997937063125</v>
      </c>
      <c r="F480" s="339">
        <f t="shared" si="191"/>
        <v>0.14563826492675877</v>
      </c>
      <c r="G480" s="338">
        <f t="shared" si="192"/>
        <v>1</v>
      </c>
      <c r="H480" s="339">
        <f t="shared" si="193"/>
        <v>0</v>
      </c>
      <c r="I480" s="337">
        <f t="shared" si="194"/>
        <v>75948.149724488918</v>
      </c>
      <c r="J480" s="340">
        <f t="shared" si="195"/>
        <v>1.5707831599171826</v>
      </c>
      <c r="K480" s="348">
        <f t="shared" si="211"/>
        <v>21.377812723597689</v>
      </c>
      <c r="L480" s="349">
        <f t="shared" si="212"/>
        <v>1.524001780452948</v>
      </c>
      <c r="M480" s="337">
        <f t="shared" si="196"/>
        <v>1.1519456789998073</v>
      </c>
      <c r="N480" s="340">
        <f t="shared" si="197"/>
        <v>0.51944162571437524</v>
      </c>
      <c r="O480" s="341">
        <f t="shared" si="198"/>
        <v>1.0968105622840643</v>
      </c>
      <c r="P480" s="342">
        <f t="shared" si="199"/>
        <v>0.84322321169683712</v>
      </c>
      <c r="Q480" s="343">
        <f t="shared" si="200"/>
        <v>-7.009036341167346</v>
      </c>
      <c r="R480" s="344">
        <f t="shared" si="201"/>
        <v>-160.10297965927833</v>
      </c>
      <c r="S480" s="346">
        <f t="shared" si="202"/>
        <v>19.897020340721667</v>
      </c>
      <c r="U480" s="319">
        <f t="shared" si="208"/>
        <v>57216.5</v>
      </c>
      <c r="V480" s="319">
        <f t="shared" si="209"/>
        <v>3273727872.25</v>
      </c>
      <c r="X480" s="345">
        <f t="shared" si="203"/>
        <v>25.467505805935534</v>
      </c>
      <c r="Y480" s="346">
        <f t="shared" si="204"/>
        <v>-32.442188497019117</v>
      </c>
      <c r="AA480" s="345">
        <f t="shared" si="205"/>
        <v>31.132579142059747</v>
      </c>
      <c r="AB480" s="346">
        <f t="shared" si="206"/>
        <v>-127.66079116225924</v>
      </c>
      <c r="AD480">
        <f t="shared" si="210"/>
        <v>0</v>
      </c>
      <c r="AE480">
        <f t="shared" si="213"/>
        <v>0</v>
      </c>
    </row>
    <row r="481" spans="1:31" x14ac:dyDescent="0.25">
      <c r="A481" s="347">
        <v>57544</v>
      </c>
      <c r="B481" s="364">
        <f t="shared" si="207"/>
        <v>57.543999999999997</v>
      </c>
      <c r="C481" s="337">
        <f t="shared" si="188"/>
        <v>24.974752174112933</v>
      </c>
      <c r="D481" s="338">
        <f t="shared" si="189"/>
        <v>1.5307451826597189</v>
      </c>
      <c r="E481" s="338">
        <f t="shared" si="190"/>
        <v>1.0108219751846441</v>
      </c>
      <c r="F481" s="339">
        <f t="shared" si="191"/>
        <v>0.14646004296789472</v>
      </c>
      <c r="G481" s="338">
        <f t="shared" si="192"/>
        <v>1</v>
      </c>
      <c r="H481" s="339">
        <f t="shared" si="193"/>
        <v>0</v>
      </c>
      <c r="I481" s="337">
        <f t="shared" si="194"/>
        <v>76382.867315227079</v>
      </c>
      <c r="J481" s="340">
        <f t="shared" si="195"/>
        <v>1.5707832348537956</v>
      </c>
      <c r="K481" s="348">
        <f t="shared" si="211"/>
        <v>21.49990962824689</v>
      </c>
      <c r="L481" s="349">
        <f t="shared" si="212"/>
        <v>1.5242677168127083</v>
      </c>
      <c r="M481" s="337">
        <f t="shared" si="196"/>
        <v>1.15357389495041</v>
      </c>
      <c r="N481" s="340">
        <f t="shared" si="197"/>
        <v>0.52190467365600657</v>
      </c>
      <c r="O481" s="341">
        <f t="shared" si="198"/>
        <v>1.0982594889258657</v>
      </c>
      <c r="P481" s="342">
        <f t="shared" si="199"/>
        <v>0.84817438949876245</v>
      </c>
      <c r="Q481" s="343">
        <f t="shared" si="200"/>
        <v>-7.081324690720999</v>
      </c>
      <c r="R481" s="344">
        <f t="shared" si="201"/>
        <v>-160.47858711401759</v>
      </c>
      <c r="S481" s="346">
        <f t="shared" si="202"/>
        <v>19.521412885982414</v>
      </c>
      <c r="U481" s="319">
        <f t="shared" si="208"/>
        <v>57544</v>
      </c>
      <c r="V481" s="319">
        <f t="shared" si="209"/>
        <v>3311311936</v>
      </c>
      <c r="X481" s="345">
        <f t="shared" si="203"/>
        <v>25.455129554562525</v>
      </c>
      <c r="Y481" s="346">
        <f t="shared" si="204"/>
        <v>-32.56807801147513</v>
      </c>
      <c r="AA481" s="345">
        <f t="shared" si="205"/>
        <v>31.072667043879107</v>
      </c>
      <c r="AB481" s="346">
        <f t="shared" si="206"/>
        <v>-127.91050910254246</v>
      </c>
      <c r="AD481">
        <f t="shared" si="210"/>
        <v>0</v>
      </c>
      <c r="AE481">
        <f t="shared" si="213"/>
        <v>0</v>
      </c>
    </row>
    <row r="482" spans="1:31" x14ac:dyDescent="0.25">
      <c r="A482" s="347">
        <v>57879</v>
      </c>
      <c r="B482" s="364">
        <f t="shared" si="207"/>
        <v>57.878999999999998</v>
      </c>
      <c r="C482" s="337">
        <f t="shared" si="188"/>
        <v>25.119913566930897</v>
      </c>
      <c r="D482" s="338">
        <f t="shared" si="189"/>
        <v>1.5309767504786109</v>
      </c>
      <c r="E482" s="338">
        <f t="shared" si="190"/>
        <v>1.0109476607946135</v>
      </c>
      <c r="F482" s="339">
        <f t="shared" si="191"/>
        <v>0.14730043425770523</v>
      </c>
      <c r="G482" s="338">
        <f t="shared" si="192"/>
        <v>1</v>
      </c>
      <c r="H482" s="339">
        <f t="shared" si="193"/>
        <v>0</v>
      </c>
      <c r="I482" s="337">
        <f t="shared" si="194"/>
        <v>76827.540270639074</v>
      </c>
      <c r="J482" s="340">
        <f t="shared" si="195"/>
        <v>1.5707833106291245</v>
      </c>
      <c r="K482" s="348">
        <f t="shared" si="211"/>
        <v>21.624804200398426</v>
      </c>
      <c r="L482" s="349">
        <f t="shared" si="212"/>
        <v>1.5245366363199573</v>
      </c>
      <c r="M482" s="337">
        <f t="shared" si="196"/>
        <v>1.1552466181307528</v>
      </c>
      <c r="N482" s="340">
        <f t="shared" si="197"/>
        <v>0.52441692842785192</v>
      </c>
      <c r="O482" s="341">
        <f t="shared" si="198"/>
        <v>1.0997573164725616</v>
      </c>
      <c r="P482" s="342">
        <f t="shared" si="199"/>
        <v>0.85323789363220714</v>
      </c>
      <c r="Q482" s="343">
        <f t="shared" si="200"/>
        <v>-7.1551159068726502</v>
      </c>
      <c r="R482" s="344">
        <f t="shared" si="201"/>
        <v>-160.86235949979823</v>
      </c>
      <c r="S482" s="346">
        <f t="shared" si="202"/>
        <v>19.137640500201769</v>
      </c>
      <c r="U482" s="319">
        <f t="shared" si="208"/>
        <v>57879</v>
      </c>
      <c r="V482" s="319">
        <f t="shared" si="209"/>
        <v>3349978641</v>
      </c>
      <c r="X482" s="345">
        <f t="shared" si="203"/>
        <v>25.442435382796205</v>
      </c>
      <c r="Y482" s="346">
        <f t="shared" si="204"/>
        <v>-32.696615995922762</v>
      </c>
      <c r="AA482" s="345">
        <f t="shared" si="205"/>
        <v>31.011569999493776</v>
      </c>
      <c r="AB482" s="346">
        <f t="shared" si="206"/>
        <v>-128.1657435038754</v>
      </c>
      <c r="AD482">
        <f t="shared" si="210"/>
        <v>0</v>
      </c>
      <c r="AE482">
        <f t="shared" si="213"/>
        <v>0</v>
      </c>
    </row>
    <row r="483" spans="1:31" x14ac:dyDescent="0.25">
      <c r="A483" s="347">
        <v>58214</v>
      </c>
      <c r="B483" s="364">
        <f t="shared" si="207"/>
        <v>58.213999999999999</v>
      </c>
      <c r="C483" s="337">
        <f t="shared" si="188"/>
        <v>25.265076291291667</v>
      </c>
      <c r="D483" s="338">
        <f t="shared" si="189"/>
        <v>1.5312056573230024</v>
      </c>
      <c r="E483" s="338">
        <f t="shared" si="190"/>
        <v>1.0110740602161656</v>
      </c>
      <c r="F483" s="339">
        <f t="shared" si="191"/>
        <v>0.14814061601774642</v>
      </c>
      <c r="G483" s="338">
        <f t="shared" si="192"/>
        <v>1</v>
      </c>
      <c r="H483" s="339">
        <f t="shared" si="193"/>
        <v>0</v>
      </c>
      <c r="I483" s="337">
        <f t="shared" si="194"/>
        <v>77272.213226051506</v>
      </c>
      <c r="J483" s="340">
        <f t="shared" si="195"/>
        <v>1.5707833855323357</v>
      </c>
      <c r="K483" s="348">
        <f t="shared" si="211"/>
        <v>21.749700318445587</v>
      </c>
      <c r="L483" s="349">
        <f t="shared" si="212"/>
        <v>1.52480246734369</v>
      </c>
      <c r="M483" s="337">
        <f t="shared" si="196"/>
        <v>1.1569266114517029</v>
      </c>
      <c r="N483" s="340">
        <f t="shared" si="197"/>
        <v>0.52692190279349971</v>
      </c>
      <c r="O483" s="341">
        <f t="shared" si="198"/>
        <v>1.1012711372461099</v>
      </c>
      <c r="P483" s="342">
        <f t="shared" si="199"/>
        <v>0.85830024097759616</v>
      </c>
      <c r="Q483" s="343">
        <f t="shared" si="200"/>
        <v>-7.2287560612318948</v>
      </c>
      <c r="R483" s="344">
        <f t="shared" si="201"/>
        <v>-161.24568491962171</v>
      </c>
      <c r="S483" s="346">
        <f t="shared" si="202"/>
        <v>18.754315080378291</v>
      </c>
      <c r="U483" s="319">
        <f t="shared" si="208"/>
        <v>58214</v>
      </c>
      <c r="V483" s="319">
        <f t="shared" si="209"/>
        <v>3388869796</v>
      </c>
      <c r="X483" s="345">
        <f t="shared" si="203"/>
        <v>25.429706702934048</v>
      </c>
      <c r="Y483" s="346">
        <f t="shared" si="204"/>
        <v>-32.82491375092382</v>
      </c>
      <c r="AA483" s="345">
        <f t="shared" si="205"/>
        <v>30.950658524996687</v>
      </c>
      <c r="AB483" s="346">
        <f t="shared" si="206"/>
        <v>-128.42077116869794</v>
      </c>
      <c r="AD483">
        <f t="shared" si="210"/>
        <v>0</v>
      </c>
      <c r="AE483">
        <f t="shared" si="213"/>
        <v>0</v>
      </c>
    </row>
    <row r="484" spans="1:31" x14ac:dyDescent="0.25">
      <c r="A484" s="347">
        <v>58549</v>
      </c>
      <c r="B484" s="364">
        <f t="shared" si="207"/>
        <v>58.548999999999999</v>
      </c>
      <c r="C484" s="337">
        <f t="shared" si="188"/>
        <v>25.410240324374879</v>
      </c>
      <c r="D484" s="338">
        <f t="shared" si="189"/>
        <v>1.5314319487736714</v>
      </c>
      <c r="E484" s="338">
        <f t="shared" si="190"/>
        <v>1.0112011731816233</v>
      </c>
      <c r="F484" s="339">
        <f t="shared" si="191"/>
        <v>0.14898058714063717</v>
      </c>
      <c r="G484" s="338">
        <f t="shared" si="192"/>
        <v>1</v>
      </c>
      <c r="H484" s="339">
        <f t="shared" si="193"/>
        <v>0</v>
      </c>
      <c r="I484" s="337">
        <f t="shared" si="194"/>
        <v>77716.886181464375</v>
      </c>
      <c r="J484" s="340">
        <f t="shared" si="195"/>
        <v>1.5707834595783989</v>
      </c>
      <c r="K484" s="348">
        <f t="shared" si="211"/>
        <v>21.87459795590884</v>
      </c>
      <c r="L484" s="349">
        <f t="shared" si="212"/>
        <v>1.5250652627490575</v>
      </c>
      <c r="M484" s="337">
        <f t="shared" si="196"/>
        <v>1.1586138432880879</v>
      </c>
      <c r="N484" s="340">
        <f t="shared" si="197"/>
        <v>0.5294195970542902</v>
      </c>
      <c r="O484" s="341">
        <f t="shared" si="198"/>
        <v>1.1028010475744514</v>
      </c>
      <c r="P484" s="342">
        <f t="shared" si="199"/>
        <v>0.86336134485212002</v>
      </c>
      <c r="Q484" s="343">
        <f t="shared" si="200"/>
        <v>-7.302248369878602</v>
      </c>
      <c r="R484" s="344">
        <f t="shared" si="201"/>
        <v>-161.62855807113675</v>
      </c>
      <c r="S484" s="346">
        <f t="shared" si="202"/>
        <v>18.371441928863248</v>
      </c>
      <c r="U484" s="319">
        <f t="shared" si="208"/>
        <v>58549</v>
      </c>
      <c r="V484" s="319">
        <f t="shared" si="209"/>
        <v>3427985401</v>
      </c>
      <c r="X484" s="345">
        <f t="shared" si="203"/>
        <v>25.416943894411695</v>
      </c>
      <c r="Y484" s="346">
        <f t="shared" si="204"/>
        <v>-32.952968265651407</v>
      </c>
      <c r="AA484" s="345">
        <f t="shared" si="205"/>
        <v>30.88992902487233</v>
      </c>
      <c r="AB484" s="346">
        <f t="shared" si="206"/>
        <v>-128.67558980548532</v>
      </c>
      <c r="AD484">
        <f t="shared" si="210"/>
        <v>0</v>
      </c>
      <c r="AE484">
        <f t="shared" si="213"/>
        <v>0</v>
      </c>
    </row>
    <row r="485" spans="1:31" x14ac:dyDescent="0.25">
      <c r="A485" s="347">
        <v>58884</v>
      </c>
      <c r="B485" s="364">
        <f t="shared" si="207"/>
        <v>58.884</v>
      </c>
      <c r="C485" s="337">
        <f t="shared" si="188"/>
        <v>25.555405643878466</v>
      </c>
      <c r="D485" s="338">
        <f t="shared" si="189"/>
        <v>1.5316556693768104</v>
      </c>
      <c r="E485" s="338">
        <f t="shared" si="190"/>
        <v>1.0113289994219321</v>
      </c>
      <c r="F485" s="339">
        <f t="shared" si="191"/>
        <v>0.14982034652074058</v>
      </c>
      <c r="G485" s="338">
        <f t="shared" si="192"/>
        <v>1</v>
      </c>
      <c r="H485" s="339">
        <f t="shared" si="193"/>
        <v>0</v>
      </c>
      <c r="I485" s="337">
        <f t="shared" si="194"/>
        <v>78161.559136877651</v>
      </c>
      <c r="J485" s="340">
        <f t="shared" si="195"/>
        <v>1.5707835327819435</v>
      </c>
      <c r="K485" s="348">
        <f t="shared" si="211"/>
        <v>21.999497086909663</v>
      </c>
      <c r="L485" s="349">
        <f t="shared" si="212"/>
        <v>1.5253250742023714</v>
      </c>
      <c r="M485" s="337">
        <f t="shared" si="196"/>
        <v>1.1603082820628161</v>
      </c>
      <c r="N485" s="340">
        <f t="shared" si="197"/>
        <v>0.53191001187314657</v>
      </c>
      <c r="O485" s="341">
        <f t="shared" si="198"/>
        <v>1.1043471434860188</v>
      </c>
      <c r="P485" s="342">
        <f t="shared" si="199"/>
        <v>0.86842111792040244</v>
      </c>
      <c r="Q485" s="343">
        <f t="shared" si="200"/>
        <v>-7.3755959839163818</v>
      </c>
      <c r="R485" s="344">
        <f t="shared" si="201"/>
        <v>-162.01097364461123</v>
      </c>
      <c r="S485" s="346">
        <f t="shared" si="202"/>
        <v>17.989026355388773</v>
      </c>
      <c r="U485" s="319">
        <f t="shared" si="208"/>
        <v>58884</v>
      </c>
      <c r="V485" s="319">
        <f t="shared" si="209"/>
        <v>3467325456</v>
      </c>
      <c r="X485" s="345">
        <f t="shared" si="203"/>
        <v>25.404147335997624</v>
      </c>
      <c r="Y485" s="346">
        <f t="shared" si="204"/>
        <v>-33.080776618664864</v>
      </c>
      <c r="AA485" s="345">
        <f t="shared" si="205"/>
        <v>30.829377969248618</v>
      </c>
      <c r="AB485" s="346">
        <f t="shared" si="206"/>
        <v>-128.93019702594634</v>
      </c>
      <c r="AD485">
        <f t="shared" si="210"/>
        <v>0</v>
      </c>
      <c r="AE485">
        <f t="shared" si="213"/>
        <v>0</v>
      </c>
    </row>
    <row r="486" spans="1:31" x14ac:dyDescent="0.25">
      <c r="A486" s="347">
        <v>59227</v>
      </c>
      <c r="B486" s="364">
        <f t="shared" si="207"/>
        <v>59.226999999999997</v>
      </c>
      <c r="C486" s="337">
        <f t="shared" si="188"/>
        <v>25.704038907983424</v>
      </c>
      <c r="D486" s="338">
        <f t="shared" si="189"/>
        <v>1.5318821143567178</v>
      </c>
      <c r="E486" s="338">
        <f t="shared" si="190"/>
        <v>1.0114606169751226</v>
      </c>
      <c r="F486" s="339">
        <f t="shared" si="191"/>
        <v>0.15067993931537405</v>
      </c>
      <c r="G486" s="338">
        <f t="shared" si="192"/>
        <v>1</v>
      </c>
      <c r="H486" s="339">
        <f t="shared" si="193"/>
        <v>0</v>
      </c>
      <c r="I486" s="337">
        <f t="shared" si="194"/>
        <v>78616.851147943031</v>
      </c>
      <c r="J486" s="340">
        <f t="shared" si="195"/>
        <v>1.5707836068756245</v>
      </c>
      <c r="K486" s="348">
        <f t="shared" si="211"/>
        <v>22.127380404775927</v>
      </c>
      <c r="L486" s="349">
        <f t="shared" si="212"/>
        <v>1.5255880511516198</v>
      </c>
      <c r="M486" s="337">
        <f t="shared" si="196"/>
        <v>1.1620506192739826</v>
      </c>
      <c r="N486" s="340">
        <f t="shared" si="197"/>
        <v>0.53445235807866609</v>
      </c>
      <c r="O486" s="341">
        <f t="shared" si="198"/>
        <v>1.1059470310318675</v>
      </c>
      <c r="P486" s="342">
        <f t="shared" si="199"/>
        <v>0.87360025065774594</v>
      </c>
      <c r="Q486" s="343">
        <f t="shared" si="200"/>
        <v>-7.4505484877073647</v>
      </c>
      <c r="R486" s="344">
        <f t="shared" si="201"/>
        <v>-162.40204187844557</v>
      </c>
      <c r="S486" s="346">
        <f t="shared" si="202"/>
        <v>17.597958121554427</v>
      </c>
      <c r="U486" s="319">
        <f t="shared" si="208"/>
        <v>59227</v>
      </c>
      <c r="V486" s="319">
        <f t="shared" si="209"/>
        <v>3507837529</v>
      </c>
      <c r="X486" s="345">
        <f t="shared" si="203"/>
        <v>25.391010614465415</v>
      </c>
      <c r="Y486" s="346">
        <f t="shared" si="204"/>
        <v>-33.211379102405509</v>
      </c>
      <c r="AA486" s="345">
        <f t="shared" si="205"/>
        <v>30.767562186989849</v>
      </c>
      <c r="AB486" s="346">
        <f t="shared" si="206"/>
        <v>-129.19066277604006</v>
      </c>
      <c r="AD486">
        <f t="shared" si="210"/>
        <v>0</v>
      </c>
      <c r="AE486">
        <f t="shared" si="213"/>
        <v>0</v>
      </c>
    </row>
    <row r="487" spans="1:31" x14ac:dyDescent="0.25">
      <c r="A487" s="347">
        <v>59570</v>
      </c>
      <c r="B487" s="364">
        <f t="shared" si="207"/>
        <v>59.57</v>
      </c>
      <c r="C487" s="337">
        <f t="shared" si="188"/>
        <v>25.852673474967403</v>
      </c>
      <c r="D487" s="338">
        <f t="shared" si="189"/>
        <v>1.5321059555514021</v>
      </c>
      <c r="E487" s="338">
        <f t="shared" si="190"/>
        <v>1.0115929817015323</v>
      </c>
      <c r="F487" s="339">
        <f t="shared" si="191"/>
        <v>0.15153930779318703</v>
      </c>
      <c r="G487" s="338">
        <f t="shared" si="192"/>
        <v>1</v>
      </c>
      <c r="H487" s="339">
        <f t="shared" si="193"/>
        <v>0</v>
      </c>
      <c r="I487" s="337">
        <f t="shared" si="194"/>
        <v>79072.143159008832</v>
      </c>
      <c r="J487" s="340">
        <f t="shared" si="195"/>
        <v>1.5707836801160528</v>
      </c>
      <c r="K487" s="348">
        <f t="shared" si="211"/>
        <v>22.255265235316248</v>
      </c>
      <c r="L487" s="349">
        <f t="shared" si="212"/>
        <v>1.5258480058439685</v>
      </c>
      <c r="M487" s="337">
        <f t="shared" si="196"/>
        <v>1.1638004449097985</v>
      </c>
      <c r="N487" s="340">
        <f t="shared" si="197"/>
        <v>0.53698707556566749</v>
      </c>
      <c r="O487" s="341">
        <f t="shared" si="198"/>
        <v>1.1075640891639034</v>
      </c>
      <c r="P487" s="342">
        <f t="shared" si="199"/>
        <v>0.87877780094915581</v>
      </c>
      <c r="Q487" s="343">
        <f t="shared" si="200"/>
        <v>-7.5253557858200217</v>
      </c>
      <c r="R487" s="344">
        <f t="shared" si="201"/>
        <v>-162.79261913161213</v>
      </c>
      <c r="S487" s="346">
        <f t="shared" si="202"/>
        <v>17.207380868387872</v>
      </c>
      <c r="U487" s="319">
        <f t="shared" si="208"/>
        <v>59570</v>
      </c>
      <c r="V487" s="319">
        <f t="shared" si="209"/>
        <v>3548584900</v>
      </c>
      <c r="X487" s="345">
        <f t="shared" si="203"/>
        <v>25.377839313088458</v>
      </c>
      <c r="Y487" s="346">
        <f t="shared" si="204"/>
        <v>-33.341717606448846</v>
      </c>
      <c r="AA487" s="345">
        <f t="shared" si="205"/>
        <v>30.70592619025415</v>
      </c>
      <c r="AB487" s="346">
        <f t="shared" si="206"/>
        <v>-129.45090152516326</v>
      </c>
      <c r="AD487">
        <f t="shared" si="210"/>
        <v>0</v>
      </c>
      <c r="AE487">
        <f t="shared" si="213"/>
        <v>0</v>
      </c>
    </row>
    <row r="488" spans="1:31" x14ac:dyDescent="0.25">
      <c r="A488" s="347">
        <v>59913</v>
      </c>
      <c r="B488" s="364">
        <f t="shared" si="207"/>
        <v>59.912999999999997</v>
      </c>
      <c r="C488" s="337">
        <f t="shared" si="188"/>
        <v>26.001309322486968</v>
      </c>
      <c r="D488" s="338">
        <f t="shared" si="189"/>
        <v>1.5323272375916608</v>
      </c>
      <c r="E488" s="338">
        <f t="shared" si="190"/>
        <v>1.0117260933079013</v>
      </c>
      <c r="F488" s="339">
        <f t="shared" si="191"/>
        <v>0.15239845077316053</v>
      </c>
      <c r="G488" s="338">
        <f t="shared" si="192"/>
        <v>1</v>
      </c>
      <c r="H488" s="339">
        <f t="shared" si="193"/>
        <v>0</v>
      </c>
      <c r="I488" s="337">
        <f t="shared" si="194"/>
        <v>79527.435170075041</v>
      </c>
      <c r="J488" s="340">
        <f t="shared" si="195"/>
        <v>1.5707837525178827</v>
      </c>
      <c r="K488" s="348">
        <f t="shared" si="211"/>
        <v>22.3831515526029</v>
      </c>
      <c r="L488" s="349">
        <f t="shared" si="212"/>
        <v>1.5261049900470474</v>
      </c>
      <c r="M488" s="337">
        <f t="shared" si="196"/>
        <v>1.1655577252436531</v>
      </c>
      <c r="N488" s="340">
        <f t="shared" si="197"/>
        <v>0.53951416619593795</v>
      </c>
      <c r="O488" s="341">
        <f t="shared" si="198"/>
        <v>1.109198419901632</v>
      </c>
      <c r="P488" s="342">
        <f t="shared" si="199"/>
        <v>0.88395367304120342</v>
      </c>
      <c r="Q488" s="343">
        <f t="shared" si="200"/>
        <v>-7.6000210567351756</v>
      </c>
      <c r="R488" s="344">
        <f t="shared" si="201"/>
        <v>-163.18269968411266</v>
      </c>
      <c r="S488" s="346">
        <f t="shared" si="202"/>
        <v>16.817300315887337</v>
      </c>
      <c r="U488" s="319">
        <f t="shared" si="208"/>
        <v>59913</v>
      </c>
      <c r="V488" s="319">
        <f t="shared" si="209"/>
        <v>3589567569</v>
      </c>
      <c r="X488" s="345">
        <f t="shared" si="203"/>
        <v>25.364633835859397</v>
      </c>
      <c r="Y488" s="346">
        <f t="shared" si="204"/>
        <v>-33.471789272240365</v>
      </c>
      <c r="AA488" s="345">
        <f t="shared" si="205"/>
        <v>30.644466396568056</v>
      </c>
      <c r="AB488" s="346">
        <f t="shared" si="206"/>
        <v>-129.71091041187233</v>
      </c>
      <c r="AD488">
        <f t="shared" si="210"/>
        <v>0</v>
      </c>
      <c r="AE488">
        <f t="shared" si="213"/>
        <v>0</v>
      </c>
    </row>
    <row r="489" spans="1:31" x14ac:dyDescent="0.25">
      <c r="A489" s="347">
        <v>60256</v>
      </c>
      <c r="B489" s="364">
        <f t="shared" si="207"/>
        <v>60.256</v>
      </c>
      <c r="C489" s="337">
        <f t="shared" si="188"/>
        <v>26.149946428706496</v>
      </c>
      <c r="D489" s="338">
        <f t="shared" si="189"/>
        <v>1.5325460040945762</v>
      </c>
      <c r="E489" s="338">
        <f t="shared" si="190"/>
        <v>1.0118599514994704</v>
      </c>
      <c r="F489" s="339">
        <f t="shared" si="191"/>
        <v>0.153257367076227</v>
      </c>
      <c r="G489" s="338">
        <f t="shared" si="192"/>
        <v>1</v>
      </c>
      <c r="H489" s="339">
        <f t="shared" si="193"/>
        <v>0</v>
      </c>
      <c r="I489" s="337">
        <f t="shared" si="194"/>
        <v>79982.727181141687</v>
      </c>
      <c r="J489" s="340">
        <f t="shared" si="195"/>
        <v>1.5707838240954355</v>
      </c>
      <c r="K489" s="348">
        <f t="shared" si="211"/>
        <v>22.511039331297045</v>
      </c>
      <c r="L489" s="349">
        <f t="shared" si="212"/>
        <v>1.5263590543536842</v>
      </c>
      <c r="M489" s="337">
        <f t="shared" si="196"/>
        <v>1.1673224266087709</v>
      </c>
      <c r="N489" s="340">
        <f t="shared" si="197"/>
        <v>0.54203363220972767</v>
      </c>
      <c r="O489" s="341">
        <f t="shared" si="198"/>
        <v>1.110850124882875</v>
      </c>
      <c r="P489" s="342">
        <f t="shared" si="199"/>
        <v>0.88912777054244541</v>
      </c>
      <c r="Q489" s="343">
        <f t="shared" si="200"/>
        <v>-7.6745474127523661</v>
      </c>
      <c r="R489" s="344">
        <f t="shared" si="201"/>
        <v>-163.57227781017673</v>
      </c>
      <c r="S489" s="346">
        <f t="shared" si="202"/>
        <v>16.427722189823271</v>
      </c>
      <c r="U489" s="319">
        <f t="shared" si="208"/>
        <v>60256</v>
      </c>
      <c r="V489" s="319">
        <f t="shared" si="209"/>
        <v>3630785536</v>
      </c>
      <c r="X489" s="345">
        <f t="shared" si="203"/>
        <v>25.35139458578162</v>
      </c>
      <c r="Y489" s="346">
        <f t="shared" si="204"/>
        <v>-33.601591330201956</v>
      </c>
      <c r="AA489" s="345">
        <f t="shared" si="205"/>
        <v>30.583179290628642</v>
      </c>
      <c r="AB489" s="346">
        <f t="shared" si="206"/>
        <v>-129.97068647997472</v>
      </c>
      <c r="AD489">
        <f t="shared" si="210"/>
        <v>0</v>
      </c>
      <c r="AE489">
        <f t="shared" si="213"/>
        <v>0</v>
      </c>
    </row>
    <row r="490" spans="1:31" x14ac:dyDescent="0.25">
      <c r="A490" s="347">
        <v>60607</v>
      </c>
      <c r="B490" s="364">
        <f t="shared" si="207"/>
        <v>60.606999999999999</v>
      </c>
      <c r="C490" s="337">
        <f t="shared" si="188"/>
        <v>26.302051570405034</v>
      </c>
      <c r="D490" s="338">
        <f t="shared" si="189"/>
        <v>1.5327673132668569</v>
      </c>
      <c r="E490" s="338">
        <f t="shared" si="190"/>
        <v>1.0119977043467578</v>
      </c>
      <c r="F490" s="339">
        <f t="shared" si="191"/>
        <v>0.15413608051557992</v>
      </c>
      <c r="G490" s="338">
        <f t="shared" si="192"/>
        <v>1</v>
      </c>
      <c r="H490" s="339">
        <f t="shared" si="193"/>
        <v>0</v>
      </c>
      <c r="I490" s="337">
        <f t="shared" si="194"/>
        <v>80448.638247860436</v>
      </c>
      <c r="J490" s="340">
        <f t="shared" si="195"/>
        <v>1.5707838965036971</v>
      </c>
      <c r="K490" s="348">
        <f t="shared" si="211"/>
        <v>22.641911402422412</v>
      </c>
      <c r="L490" s="349">
        <f t="shared" si="212"/>
        <v>1.526616073099873</v>
      </c>
      <c r="M490" s="337">
        <f t="shared" si="196"/>
        <v>1.1691359348068913</v>
      </c>
      <c r="N490" s="340">
        <f t="shared" si="197"/>
        <v>0.54460397056785004</v>
      </c>
      <c r="O490" s="341">
        <f t="shared" si="198"/>
        <v>1.1125584460350331</v>
      </c>
      <c r="P490" s="342">
        <f t="shared" si="199"/>
        <v>0.89442060833079207</v>
      </c>
      <c r="Q490" s="343">
        <f t="shared" si="200"/>
        <v>-7.7506713590661569</v>
      </c>
      <c r="R490" s="344">
        <f t="shared" si="201"/>
        <v>-163.9704161867306</v>
      </c>
      <c r="S490" s="346">
        <f t="shared" si="202"/>
        <v>16.029583813269397</v>
      </c>
      <c r="U490" s="319">
        <f t="shared" si="208"/>
        <v>60607</v>
      </c>
      <c r="V490" s="319">
        <f t="shared" si="209"/>
        <v>3673208449</v>
      </c>
      <c r="X490" s="345">
        <f t="shared" si="203"/>
        <v>25.337812004293493</v>
      </c>
      <c r="Y490" s="346">
        <f t="shared" si="204"/>
        <v>-33.734138929469843</v>
      </c>
      <c r="AA490" s="345">
        <f t="shared" si="205"/>
        <v>30.520637925802973</v>
      </c>
      <c r="AB490" s="346">
        <f t="shared" si="206"/>
        <v>-130.2362772572607</v>
      </c>
      <c r="AD490">
        <f t="shared" si="210"/>
        <v>0</v>
      </c>
      <c r="AE490">
        <f t="shared" si="213"/>
        <v>0</v>
      </c>
    </row>
    <row r="491" spans="1:31" x14ac:dyDescent="0.25">
      <c r="A491" s="347">
        <v>60958</v>
      </c>
      <c r="B491" s="364">
        <f t="shared" si="207"/>
        <v>60.957999999999998</v>
      </c>
      <c r="C491" s="337">
        <f t="shared" si="188"/>
        <v>26.45415798550497</v>
      </c>
      <c r="D491" s="338">
        <f t="shared" si="189"/>
        <v>1.5329860774778141</v>
      </c>
      <c r="E491" s="338">
        <f t="shared" si="190"/>
        <v>1.0121362383821777</v>
      </c>
      <c r="F491" s="339">
        <f t="shared" si="191"/>
        <v>0.15501455408894421</v>
      </c>
      <c r="G491" s="338">
        <f t="shared" si="192"/>
        <v>1</v>
      </c>
      <c r="H491" s="339">
        <f t="shared" si="193"/>
        <v>0</v>
      </c>
      <c r="I491" s="337">
        <f t="shared" si="194"/>
        <v>80914.549314579592</v>
      </c>
      <c r="J491" s="340">
        <f t="shared" si="195"/>
        <v>1.5707839680780959</v>
      </c>
      <c r="K491" s="348">
        <f t="shared" si="211"/>
        <v>22.772784952050408</v>
      </c>
      <c r="L491" s="349">
        <f t="shared" si="212"/>
        <v>1.5268701377263587</v>
      </c>
      <c r="M491" s="337">
        <f t="shared" si="196"/>
        <v>1.170957143109562</v>
      </c>
      <c r="N491" s="340">
        <f t="shared" si="197"/>
        <v>0.54716633043438001</v>
      </c>
      <c r="O491" s="341">
        <f t="shared" si="198"/>
        <v>1.1142851754133243</v>
      </c>
      <c r="P491" s="342">
        <f t="shared" si="199"/>
        <v>0.89971138159151876</v>
      </c>
      <c r="Q491" s="343">
        <f t="shared" si="200"/>
        <v>-7.8266562222963785</v>
      </c>
      <c r="R491" s="344">
        <f t="shared" si="201"/>
        <v>-164.36801627924967</v>
      </c>
      <c r="S491" s="346">
        <f t="shared" si="202"/>
        <v>15.631983720750327</v>
      </c>
      <c r="U491" s="319">
        <f t="shared" si="208"/>
        <v>60958</v>
      </c>
      <c r="V491" s="319">
        <f t="shared" si="209"/>
        <v>3715877764</v>
      </c>
      <c r="X491" s="345">
        <f t="shared" si="203"/>
        <v>25.324194906636951</v>
      </c>
      <c r="Y491" s="346">
        <f t="shared" si="204"/>
        <v>-33.866398605656627</v>
      </c>
      <c r="AA491" s="345">
        <f t="shared" si="205"/>
        <v>30.458270160229297</v>
      </c>
      <c r="AB491" s="346">
        <f t="shared" si="206"/>
        <v>-130.50161767359302</v>
      </c>
      <c r="AD491">
        <f t="shared" si="210"/>
        <v>0</v>
      </c>
      <c r="AE491">
        <f t="shared" si="213"/>
        <v>0</v>
      </c>
    </row>
    <row r="492" spans="1:31" x14ac:dyDescent="0.25">
      <c r="A492" s="347">
        <v>61309</v>
      </c>
      <c r="B492" s="364">
        <f t="shared" si="207"/>
        <v>61.308999999999997</v>
      </c>
      <c r="C492" s="337">
        <f t="shared" si="188"/>
        <v>26.606265652166424</v>
      </c>
      <c r="D492" s="338">
        <f t="shared" si="189"/>
        <v>1.5332023403548576</v>
      </c>
      <c r="E492" s="338">
        <f t="shared" si="190"/>
        <v>1.0122755532850041</v>
      </c>
      <c r="F492" s="339">
        <f t="shared" si="191"/>
        <v>0.15589278653921551</v>
      </c>
      <c r="G492" s="338">
        <f t="shared" si="192"/>
        <v>1</v>
      </c>
      <c r="H492" s="339">
        <f t="shared" si="193"/>
        <v>0</v>
      </c>
      <c r="I492" s="337">
        <f t="shared" si="194"/>
        <v>81380.46038129917</v>
      </c>
      <c r="J492" s="340">
        <f t="shared" si="195"/>
        <v>1.5707840388329541</v>
      </c>
      <c r="K492" s="348">
        <f t="shared" si="211"/>
        <v>22.903659954836151</v>
      </c>
      <c r="L492" s="349">
        <f t="shared" si="212"/>
        <v>1.5271212988409277</v>
      </c>
      <c r="M492" s="337">
        <f t="shared" si="196"/>
        <v>1.1727860156445256</v>
      </c>
      <c r="N492" s="340">
        <f t="shared" si="197"/>
        <v>0.54972071540958534</v>
      </c>
      <c r="O492" s="341">
        <f t="shared" si="198"/>
        <v>1.1160304206080338</v>
      </c>
      <c r="P492" s="342">
        <f t="shared" si="199"/>
        <v>0.90499998509177693</v>
      </c>
      <c r="Q492" s="343">
        <f t="shared" si="200"/>
        <v>-7.9025051303175333</v>
      </c>
      <c r="R492" s="344">
        <f t="shared" si="201"/>
        <v>-164.76507193751729</v>
      </c>
      <c r="S492" s="346">
        <f t="shared" si="202"/>
        <v>15.234928062482709</v>
      </c>
      <c r="U492" s="319">
        <f t="shared" si="208"/>
        <v>61309</v>
      </c>
      <c r="V492" s="319">
        <f t="shared" si="209"/>
        <v>3758793481</v>
      </c>
      <c r="X492" s="345">
        <f t="shared" si="203"/>
        <v>25.310543721081945</v>
      </c>
      <c r="Y492" s="346">
        <f t="shared" si="204"/>
        <v>-33.998367666250459</v>
      </c>
      <c r="AA492" s="345">
        <f t="shared" si="205"/>
        <v>30.396072437763145</v>
      </c>
      <c r="AB492" s="346">
        <f t="shared" si="206"/>
        <v>-130.76670427126678</v>
      </c>
      <c r="AD492">
        <f t="shared" si="210"/>
        <v>0</v>
      </c>
      <c r="AE492">
        <f t="shared" si="213"/>
        <v>0</v>
      </c>
    </row>
    <row r="493" spans="1:31" x14ac:dyDescent="0.25">
      <c r="A493" s="347">
        <v>61660</v>
      </c>
      <c r="B493" s="364">
        <f t="shared" si="207"/>
        <v>61.66</v>
      </c>
      <c r="C493" s="337">
        <f t="shared" si="188"/>
        <v>26.758374549045943</v>
      </c>
      <c r="D493" s="338">
        <f t="shared" si="189"/>
        <v>1.5334161445343382</v>
      </c>
      <c r="E493" s="338">
        <f t="shared" si="190"/>
        <v>1.0124156487328795</v>
      </c>
      <c r="F493" s="339">
        <f t="shared" si="191"/>
        <v>0.15677077661146718</v>
      </c>
      <c r="G493" s="338">
        <f t="shared" si="192"/>
        <v>1</v>
      </c>
      <c r="H493" s="339">
        <f t="shared" si="193"/>
        <v>0</v>
      </c>
      <c r="I493" s="337">
        <f t="shared" si="194"/>
        <v>81846.371448019156</v>
      </c>
      <c r="J493" s="340">
        <f t="shared" si="195"/>
        <v>1.5707841087822672</v>
      </c>
      <c r="K493" s="348">
        <f t="shared" si="211"/>
        <v>23.03453638601048</v>
      </c>
      <c r="L493" s="349">
        <f t="shared" si="212"/>
        <v>1.5273696059026889</v>
      </c>
      <c r="M493" s="337">
        <f t="shared" si="196"/>
        <v>1.1746225166124418</v>
      </c>
      <c r="N493" s="340">
        <f t="shared" si="197"/>
        <v>0.55226712948763834</v>
      </c>
      <c r="O493" s="341">
        <f t="shared" si="198"/>
        <v>1.1177942887338959</v>
      </c>
      <c r="P493" s="342">
        <f t="shared" si="199"/>
        <v>0.9102863129923302</v>
      </c>
      <c r="Q493" s="343">
        <f t="shared" si="200"/>
        <v>-7.9782211436633768</v>
      </c>
      <c r="R493" s="344">
        <f t="shared" si="201"/>
        <v>-165.1615770080297</v>
      </c>
      <c r="S493" s="346">
        <f t="shared" si="202"/>
        <v>14.838422991970305</v>
      </c>
      <c r="U493" s="319">
        <f t="shared" si="208"/>
        <v>61660</v>
      </c>
      <c r="V493" s="319">
        <f t="shared" si="209"/>
        <v>3801955600</v>
      </c>
      <c r="X493" s="345">
        <f t="shared" si="203"/>
        <v>25.29685887456661</v>
      </c>
      <c r="Y493" s="346">
        <f t="shared" si="204"/>
        <v>-34.130043507104254</v>
      </c>
      <c r="AA493" s="345">
        <f t="shared" si="205"/>
        <v>30.334041270932644</v>
      </c>
      <c r="AB493" s="346">
        <f t="shared" si="206"/>
        <v>-131.03153350092546</v>
      </c>
      <c r="AD493">
        <f t="shared" si="210"/>
        <v>0</v>
      </c>
      <c r="AE493">
        <f t="shared" si="213"/>
        <v>0</v>
      </c>
    </row>
    <row r="494" spans="1:31" x14ac:dyDescent="0.25">
      <c r="A494" s="347">
        <v>62019</v>
      </c>
      <c r="B494" s="364">
        <f t="shared" si="207"/>
        <v>62.018999999999998</v>
      </c>
      <c r="C494" s="337">
        <f t="shared" si="188"/>
        <v>26.913951566225506</v>
      </c>
      <c r="D494" s="338">
        <f t="shared" si="189"/>
        <v>1.5336323217800709</v>
      </c>
      <c r="E494" s="338">
        <f t="shared" si="190"/>
        <v>1.0125597443347825</v>
      </c>
      <c r="F494" s="339">
        <f t="shared" si="191"/>
        <v>0.15766852582032859</v>
      </c>
      <c r="G494" s="338">
        <f t="shared" si="192"/>
        <v>1</v>
      </c>
      <c r="H494" s="339">
        <f t="shared" si="193"/>
        <v>0</v>
      </c>
      <c r="I494" s="337">
        <f t="shared" si="194"/>
        <v>82322.901570391274</v>
      </c>
      <c r="J494" s="340">
        <f t="shared" si="195"/>
        <v>1.570784179506828</v>
      </c>
      <c r="K494" s="348">
        <f t="shared" si="211"/>
        <v>23.168397208149795</v>
      </c>
      <c r="L494" s="349">
        <f t="shared" si="212"/>
        <v>1.52762067039766</v>
      </c>
      <c r="M494" s="337">
        <f t="shared" si="196"/>
        <v>1.1765087291321426</v>
      </c>
      <c r="N494" s="340">
        <f t="shared" si="197"/>
        <v>0.55486334058705944</v>
      </c>
      <c r="O494" s="341">
        <f t="shared" si="198"/>
        <v>1.119617734565054</v>
      </c>
      <c r="P494" s="342">
        <f t="shared" si="199"/>
        <v>0.91569066208273331</v>
      </c>
      <c r="Q494" s="343">
        <f t="shared" si="200"/>
        <v>-8.0555285262346246</v>
      </c>
      <c r="R494" s="344">
        <f t="shared" si="201"/>
        <v>-165.56654326045944</v>
      </c>
      <c r="S494" s="346">
        <f t="shared" si="202"/>
        <v>14.43345673954056</v>
      </c>
      <c r="U494" s="319">
        <f t="shared" si="208"/>
        <v>62019</v>
      </c>
      <c r="V494" s="319">
        <f t="shared" si="209"/>
        <v>3846356361</v>
      </c>
      <c r="X494" s="345">
        <f t="shared" si="203"/>
        <v>25.282827745756972</v>
      </c>
      <c r="Y494" s="346">
        <f t="shared" si="204"/>
        <v>-34.264414562251062</v>
      </c>
      <c r="AA494" s="345">
        <f t="shared" si="205"/>
        <v>30.270765017171026</v>
      </c>
      <c r="AB494" s="346">
        <f t="shared" si="206"/>
        <v>-131.30212869820838</v>
      </c>
      <c r="AD494">
        <f t="shared" si="210"/>
        <v>0</v>
      </c>
      <c r="AE494">
        <f t="shared" si="213"/>
        <v>0</v>
      </c>
    </row>
    <row r="495" spans="1:31" x14ac:dyDescent="0.25">
      <c r="A495" s="347">
        <v>62378</v>
      </c>
      <c r="B495" s="364">
        <f t="shared" si="207"/>
        <v>62.378</v>
      </c>
      <c r="C495" s="337">
        <f t="shared" si="188"/>
        <v>27.06952982670655</v>
      </c>
      <c r="D495" s="338">
        <f t="shared" si="189"/>
        <v>1.5338460141399419</v>
      </c>
      <c r="E495" s="338">
        <f t="shared" si="190"/>
        <v>1.0127046557802801</v>
      </c>
      <c r="F495" s="339">
        <f t="shared" si="191"/>
        <v>0.15856601882821736</v>
      </c>
      <c r="G495" s="338">
        <f t="shared" si="192"/>
        <v>1</v>
      </c>
      <c r="H495" s="339">
        <f t="shared" si="193"/>
        <v>0</v>
      </c>
      <c r="I495" s="337">
        <f t="shared" si="194"/>
        <v>82799.431692763814</v>
      </c>
      <c r="J495" s="340">
        <f t="shared" si="195"/>
        <v>1.5707842494173159</v>
      </c>
      <c r="K495" s="348">
        <f t="shared" si="211"/>
        <v>23.302259473893002</v>
      </c>
      <c r="L495" s="349">
        <f t="shared" si="212"/>
        <v>1.5278688503756463</v>
      </c>
      <c r="M495" s="337">
        <f t="shared" si="196"/>
        <v>1.1784028462702607</v>
      </c>
      <c r="N495" s="340">
        <f t="shared" si="197"/>
        <v>0.55745122299328931</v>
      </c>
      <c r="O495" s="341">
        <f t="shared" si="198"/>
        <v>1.1214608869870957</v>
      </c>
      <c r="P495" s="342">
        <f t="shared" si="199"/>
        <v>0.92109240486179578</v>
      </c>
      <c r="Q495" s="343">
        <f t="shared" si="200"/>
        <v>-8.1327031530886327</v>
      </c>
      <c r="R495" s="344">
        <f t="shared" si="201"/>
        <v>-165.9709205130481</v>
      </c>
      <c r="S495" s="346">
        <f t="shared" si="202"/>
        <v>14.0290794869519</v>
      </c>
      <c r="U495" s="319">
        <f t="shared" si="208"/>
        <v>62378</v>
      </c>
      <c r="V495" s="319">
        <f t="shared" si="209"/>
        <v>3891014884</v>
      </c>
      <c r="X495" s="345">
        <f t="shared" si="203"/>
        <v>25.268762303014615</v>
      </c>
      <c r="Y495" s="346">
        <f t="shared" si="204"/>
        <v>-34.398473642435</v>
      </c>
      <c r="AA495" s="345">
        <f t="shared" si="205"/>
        <v>30.207655833059381</v>
      </c>
      <c r="AB495" s="346">
        <f t="shared" si="206"/>
        <v>-131.57244687061311</v>
      </c>
      <c r="AD495">
        <f t="shared" si="210"/>
        <v>0</v>
      </c>
      <c r="AE495">
        <f t="shared" si="213"/>
        <v>0</v>
      </c>
    </row>
    <row r="496" spans="1:31" x14ac:dyDescent="0.25">
      <c r="A496" s="347">
        <v>62737</v>
      </c>
      <c r="B496" s="364">
        <f t="shared" si="207"/>
        <v>62.737000000000002</v>
      </c>
      <c r="C496" s="337">
        <f t="shared" si="188"/>
        <v>27.225109309174478</v>
      </c>
      <c r="D496" s="338">
        <f t="shared" si="189"/>
        <v>1.5340572641943433</v>
      </c>
      <c r="E496" s="338">
        <f t="shared" si="190"/>
        <v>1.012850382719197</v>
      </c>
      <c r="F496" s="339">
        <f t="shared" si="191"/>
        <v>0.15946325429956143</v>
      </c>
      <c r="G496" s="338">
        <f t="shared" si="192"/>
        <v>1</v>
      </c>
      <c r="H496" s="339">
        <f t="shared" si="193"/>
        <v>0</v>
      </c>
      <c r="I496" s="337">
        <f t="shared" si="194"/>
        <v>83275.961815136747</v>
      </c>
      <c r="J496" s="340">
        <f t="shared" si="195"/>
        <v>1.5707843185277062</v>
      </c>
      <c r="K496" s="348">
        <f t="shared" si="211"/>
        <v>23.436123158503399</v>
      </c>
      <c r="L496" s="349">
        <f t="shared" si="212"/>
        <v>1.5281141952336188</v>
      </c>
      <c r="M496" s="337">
        <f t="shared" si="196"/>
        <v>1.180304829971526</v>
      </c>
      <c r="N496" s="340">
        <f t="shared" si="197"/>
        <v>0.56003078222388691</v>
      </c>
      <c r="O496" s="341">
        <f t="shared" si="198"/>
        <v>1.1233238589717407</v>
      </c>
      <c r="P496" s="342">
        <f t="shared" si="199"/>
        <v>0.9264914262783801</v>
      </c>
      <c r="Q496" s="343">
        <f t="shared" si="200"/>
        <v>-8.2097480881527982</v>
      </c>
      <c r="R496" s="344">
        <f t="shared" si="201"/>
        <v>-166.3747021767461</v>
      </c>
      <c r="S496" s="346">
        <f t="shared" si="202"/>
        <v>13.625297823253902</v>
      </c>
      <c r="U496" s="319">
        <f t="shared" si="208"/>
        <v>62737</v>
      </c>
      <c r="V496" s="319">
        <f t="shared" si="209"/>
        <v>3935931169</v>
      </c>
      <c r="X496" s="345">
        <f t="shared" si="203"/>
        <v>25.25466299845521</v>
      </c>
      <c r="Y496" s="346">
        <f t="shared" si="204"/>
        <v>-34.532218234351717</v>
      </c>
      <c r="AA496" s="345">
        <f t="shared" si="205"/>
        <v>30.14471020255462</v>
      </c>
      <c r="AB496" s="346">
        <f t="shared" si="206"/>
        <v>-131.84248394239435</v>
      </c>
      <c r="AD496">
        <f t="shared" si="210"/>
        <v>0</v>
      </c>
      <c r="AE496">
        <f t="shared" si="213"/>
        <v>0</v>
      </c>
    </row>
    <row r="497" spans="1:31" x14ac:dyDescent="0.25">
      <c r="A497" s="347">
        <v>63096</v>
      </c>
      <c r="B497" s="364">
        <f t="shared" si="207"/>
        <v>63.095999999999997</v>
      </c>
      <c r="C497" s="337">
        <f t="shared" si="188"/>
        <v>27.380689992798985</v>
      </c>
      <c r="D497" s="338">
        <f t="shared" si="189"/>
        <v>1.5342661135567608</v>
      </c>
      <c r="E497" s="338">
        <f t="shared" si="190"/>
        <v>1.0129969247995894</v>
      </c>
      <c r="F497" s="339">
        <f t="shared" si="191"/>
        <v>0.16036023090121379</v>
      </c>
      <c r="G497" s="338">
        <f t="shared" si="192"/>
        <v>1</v>
      </c>
      <c r="H497" s="339">
        <f t="shared" si="193"/>
        <v>0</v>
      </c>
      <c r="I497" s="337">
        <f t="shared" si="194"/>
        <v>83752.491937510058</v>
      </c>
      <c r="J497" s="340">
        <f t="shared" si="195"/>
        <v>1.5707843868516556</v>
      </c>
      <c r="K497" s="348">
        <f t="shared" si="211"/>
        <v>23.569988237805994</v>
      </c>
      <c r="L497" s="349">
        <f t="shared" si="212"/>
        <v>1.5283567532477378</v>
      </c>
      <c r="M497" s="337">
        <f t="shared" si="196"/>
        <v>1.1822146422680246</v>
      </c>
      <c r="N497" s="340">
        <f t="shared" si="197"/>
        <v>0.56260202420404304</v>
      </c>
      <c r="O497" s="341">
        <f t="shared" si="198"/>
        <v>1.1252067629091036</v>
      </c>
      <c r="P497" s="342">
        <f t="shared" si="199"/>
        <v>0.93188761072649362</v>
      </c>
      <c r="Q497" s="343">
        <f t="shared" si="200"/>
        <v>-8.286666326901555</v>
      </c>
      <c r="R497" s="344">
        <f t="shared" si="201"/>
        <v>-166.77788166272936</v>
      </c>
      <c r="S497" s="346">
        <f t="shared" si="202"/>
        <v>13.222118337270643</v>
      </c>
      <c r="U497" s="319">
        <f t="shared" si="208"/>
        <v>63096</v>
      </c>
      <c r="V497" s="319">
        <f t="shared" si="209"/>
        <v>3981105216</v>
      </c>
      <c r="X497" s="345">
        <f t="shared" si="203"/>
        <v>25.240530282500686</v>
      </c>
      <c r="Y497" s="346">
        <f t="shared" si="204"/>
        <v>-34.66564591225184</v>
      </c>
      <c r="AA497" s="345">
        <f t="shared" si="205"/>
        <v>30.081924679760384</v>
      </c>
      <c r="AB497" s="346">
        <f t="shared" si="206"/>
        <v>-132.11223575047748</v>
      </c>
      <c r="AD497">
        <f t="shared" si="210"/>
        <v>0</v>
      </c>
      <c r="AE497">
        <f t="shared" si="213"/>
        <v>0</v>
      </c>
    </row>
    <row r="498" spans="1:31" x14ac:dyDescent="0.25">
      <c r="A498" s="347">
        <v>63463.25</v>
      </c>
      <c r="B498" s="364">
        <f t="shared" si="207"/>
        <v>63.463250000000002</v>
      </c>
      <c r="C498" s="337">
        <f t="shared" si="188"/>
        <v>27.539847220193206</v>
      </c>
      <c r="D498" s="338">
        <f t="shared" si="189"/>
        <v>1.5344773207062399</v>
      </c>
      <c r="E498" s="338">
        <f t="shared" si="190"/>
        <v>1.0131476775769104</v>
      </c>
      <c r="F498" s="339">
        <f t="shared" si="191"/>
        <v>0.16127755122596343</v>
      </c>
      <c r="G498" s="338">
        <f t="shared" si="192"/>
        <v>1</v>
      </c>
      <c r="H498" s="339">
        <f t="shared" si="193"/>
        <v>0</v>
      </c>
      <c r="I498" s="337">
        <f t="shared" si="194"/>
        <v>84239.972961024687</v>
      </c>
      <c r="J498" s="340">
        <f t="shared" si="195"/>
        <v>1.5707844559458819</v>
      </c>
      <c r="K498" s="348">
        <f t="shared" si="211"/>
        <v>23.706931022252508</v>
      </c>
      <c r="L498" s="349">
        <f t="shared" si="212"/>
        <v>1.5286020509159162</v>
      </c>
      <c r="M498" s="337">
        <f t="shared" si="196"/>
        <v>1.1841764040344682</v>
      </c>
      <c r="N498" s="340">
        <f t="shared" si="197"/>
        <v>0.56522375506483746</v>
      </c>
      <c r="O498" s="341">
        <f t="shared" si="198"/>
        <v>1.1271536777672886</v>
      </c>
      <c r="P498" s="342">
        <f t="shared" si="199"/>
        <v>0.93740474559869258</v>
      </c>
      <c r="Q498" s="343">
        <f t="shared" si="200"/>
        <v>-8.3652241410400876</v>
      </c>
      <c r="R498" s="344">
        <f t="shared" si="201"/>
        <v>-167.18969645261902</v>
      </c>
      <c r="S498" s="346">
        <f t="shared" si="202"/>
        <v>12.810303547380983</v>
      </c>
      <c r="U498" s="319">
        <f t="shared" si="208"/>
        <v>63463.25</v>
      </c>
      <c r="V498" s="319">
        <f t="shared" si="209"/>
        <v>4027584100.5625</v>
      </c>
      <c r="X498" s="345">
        <f t="shared" si="203"/>
        <v>25.226038685518542</v>
      </c>
      <c r="Y498" s="346">
        <f t="shared" si="204"/>
        <v>-34.801809463446695</v>
      </c>
      <c r="AA498" s="345">
        <f t="shared" si="205"/>
        <v>30.017858462603996</v>
      </c>
      <c r="AB498" s="346">
        <f t="shared" si="206"/>
        <v>-132.38788698917233</v>
      </c>
      <c r="AD498">
        <f t="shared" si="210"/>
        <v>0</v>
      </c>
      <c r="AE498">
        <f t="shared" si="213"/>
        <v>0</v>
      </c>
    </row>
    <row r="499" spans="1:31" x14ac:dyDescent="0.25">
      <c r="A499" s="347">
        <v>63830.5</v>
      </c>
      <c r="B499" s="364">
        <f t="shared" si="207"/>
        <v>63.830500000000001</v>
      </c>
      <c r="C499" s="337">
        <f t="shared" si="188"/>
        <v>27.699005661979648</v>
      </c>
      <c r="D499" s="338">
        <f t="shared" si="189"/>
        <v>1.5346861006730641</v>
      </c>
      <c r="E499" s="338">
        <f t="shared" si="190"/>
        <v>1.0132992826401819</v>
      </c>
      <c r="F499" s="339">
        <f t="shared" si="191"/>
        <v>0.1621945978319066</v>
      </c>
      <c r="G499" s="338">
        <f t="shared" si="192"/>
        <v>1</v>
      </c>
      <c r="H499" s="339">
        <f t="shared" si="193"/>
        <v>0</v>
      </c>
      <c r="I499" s="337">
        <f t="shared" si="194"/>
        <v>84727.453984539694</v>
      </c>
      <c r="J499" s="340">
        <f t="shared" si="195"/>
        <v>1.5707845242450382</v>
      </c>
      <c r="K499" s="348">
        <f t="shared" si="211"/>
        <v>23.843875216782138</v>
      </c>
      <c r="L499" s="349">
        <f t="shared" si="212"/>
        <v>1.5288445309280716</v>
      </c>
      <c r="M499" s="337">
        <f t="shared" si="196"/>
        <v>1.1861462782490866</v>
      </c>
      <c r="N499" s="340">
        <f t="shared" si="197"/>
        <v>0.56783679583818369</v>
      </c>
      <c r="O499" s="341">
        <f t="shared" si="198"/>
        <v>1.1291216872019787</v>
      </c>
      <c r="P499" s="342">
        <f t="shared" si="199"/>
        <v>0.94291866521666445</v>
      </c>
      <c r="Q499" s="343">
        <f t="shared" si="200"/>
        <v>-8.4436554963338573</v>
      </c>
      <c r="R499" s="344">
        <f t="shared" si="201"/>
        <v>-167.60086712653055</v>
      </c>
      <c r="S499" s="346">
        <f t="shared" si="202"/>
        <v>12.399132873469455</v>
      </c>
      <c r="U499" s="319">
        <f t="shared" si="208"/>
        <v>63830.5</v>
      </c>
      <c r="V499" s="319">
        <f t="shared" si="209"/>
        <v>4074332730.25</v>
      </c>
      <c r="X499" s="345">
        <f t="shared" si="203"/>
        <v>25.211513071774494</v>
      </c>
      <c r="Y499" s="346">
        <f t="shared" si="204"/>
        <v>-34.937636503550841</v>
      </c>
      <c r="AA499" s="345">
        <f t="shared" si="205"/>
        <v>29.953952721054279</v>
      </c>
      <c r="AB499" s="346">
        <f t="shared" si="206"/>
        <v>-132.66323062297968</v>
      </c>
      <c r="AD499">
        <f t="shared" si="210"/>
        <v>0</v>
      </c>
      <c r="AE499">
        <f t="shared" si="213"/>
        <v>0</v>
      </c>
    </row>
    <row r="500" spans="1:31" x14ac:dyDescent="0.25">
      <c r="A500" s="347">
        <v>64197.75</v>
      </c>
      <c r="B500" s="364">
        <f t="shared" si="207"/>
        <v>64.197749999999999</v>
      </c>
      <c r="C500" s="337">
        <f t="shared" si="188"/>
        <v>27.858165297344211</v>
      </c>
      <c r="D500" s="338">
        <f t="shared" si="189"/>
        <v>1.5348924950399097</v>
      </c>
      <c r="E500" s="338">
        <f t="shared" si="190"/>
        <v>1.0134517396069165</v>
      </c>
      <c r="F500" s="339">
        <f t="shared" si="191"/>
        <v>0.16311136929980433</v>
      </c>
      <c r="G500" s="338">
        <f t="shared" si="192"/>
        <v>1</v>
      </c>
      <c r="H500" s="339">
        <f t="shared" si="193"/>
        <v>0</v>
      </c>
      <c r="I500" s="337">
        <f t="shared" si="194"/>
        <v>85214.935008055108</v>
      </c>
      <c r="J500" s="340">
        <f t="shared" si="195"/>
        <v>1.5707845917627696</v>
      </c>
      <c r="K500" s="348">
        <f t="shared" si="211"/>
        <v>23.980820797237737</v>
      </c>
      <c r="L500" s="349">
        <f t="shared" si="212"/>
        <v>1.5290842415272112</v>
      </c>
      <c r="M500" s="337">
        <f t="shared" si="196"/>
        <v>1.188124224561296</v>
      </c>
      <c r="N500" s="340">
        <f t="shared" si="197"/>
        <v>0.5704411541529526</v>
      </c>
      <c r="O500" s="341">
        <f t="shared" si="198"/>
        <v>1.1311109095441201</v>
      </c>
      <c r="P500" s="342">
        <f t="shared" si="199"/>
        <v>0.94842924420251062</v>
      </c>
      <c r="Q500" s="343">
        <f t="shared" si="200"/>
        <v>-8.5219633851501513</v>
      </c>
      <c r="R500" s="344">
        <f t="shared" si="201"/>
        <v>-168.01138663843093</v>
      </c>
      <c r="S500" s="346">
        <f t="shared" si="202"/>
        <v>11.988613361569065</v>
      </c>
      <c r="U500" s="319">
        <f t="shared" si="208"/>
        <v>64197.75</v>
      </c>
      <c r="V500" s="319">
        <f t="shared" si="209"/>
        <v>4121351105.0625</v>
      </c>
      <c r="X500" s="345">
        <f t="shared" si="203"/>
        <v>25.196953917616053</v>
      </c>
      <c r="Y500" s="346">
        <f t="shared" si="204"/>
        <v>-35.07312470632754</v>
      </c>
      <c r="AA500" s="345">
        <f t="shared" si="205"/>
        <v>29.890203986396418</v>
      </c>
      <c r="AB500" s="346">
        <f t="shared" si="206"/>
        <v>-132.93826193210339</v>
      </c>
      <c r="AD500">
        <f t="shared" si="210"/>
        <v>0</v>
      </c>
      <c r="AE500">
        <f t="shared" si="213"/>
        <v>0</v>
      </c>
    </row>
    <row r="501" spans="1:31" x14ac:dyDescent="0.25">
      <c r="A501" s="347">
        <v>64565</v>
      </c>
      <c r="B501" s="364">
        <f t="shared" si="207"/>
        <v>64.564999999999998</v>
      </c>
      <c r="C501" s="337">
        <f t="shared" si="188"/>
        <v>28.017326105945617</v>
      </c>
      <c r="D501" s="338">
        <f t="shared" si="189"/>
        <v>1.5350965444453855</v>
      </c>
      <c r="E501" s="338">
        <f t="shared" si="190"/>
        <v>1.0136050480927083</v>
      </c>
      <c r="F501" s="339">
        <f t="shared" si="191"/>
        <v>0.16402786421311921</v>
      </c>
      <c r="G501" s="338">
        <f t="shared" si="192"/>
        <v>1</v>
      </c>
      <c r="H501" s="339">
        <f t="shared" si="193"/>
        <v>0</v>
      </c>
      <c r="I501" s="337">
        <f t="shared" si="194"/>
        <v>85702.416031570887</v>
      </c>
      <c r="J501" s="340">
        <f t="shared" si="195"/>
        <v>1.5707846585124103</v>
      </c>
      <c r="K501" s="348">
        <f t="shared" si="211"/>
        <v>24.117767740010603</v>
      </c>
      <c r="L501" s="349">
        <f t="shared" si="212"/>
        <v>1.5293212298618863</v>
      </c>
      <c r="M501" s="337">
        <f t="shared" si="196"/>
        <v>1.1901102027239607</v>
      </c>
      <c r="N501" s="340">
        <f t="shared" si="197"/>
        <v>0.57303683805852357</v>
      </c>
      <c r="O501" s="341">
        <f t="shared" si="198"/>
        <v>1.1331214624225547</v>
      </c>
      <c r="P501" s="342">
        <f t="shared" si="199"/>
        <v>0.95393635669651267</v>
      </c>
      <c r="Q501" s="343">
        <f t="shared" si="200"/>
        <v>-8.6001507301563347</v>
      </c>
      <c r="R501" s="344">
        <f t="shared" si="201"/>
        <v>-168.42124794721832</v>
      </c>
      <c r="S501" s="346">
        <f t="shared" si="202"/>
        <v>11.578752052781681</v>
      </c>
      <c r="U501" s="319">
        <f t="shared" si="208"/>
        <v>64565</v>
      </c>
      <c r="V501" s="319">
        <f t="shared" si="209"/>
        <v>4168639225</v>
      </c>
      <c r="X501" s="345">
        <f t="shared" si="203"/>
        <v>25.182361697311361</v>
      </c>
      <c r="Y501" s="346">
        <f t="shared" si="204"/>
        <v>-35.20827183232317</v>
      </c>
      <c r="AA501" s="345">
        <f t="shared" si="205"/>
        <v>29.826608861694929</v>
      </c>
      <c r="AB501" s="346">
        <f t="shared" si="206"/>
        <v>-133.21297611489513</v>
      </c>
      <c r="AD501">
        <f t="shared" si="210"/>
        <v>0</v>
      </c>
      <c r="AE501">
        <f t="shared" si="213"/>
        <v>0</v>
      </c>
    </row>
    <row r="502" spans="1:31" x14ac:dyDescent="0.25">
      <c r="A502" s="347">
        <v>64941</v>
      </c>
      <c r="B502" s="364">
        <f t="shared" si="207"/>
        <v>64.941000000000003</v>
      </c>
      <c r="C502" s="337">
        <f t="shared" si="188"/>
        <v>28.180280232025169</v>
      </c>
      <c r="D502" s="338">
        <f t="shared" si="189"/>
        <v>1.5353030675179629</v>
      </c>
      <c r="E502" s="338">
        <f t="shared" si="190"/>
        <v>1.0137628910547805</v>
      </c>
      <c r="F502" s="339">
        <f t="shared" si="191"/>
        <v>0.16496590729530489</v>
      </c>
      <c r="G502" s="338">
        <f t="shared" si="192"/>
        <v>1</v>
      </c>
      <c r="H502" s="339">
        <f t="shared" si="193"/>
        <v>0</v>
      </c>
      <c r="I502" s="337">
        <f t="shared" si="194"/>
        <v>86201.511647206236</v>
      </c>
      <c r="J502" s="340">
        <f t="shared" si="195"/>
        <v>1.5707847260702583</v>
      </c>
      <c r="K502" s="348">
        <f t="shared" si="211"/>
        <v>24.257978931209113</v>
      </c>
      <c r="L502" s="349">
        <f t="shared" si="212"/>
        <v>1.5295610924077667</v>
      </c>
      <c r="M502" s="337">
        <f t="shared" si="196"/>
        <v>1.1921517775294459</v>
      </c>
      <c r="N502" s="340">
        <f t="shared" si="197"/>
        <v>0.5756853879905961</v>
      </c>
      <c r="O502" s="341">
        <f t="shared" si="198"/>
        <v>1.1352021391883307</v>
      </c>
      <c r="P502" s="342">
        <f t="shared" si="199"/>
        <v>0.95957095691136085</v>
      </c>
      <c r="Q502" s="343">
        <f t="shared" si="200"/>
        <v>-8.6800790398766985</v>
      </c>
      <c r="R502" s="344">
        <f t="shared" si="201"/>
        <v>-168.84018524224621</v>
      </c>
      <c r="S502" s="346">
        <f t="shared" si="202"/>
        <v>11.159814757753793</v>
      </c>
      <c r="U502" s="319">
        <f t="shared" si="208"/>
        <v>64941</v>
      </c>
      <c r="V502" s="319">
        <f t="shared" si="209"/>
        <v>4217333481</v>
      </c>
      <c r="X502" s="345">
        <f t="shared" si="203"/>
        <v>25.167388042426829</v>
      </c>
      <c r="Y502" s="346">
        <f t="shared" si="204"/>
        <v>-35.346283324655658</v>
      </c>
      <c r="AA502" s="345">
        <f t="shared" si="205"/>
        <v>29.761654206859099</v>
      </c>
      <c r="AB502" s="346">
        <f t="shared" si="206"/>
        <v>-133.49390191759053</v>
      </c>
      <c r="AD502">
        <f t="shared" si="210"/>
        <v>0</v>
      </c>
      <c r="AE502">
        <f t="shared" si="213"/>
        <v>0</v>
      </c>
    </row>
    <row r="503" spans="1:31" x14ac:dyDescent="0.25">
      <c r="A503" s="347">
        <v>65317</v>
      </c>
      <c r="B503" s="364">
        <f t="shared" si="207"/>
        <v>65.316999999999993</v>
      </c>
      <c r="C503" s="337">
        <f t="shared" si="188"/>
        <v>28.343235546223138</v>
      </c>
      <c r="D503" s="338">
        <f t="shared" si="189"/>
        <v>1.5355072158503729</v>
      </c>
      <c r="E503" s="338">
        <f t="shared" si="190"/>
        <v>1.013921625773792</v>
      </c>
      <c r="F503" s="339">
        <f t="shared" si="191"/>
        <v>0.16590365749135103</v>
      </c>
      <c r="G503" s="338">
        <f t="shared" si="192"/>
        <v>1</v>
      </c>
      <c r="H503" s="339">
        <f t="shared" si="193"/>
        <v>0</v>
      </c>
      <c r="I503" s="337">
        <f t="shared" si="194"/>
        <v>86700.607262841964</v>
      </c>
      <c r="J503" s="340">
        <f t="shared" si="195"/>
        <v>1.5707847928503074</v>
      </c>
      <c r="K503" s="348">
        <f t="shared" si="211"/>
        <v>24.398191502026013</v>
      </c>
      <c r="L503" s="349">
        <f t="shared" si="212"/>
        <v>1.5297981980624757</v>
      </c>
      <c r="M503" s="337">
        <f t="shared" si="196"/>
        <v>1.1942016864336473</v>
      </c>
      <c r="N503" s="340">
        <f t="shared" si="197"/>
        <v>0.57832486363962821</v>
      </c>
      <c r="O503" s="341">
        <f t="shared" si="198"/>
        <v>1.1373054222464485</v>
      </c>
      <c r="P503" s="342">
        <f t="shared" si="199"/>
        <v>0.96520165507503652</v>
      </c>
      <c r="Q503" s="343">
        <f t="shared" si="200"/>
        <v>-8.7598869749452373</v>
      </c>
      <c r="R503" s="344">
        <f t="shared" si="201"/>
        <v>-169.25841768030404</v>
      </c>
      <c r="S503" s="346">
        <f t="shared" si="202"/>
        <v>10.741582319695965</v>
      </c>
      <c r="U503" s="319">
        <f t="shared" si="208"/>
        <v>65317</v>
      </c>
      <c r="V503" s="319">
        <f t="shared" si="209"/>
        <v>4266310489</v>
      </c>
      <c r="X503" s="345">
        <f t="shared" si="203"/>
        <v>25.152380726198139</v>
      </c>
      <c r="Y503" s="346">
        <f t="shared" si="204"/>
        <v>-35.483932812531485</v>
      </c>
      <c r="AA503" s="345">
        <f t="shared" si="205"/>
        <v>29.696853588019252</v>
      </c>
      <c r="AB503" s="346">
        <f t="shared" si="206"/>
        <v>-133.77448486777257</v>
      </c>
      <c r="AD503">
        <f t="shared" si="210"/>
        <v>0</v>
      </c>
      <c r="AE503">
        <f t="shared" si="213"/>
        <v>0</v>
      </c>
    </row>
    <row r="504" spans="1:31" x14ac:dyDescent="0.25">
      <c r="A504" s="347">
        <v>65693</v>
      </c>
      <c r="B504" s="364">
        <f t="shared" si="207"/>
        <v>65.692999999999998</v>
      </c>
      <c r="C504" s="337">
        <f t="shared" si="188"/>
        <v>28.506192028163937</v>
      </c>
      <c r="D504" s="338">
        <f t="shared" si="189"/>
        <v>1.5357090301512664</v>
      </c>
      <c r="E504" s="338">
        <f t="shared" si="190"/>
        <v>1.0140812518309812</v>
      </c>
      <c r="F504" s="339">
        <f t="shared" si="191"/>
        <v>0.16684111328991449</v>
      </c>
      <c r="G504" s="338">
        <f t="shared" si="192"/>
        <v>1</v>
      </c>
      <c r="H504" s="339">
        <f t="shared" si="193"/>
        <v>0</v>
      </c>
      <c r="I504" s="337">
        <f t="shared" si="194"/>
        <v>87199.702878478085</v>
      </c>
      <c r="J504" s="340">
        <f t="shared" si="195"/>
        <v>1.5707848588659128</v>
      </c>
      <c r="K504" s="348">
        <f t="shared" si="211"/>
        <v>24.538405428811867</v>
      </c>
      <c r="L504" s="349">
        <f t="shared" si="212"/>
        <v>1.5300325940582491</v>
      </c>
      <c r="M504" s="337">
        <f t="shared" si="196"/>
        <v>1.1962598865926739</v>
      </c>
      <c r="N504" s="340">
        <f t="shared" si="197"/>
        <v>0.58095527497160926</v>
      </c>
      <c r="O504" s="341">
        <f t="shared" si="198"/>
        <v>1.1394314354445809</v>
      </c>
      <c r="P504" s="342">
        <f t="shared" si="199"/>
        <v>0.97082831475952069</v>
      </c>
      <c r="Q504" s="343">
        <f t="shared" si="200"/>
        <v>-8.8395774529300972</v>
      </c>
      <c r="R504" s="344">
        <f t="shared" si="201"/>
        <v>-169.67593772923621</v>
      </c>
      <c r="S504" s="346">
        <f t="shared" si="202"/>
        <v>10.32406227076379</v>
      </c>
      <c r="U504" s="319">
        <f t="shared" si="208"/>
        <v>65693</v>
      </c>
      <c r="V504" s="319">
        <f t="shared" si="209"/>
        <v>4315570249</v>
      </c>
      <c r="X504" s="345">
        <f t="shared" si="203"/>
        <v>25.137340250506753</v>
      </c>
      <c r="Y504" s="346">
        <f t="shared" si="204"/>
        <v>-35.621218161517263</v>
      </c>
      <c r="AA504" s="345">
        <f t="shared" si="205"/>
        <v>29.63220358572578</v>
      </c>
      <c r="AB504" s="346">
        <f t="shared" si="206"/>
        <v>-134.05471956771893</v>
      </c>
      <c r="AD504">
        <f t="shared" si="210"/>
        <v>0</v>
      </c>
      <c r="AE504">
        <f t="shared" si="213"/>
        <v>0</v>
      </c>
    </row>
    <row r="505" spans="1:31" x14ac:dyDescent="0.25">
      <c r="A505" s="347">
        <v>66069</v>
      </c>
      <c r="B505" s="364">
        <f t="shared" si="207"/>
        <v>66.069000000000003</v>
      </c>
      <c r="C505" s="337">
        <f t="shared" si="188"/>
        <v>28.669149657935083</v>
      </c>
      <c r="D505" s="338">
        <f t="shared" si="189"/>
        <v>1.5359085502045013</v>
      </c>
      <c r="E505" s="338">
        <f t="shared" si="190"/>
        <v>1.0142417688054992</v>
      </c>
      <c r="F505" s="339">
        <f t="shared" si="191"/>
        <v>0.16777827318267072</v>
      </c>
      <c r="G505" s="338">
        <f t="shared" si="192"/>
        <v>1</v>
      </c>
      <c r="H505" s="339">
        <f t="shared" si="193"/>
        <v>0</v>
      </c>
      <c r="I505" s="337">
        <f t="shared" si="194"/>
        <v>87698.798494114584</v>
      </c>
      <c r="J505" s="340">
        <f t="shared" si="195"/>
        <v>1.5707849241301259</v>
      </c>
      <c r="K505" s="348">
        <f t="shared" si="211"/>
        <v>24.678620688454473</v>
      </c>
      <c r="L505" s="349">
        <f t="shared" si="212"/>
        <v>1.5302643265551013</v>
      </c>
      <c r="M505" s="337">
        <f t="shared" si="196"/>
        <v>1.1983263352842854</v>
      </c>
      <c r="N505" s="340">
        <f t="shared" si="197"/>
        <v>0.58357663238592905</v>
      </c>
      <c r="O505" s="341">
        <f t="shared" si="198"/>
        <v>1.141580301789997</v>
      </c>
      <c r="P505" s="342">
        <f t="shared" si="199"/>
        <v>0.97645079915233668</v>
      </c>
      <c r="Q505" s="343">
        <f t="shared" si="200"/>
        <v>-8.9191533201470747</v>
      </c>
      <c r="R505" s="344">
        <f t="shared" si="201"/>
        <v>-170.09273786794793</v>
      </c>
      <c r="S505" s="346">
        <f t="shared" si="202"/>
        <v>9.9072621320520682</v>
      </c>
      <c r="U505" s="319">
        <f t="shared" si="208"/>
        <v>66069</v>
      </c>
      <c r="V505" s="319">
        <f t="shared" si="209"/>
        <v>4365112761</v>
      </c>
      <c r="X505" s="345">
        <f t="shared" si="203"/>
        <v>25.122267114737298</v>
      </c>
      <c r="Y505" s="346">
        <f t="shared" si="204"/>
        <v>-35.758137323427881</v>
      </c>
      <c r="AA505" s="345">
        <f t="shared" si="205"/>
        <v>29.567700854278257</v>
      </c>
      <c r="AB505" s="346">
        <f t="shared" si="206"/>
        <v>-134.33460054452001</v>
      </c>
      <c r="AD505">
        <f t="shared" si="210"/>
        <v>0</v>
      </c>
      <c r="AE505">
        <f t="shared" si="213"/>
        <v>0</v>
      </c>
    </row>
    <row r="506" spans="1:31" x14ac:dyDescent="0.25">
      <c r="A506" s="347">
        <v>66453.75</v>
      </c>
      <c r="B506" s="364">
        <f t="shared" si="207"/>
        <v>66.453749999999999</v>
      </c>
      <c r="C506" s="337">
        <f t="shared" si="188"/>
        <v>28.835900687689698</v>
      </c>
      <c r="D506" s="338">
        <f t="shared" si="189"/>
        <v>1.5361103789500594</v>
      </c>
      <c r="E506" s="338">
        <f t="shared" si="190"/>
        <v>1.014406943031456</v>
      </c>
      <c r="F506" s="339">
        <f t="shared" si="191"/>
        <v>0.16873693409710025</v>
      </c>
      <c r="G506" s="338">
        <f t="shared" si="192"/>
        <v>1</v>
      </c>
      <c r="H506" s="339">
        <f t="shared" si="193"/>
        <v>0</v>
      </c>
      <c r="I506" s="337">
        <f t="shared" si="194"/>
        <v>88209.508701870654</v>
      </c>
      <c r="J506" s="340">
        <f t="shared" si="195"/>
        <v>1.5707849901486015</v>
      </c>
      <c r="K506" s="348">
        <f t="shared" si="211"/>
        <v>24.822100292367654</v>
      </c>
      <c r="L506" s="349">
        <f t="shared" si="212"/>
        <v>1.5304987416296152</v>
      </c>
      <c r="M506" s="337">
        <f t="shared" si="196"/>
        <v>1.2004493671333683</v>
      </c>
      <c r="N506" s="340">
        <f t="shared" si="197"/>
        <v>0.58624963101605232</v>
      </c>
      <c r="O506" s="341">
        <f t="shared" si="198"/>
        <v>1.1438029594894472</v>
      </c>
      <c r="P506" s="342">
        <f t="shared" si="199"/>
        <v>0.98219966067767817</v>
      </c>
      <c r="Q506" s="343">
        <f t="shared" si="200"/>
        <v>-9.0004652727390724</v>
      </c>
      <c r="R506" s="344">
        <f t="shared" si="201"/>
        <v>-170.51848441007195</v>
      </c>
      <c r="S506" s="346">
        <f t="shared" si="202"/>
        <v>9.4815155899280512</v>
      </c>
      <c r="U506" s="319">
        <f t="shared" si="208"/>
        <v>66453.75</v>
      </c>
      <c r="V506" s="319">
        <f t="shared" si="209"/>
        <v>4416100889.0625</v>
      </c>
      <c r="X506" s="345">
        <f t="shared" si="203"/>
        <v>25.106809917163616</v>
      </c>
      <c r="Y506" s="346">
        <f t="shared" si="204"/>
        <v>-35.897861651893969</v>
      </c>
      <c r="AA506" s="345">
        <f t="shared" si="205"/>
        <v>29.501846099259943</v>
      </c>
      <c r="AB506" s="346">
        <f t="shared" si="206"/>
        <v>-134.620622758178</v>
      </c>
      <c r="AD506">
        <f t="shared" si="210"/>
        <v>0</v>
      </c>
      <c r="AE506">
        <f t="shared" si="213"/>
        <v>0</v>
      </c>
    </row>
    <row r="507" spans="1:31" x14ac:dyDescent="0.25">
      <c r="A507" s="347">
        <v>66838.5</v>
      </c>
      <c r="B507" s="364">
        <f t="shared" si="207"/>
        <v>66.838499999999996</v>
      </c>
      <c r="C507" s="337">
        <f t="shared" si="188"/>
        <v>29.002652878563111</v>
      </c>
      <c r="D507" s="338">
        <f t="shared" si="189"/>
        <v>1.5363098868549057</v>
      </c>
      <c r="E507" s="338">
        <f t="shared" si="190"/>
        <v>1.0145730492245351</v>
      </c>
      <c r="F507" s="339">
        <f t="shared" si="191"/>
        <v>0.16969528198755687</v>
      </c>
      <c r="G507" s="338">
        <f t="shared" si="192"/>
        <v>1</v>
      </c>
      <c r="H507" s="339">
        <f t="shared" si="193"/>
        <v>0</v>
      </c>
      <c r="I507" s="337">
        <f t="shared" si="194"/>
        <v>88720.218909627118</v>
      </c>
      <c r="J507" s="340">
        <f t="shared" si="195"/>
        <v>1.5707850554070177</v>
      </c>
      <c r="K507" s="348">
        <f t="shared" si="211"/>
        <v>24.965581244587899</v>
      </c>
      <c r="L507" s="349">
        <f t="shared" si="212"/>
        <v>1.5307304622793247</v>
      </c>
      <c r="M507" s="337">
        <f t="shared" si="196"/>
        <v>1.2025809457794614</v>
      </c>
      <c r="N507" s="340">
        <f t="shared" si="197"/>
        <v>0.58891317282332545</v>
      </c>
      <c r="O507" s="341">
        <f t="shared" si="198"/>
        <v>1.146049804185012</v>
      </c>
      <c r="P507" s="342">
        <f t="shared" si="199"/>
        <v>0.98794385940645391</v>
      </c>
      <c r="Q507" s="343">
        <f t="shared" si="200"/>
        <v>-9.0816630251785817</v>
      </c>
      <c r="R507" s="344">
        <f t="shared" si="201"/>
        <v>-170.94346125379042</v>
      </c>
      <c r="S507" s="346">
        <f t="shared" si="202"/>
        <v>9.0565387462095828</v>
      </c>
      <c r="U507" s="319">
        <f t="shared" si="208"/>
        <v>66838.5</v>
      </c>
      <c r="V507" s="319">
        <f t="shared" si="209"/>
        <v>4467385082.25</v>
      </c>
      <c r="X507" s="345">
        <f t="shared" si="203"/>
        <v>25.091319571495568</v>
      </c>
      <c r="Y507" s="346">
        <f t="shared" si="204"/>
        <v>-36.037198479944017</v>
      </c>
      <c r="AA507" s="345">
        <f t="shared" si="205"/>
        <v>29.436138692488477</v>
      </c>
      <c r="AB507" s="346">
        <f t="shared" si="206"/>
        <v>-134.90626277384641</v>
      </c>
      <c r="AD507">
        <f t="shared" si="210"/>
        <v>0</v>
      </c>
      <c r="AE507">
        <f t="shared" si="213"/>
        <v>0</v>
      </c>
    </row>
    <row r="508" spans="1:31" x14ac:dyDescent="0.25">
      <c r="A508" s="347">
        <v>67223.25</v>
      </c>
      <c r="B508" s="364">
        <f t="shared" si="207"/>
        <v>67.223249999999993</v>
      </c>
      <c r="C508" s="337">
        <f t="shared" si="188"/>
        <v>29.169406210642087</v>
      </c>
      <c r="D508" s="338">
        <f t="shared" si="189"/>
        <v>1.5365071137058106</v>
      </c>
      <c r="E508" s="338">
        <f t="shared" si="190"/>
        <v>1.0147400869270657</v>
      </c>
      <c r="F508" s="339">
        <f t="shared" si="191"/>
        <v>0.17065331524784227</v>
      </c>
      <c r="G508" s="338">
        <f t="shared" si="192"/>
        <v>1</v>
      </c>
      <c r="H508" s="339">
        <f t="shared" si="193"/>
        <v>0</v>
      </c>
      <c r="I508" s="337">
        <f t="shared" si="194"/>
        <v>89230.929117383945</v>
      </c>
      <c r="J508" s="340">
        <f t="shared" si="195"/>
        <v>1.5707851199184255</v>
      </c>
      <c r="K508" s="348">
        <f t="shared" si="211"/>
        <v>25.109063522001271</v>
      </c>
      <c r="L508" s="349">
        <f t="shared" si="212"/>
        <v>1.5309595346698859</v>
      </c>
      <c r="M508" s="337">
        <f t="shared" si="196"/>
        <v>1.2047210258556234</v>
      </c>
      <c r="N508" s="340">
        <f t="shared" si="197"/>
        <v>0.59156727031269241</v>
      </c>
      <c r="O508" s="341">
        <f t="shared" si="198"/>
        <v>1.1483209648319119</v>
      </c>
      <c r="P508" s="342">
        <f t="shared" si="199"/>
        <v>0.99368324774458394</v>
      </c>
      <c r="Q508" s="343">
        <f t="shared" si="200"/>
        <v>-9.1627494036310733</v>
      </c>
      <c r="R508" s="344">
        <f t="shared" si="201"/>
        <v>-171.36766038635889</v>
      </c>
      <c r="S508" s="346">
        <f t="shared" si="202"/>
        <v>8.6323396136411077</v>
      </c>
      <c r="U508" s="319">
        <f t="shared" si="208"/>
        <v>67223.25</v>
      </c>
      <c r="V508" s="319">
        <f t="shared" si="209"/>
        <v>4518965340.5625</v>
      </c>
      <c r="X508" s="345">
        <f t="shared" si="203"/>
        <v>25.075796604376247</v>
      </c>
      <c r="Y508" s="346">
        <f t="shared" si="204"/>
        <v>-36.176145879709054</v>
      </c>
      <c r="AA508" s="345">
        <f t="shared" si="205"/>
        <v>29.370575281155304</v>
      </c>
      <c r="AB508" s="346">
        <f t="shared" si="206"/>
        <v>-135.19151450664981</v>
      </c>
      <c r="AD508">
        <f t="shared" si="210"/>
        <v>0</v>
      </c>
      <c r="AE508">
        <f t="shared" si="213"/>
        <v>0</v>
      </c>
    </row>
    <row r="509" spans="1:31" x14ac:dyDescent="0.25">
      <c r="A509" s="347">
        <v>67608</v>
      </c>
      <c r="B509" s="364">
        <f t="shared" si="207"/>
        <v>67.608000000000004</v>
      </c>
      <c r="C509" s="337">
        <f t="shared" si="188"/>
        <v>29.336160664466021</v>
      </c>
      <c r="D509" s="338">
        <f t="shared" si="189"/>
        <v>1.5367020983856297</v>
      </c>
      <c r="E509" s="338">
        <f t="shared" si="190"/>
        <v>1.0149080556791132</v>
      </c>
      <c r="F509" s="339">
        <f t="shared" si="191"/>
        <v>0.17161103227512289</v>
      </c>
      <c r="G509" s="338">
        <f t="shared" si="192"/>
        <v>1</v>
      </c>
      <c r="H509" s="339">
        <f t="shared" si="193"/>
        <v>0</v>
      </c>
      <c r="I509" s="337">
        <f t="shared" si="194"/>
        <v>89741.639325141135</v>
      </c>
      <c r="J509" s="340">
        <f t="shared" si="195"/>
        <v>1.570785183695578</v>
      </c>
      <c r="K509" s="348">
        <f t="shared" si="211"/>
        <v>25.252547102018962</v>
      </c>
      <c r="L509" s="349">
        <f t="shared" si="212"/>
        <v>1.5311860039188376</v>
      </c>
      <c r="M509" s="337">
        <f t="shared" si="196"/>
        <v>1.206869562136401</v>
      </c>
      <c r="N509" s="340">
        <f t="shared" si="197"/>
        <v>0.59421193643279824</v>
      </c>
      <c r="O509" s="341">
        <f t="shared" si="198"/>
        <v>1.1506165693920072</v>
      </c>
      <c r="P509" s="342">
        <f t="shared" si="199"/>
        <v>0.99941767784168367</v>
      </c>
      <c r="Q509" s="343">
        <f t="shared" si="200"/>
        <v>-9.2437271615527727</v>
      </c>
      <c r="R509" s="344">
        <f t="shared" si="201"/>
        <v>-171.79107381382218</v>
      </c>
      <c r="S509" s="346">
        <f t="shared" si="202"/>
        <v>8.2089261861778198</v>
      </c>
      <c r="U509" s="319">
        <f t="shared" si="208"/>
        <v>67608</v>
      </c>
      <c r="V509" s="319">
        <f t="shared" si="209"/>
        <v>4570841664</v>
      </c>
      <c r="X509" s="345">
        <f t="shared" si="203"/>
        <v>25.060241539513854</v>
      </c>
      <c r="Y509" s="346">
        <f t="shared" si="204"/>
        <v>-36.314702008777914</v>
      </c>
      <c r="AA509" s="345">
        <f t="shared" si="205"/>
        <v>29.305152588095996</v>
      </c>
      <c r="AB509" s="346">
        <f t="shared" si="206"/>
        <v>-135.47637180504424</v>
      </c>
      <c r="AD509">
        <f t="shared" si="210"/>
        <v>0</v>
      </c>
      <c r="AE509">
        <f t="shared" si="213"/>
        <v>0</v>
      </c>
    </row>
    <row r="510" spans="1:31" x14ac:dyDescent="0.25">
      <c r="A510" s="347">
        <v>68001.75</v>
      </c>
      <c r="B510" s="364">
        <f t="shared" si="207"/>
        <v>68.001750000000001</v>
      </c>
      <c r="C510" s="337">
        <f t="shared" si="188"/>
        <v>29.506816948835326</v>
      </c>
      <c r="D510" s="338">
        <f t="shared" si="189"/>
        <v>1.5368993623033187</v>
      </c>
      <c r="E510" s="338">
        <f t="shared" si="190"/>
        <v>1.0150809170151391</v>
      </c>
      <c r="F510" s="339">
        <f t="shared" si="191"/>
        <v>0.17259082295556064</v>
      </c>
      <c r="G510" s="338">
        <f t="shared" si="192"/>
        <v>1</v>
      </c>
      <c r="H510" s="339">
        <f t="shared" si="193"/>
        <v>0</v>
      </c>
      <c r="I510" s="337">
        <f t="shared" si="194"/>
        <v>90264.295970507068</v>
      </c>
      <c r="J510" s="340">
        <f t="shared" si="195"/>
        <v>1.5707852482173785</v>
      </c>
      <c r="K510" s="348">
        <f t="shared" si="211"/>
        <v>25.399388348721359</v>
      </c>
      <c r="L510" s="349">
        <f t="shared" si="212"/>
        <v>1.5314151215102985</v>
      </c>
      <c r="M510" s="337">
        <f t="shared" si="196"/>
        <v>1.2090770647635967</v>
      </c>
      <c r="N510" s="340">
        <f t="shared" si="197"/>
        <v>0.59690871518153921</v>
      </c>
      <c r="O510" s="341">
        <f t="shared" si="198"/>
        <v>1.1529913130453309</v>
      </c>
      <c r="P510" s="342">
        <f t="shared" si="199"/>
        <v>1.00528095858672</v>
      </c>
      <c r="Q510" s="343">
        <f t="shared" si="200"/>
        <v>-9.3264894726367054</v>
      </c>
      <c r="R510" s="344">
        <f t="shared" si="201"/>
        <v>-172.22356984065308</v>
      </c>
      <c r="S510" s="346">
        <f t="shared" si="202"/>
        <v>7.7764301593469156</v>
      </c>
      <c r="U510" s="319">
        <f t="shared" si="208"/>
        <v>68001.75</v>
      </c>
      <c r="V510" s="319">
        <f t="shared" si="209"/>
        <v>4624238003.0625</v>
      </c>
      <c r="X510" s="345">
        <f t="shared" si="203"/>
        <v>25.044289924052222</v>
      </c>
      <c r="Y510" s="346">
        <f t="shared" si="204"/>
        <v>-36.456092275346862</v>
      </c>
      <c r="AA510" s="345">
        <f t="shared" si="205"/>
        <v>29.238341892473699</v>
      </c>
      <c r="AB510" s="346">
        <f t="shared" si="206"/>
        <v>-135.76747756530625</v>
      </c>
      <c r="AD510">
        <f t="shared" si="210"/>
        <v>0</v>
      </c>
      <c r="AE510">
        <f t="shared" si="213"/>
        <v>0</v>
      </c>
    </row>
    <row r="511" spans="1:31" x14ac:dyDescent="0.25">
      <c r="A511" s="347">
        <v>68395.5</v>
      </c>
      <c r="B511" s="364">
        <f t="shared" si="207"/>
        <v>68.395499999999998</v>
      </c>
      <c r="C511" s="337">
        <f t="shared" si="188"/>
        <v>29.677474368199807</v>
      </c>
      <c r="D511" s="338">
        <f t="shared" si="189"/>
        <v>1.5370943575347176</v>
      </c>
      <c r="E511" s="338">
        <f t="shared" si="190"/>
        <v>1.0152547524860898</v>
      </c>
      <c r="F511" s="339">
        <f t="shared" si="191"/>
        <v>0.17357027904962169</v>
      </c>
      <c r="G511" s="338">
        <f t="shared" si="192"/>
        <v>1</v>
      </c>
      <c r="H511" s="339">
        <f t="shared" si="193"/>
        <v>0</v>
      </c>
      <c r="I511" s="337">
        <f t="shared" si="194"/>
        <v>90786.952615873364</v>
      </c>
      <c r="J511" s="340">
        <f t="shared" si="195"/>
        <v>1.5707853119962807</v>
      </c>
      <c r="K511" s="348">
        <f t="shared" si="211"/>
        <v>25.546230913433114</v>
      </c>
      <c r="L511" s="349">
        <f t="shared" si="212"/>
        <v>1.5316416051269508</v>
      </c>
      <c r="M511" s="337">
        <f t="shared" si="196"/>
        <v>1.2112933284564253</v>
      </c>
      <c r="N511" s="340">
        <f t="shared" si="197"/>
        <v>0.59959564499651385</v>
      </c>
      <c r="O511" s="341">
        <f t="shared" si="198"/>
        <v>1.155391925473247</v>
      </c>
      <c r="P511" s="342">
        <f t="shared" si="199"/>
        <v>1.0111387324534102</v>
      </c>
      <c r="Q511" s="343">
        <f t="shared" si="200"/>
        <v>-9.4091436293982582</v>
      </c>
      <c r="R511" s="344">
        <f t="shared" si="201"/>
        <v>-172.65522610157083</v>
      </c>
      <c r="S511" s="346">
        <f t="shared" si="202"/>
        <v>7.3447738984291675</v>
      </c>
      <c r="U511" s="319">
        <f t="shared" si="208"/>
        <v>68395.5</v>
      </c>
      <c r="V511" s="319">
        <f t="shared" si="209"/>
        <v>4677944420.25</v>
      </c>
      <c r="X511" s="345">
        <f t="shared" si="203"/>
        <v>25.028305791855917</v>
      </c>
      <c r="Y511" s="346">
        <f t="shared" si="204"/>
        <v>-36.59706911265274</v>
      </c>
      <c r="AA511" s="345">
        <f t="shared" si="205"/>
        <v>29.171671867908451</v>
      </c>
      <c r="AB511" s="346">
        <f t="shared" si="206"/>
        <v>-136.05815698891803</v>
      </c>
      <c r="AD511">
        <f t="shared" si="210"/>
        <v>0</v>
      </c>
      <c r="AE511">
        <f t="shared" si="213"/>
        <v>0</v>
      </c>
    </row>
    <row r="512" spans="1:31" x14ac:dyDescent="0.25">
      <c r="A512" s="347">
        <v>68789.25</v>
      </c>
      <c r="B512" s="364">
        <f t="shared" si="207"/>
        <v>68.789249999999996</v>
      </c>
      <c r="C512" s="337">
        <f t="shared" si="188"/>
        <v>29.848132903091368</v>
      </c>
      <c r="D512" s="338">
        <f t="shared" si="189"/>
        <v>1.5372871229789293</v>
      </c>
      <c r="E512" s="338">
        <f t="shared" si="190"/>
        <v>1.0154295615916669</v>
      </c>
      <c r="F512" s="339">
        <f t="shared" si="191"/>
        <v>0.17454939885037674</v>
      </c>
      <c r="G512" s="338">
        <f t="shared" si="192"/>
        <v>1</v>
      </c>
      <c r="H512" s="339">
        <f t="shared" si="193"/>
        <v>0</v>
      </c>
      <c r="I512" s="337">
        <f t="shared" si="194"/>
        <v>91309.60926124001</v>
      </c>
      <c r="J512" s="340">
        <f t="shared" si="195"/>
        <v>1.5707853750450413</v>
      </c>
      <c r="K512" s="348">
        <f t="shared" si="211"/>
        <v>25.693074773555935</v>
      </c>
      <c r="L512" s="349">
        <f t="shared" si="212"/>
        <v>1.5318654999072976</v>
      </c>
      <c r="M512" s="337">
        <f t="shared" si="196"/>
        <v>1.2135183052135563</v>
      </c>
      <c r="N512" s="340">
        <f t="shared" si="197"/>
        <v>0.60227274114858464</v>
      </c>
      <c r="O512" s="341">
        <f t="shared" si="198"/>
        <v>1.1578185404858339</v>
      </c>
      <c r="P512" s="342">
        <f t="shared" si="199"/>
        <v>1.016990840413672</v>
      </c>
      <c r="Q512" s="343">
        <f t="shared" si="200"/>
        <v>-9.4916923548721108</v>
      </c>
      <c r="R512" s="344">
        <f t="shared" si="201"/>
        <v>-173.08603410093266</v>
      </c>
      <c r="S512" s="346">
        <f t="shared" si="202"/>
        <v>6.9139658990673354</v>
      </c>
      <c r="U512" s="319">
        <f t="shared" si="208"/>
        <v>68789.25</v>
      </c>
      <c r="V512" s="319">
        <f t="shared" si="209"/>
        <v>4731960915.5625</v>
      </c>
      <c r="X512" s="345">
        <f t="shared" si="203"/>
        <v>25.01228969442403</v>
      </c>
      <c r="Y512" s="346">
        <f t="shared" si="204"/>
        <v>-36.737630810136729</v>
      </c>
      <c r="AA512" s="345">
        <f t="shared" si="205"/>
        <v>29.105139239866489</v>
      </c>
      <c r="AB512" s="346">
        <f t="shared" si="206"/>
        <v>-136.34840329079594</v>
      </c>
      <c r="AD512">
        <f t="shared" si="210"/>
        <v>0</v>
      </c>
      <c r="AE512">
        <f t="shared" si="213"/>
        <v>0</v>
      </c>
    </row>
    <row r="513" spans="1:31" x14ac:dyDescent="0.25">
      <c r="A513" s="347">
        <v>69183</v>
      </c>
      <c r="B513" s="364">
        <f t="shared" si="207"/>
        <v>69.183000000000007</v>
      </c>
      <c r="C513" s="337">
        <f t="shared" si="188"/>
        <v>30.018792534484515</v>
      </c>
      <c r="D513" s="338">
        <f t="shared" si="189"/>
        <v>1.5374776966511481</v>
      </c>
      <c r="E513" s="338">
        <f t="shared" si="190"/>
        <v>1.0156053438291155</v>
      </c>
      <c r="F513" s="339">
        <f t="shared" si="191"/>
        <v>0.17552818065464756</v>
      </c>
      <c r="G513" s="338">
        <f t="shared" si="192"/>
        <v>1</v>
      </c>
      <c r="H513" s="339">
        <f t="shared" si="193"/>
        <v>0</v>
      </c>
      <c r="I513" s="337">
        <f t="shared" si="194"/>
        <v>91832.265906607048</v>
      </c>
      <c r="J513" s="340">
        <f t="shared" si="195"/>
        <v>1.570785437376127</v>
      </c>
      <c r="K513" s="348">
        <f t="shared" si="211"/>
        <v>25.839919907005026</v>
      </c>
      <c r="L513" s="349">
        <f t="shared" si="212"/>
        <v>1.532086849964827</v>
      </c>
      <c r="M513" s="337">
        <f t="shared" si="196"/>
        <v>1.2157519471970273</v>
      </c>
      <c r="N513" s="340">
        <f t="shared" si="197"/>
        <v>0.60494001936085307</v>
      </c>
      <c r="O513" s="341">
        <f t="shared" si="198"/>
        <v>1.1602712907295074</v>
      </c>
      <c r="P513" s="342">
        <f t="shared" si="199"/>
        <v>1.022837123344934</v>
      </c>
      <c r="Q513" s="343">
        <f t="shared" si="200"/>
        <v>-9.5741382978585889</v>
      </c>
      <c r="R513" s="344">
        <f t="shared" si="201"/>
        <v>-173.5159853714471</v>
      </c>
      <c r="S513" s="346">
        <f t="shared" si="202"/>
        <v>6.4840146285528988</v>
      </c>
      <c r="U513" s="319">
        <f t="shared" si="208"/>
        <v>69183</v>
      </c>
      <c r="V513" s="319">
        <f t="shared" si="209"/>
        <v>4786287489</v>
      </c>
      <c r="X513" s="345">
        <f t="shared" si="203"/>
        <v>24.996242179855596</v>
      </c>
      <c r="Y513" s="346">
        <f t="shared" si="204"/>
        <v>-36.877775741863779</v>
      </c>
      <c r="AA513" s="345">
        <f t="shared" si="205"/>
        <v>29.038740811448442</v>
      </c>
      <c r="AB513" s="346">
        <f t="shared" si="206"/>
        <v>-136.63820962958332</v>
      </c>
      <c r="AD513">
        <f t="shared" si="210"/>
        <v>0</v>
      </c>
      <c r="AE513">
        <f t="shared" si="213"/>
        <v>0</v>
      </c>
    </row>
    <row r="514" spans="1:31" x14ac:dyDescent="0.25">
      <c r="A514" s="347">
        <v>69586</v>
      </c>
      <c r="B514" s="364">
        <f t="shared" si="207"/>
        <v>69.585999999999999</v>
      </c>
      <c r="C514" s="337">
        <f t="shared" si="188"/>
        <v>30.193462428812623</v>
      </c>
      <c r="D514" s="338">
        <f t="shared" si="189"/>
        <v>1.537670516453473</v>
      </c>
      <c r="E514" s="338">
        <f t="shared" si="190"/>
        <v>1.0157862627184984</v>
      </c>
      <c r="F514" s="339">
        <f t="shared" si="191"/>
        <v>0.17652960428958434</v>
      </c>
      <c r="G514" s="338">
        <f t="shared" si="192"/>
        <v>1</v>
      </c>
      <c r="H514" s="339">
        <f t="shared" si="193"/>
        <v>0</v>
      </c>
      <c r="I514" s="337">
        <f t="shared" si="194"/>
        <v>92367.200835071941</v>
      </c>
      <c r="J514" s="340">
        <f t="shared" si="195"/>
        <v>1.5707855004410505</v>
      </c>
      <c r="K514" s="348">
        <f t="shared" si="211"/>
        <v>25.99021603167537</v>
      </c>
      <c r="L514" s="349">
        <f t="shared" si="212"/>
        <v>1.532310809888098</v>
      </c>
      <c r="M514" s="337">
        <f t="shared" si="196"/>
        <v>1.2180469852520068</v>
      </c>
      <c r="N514" s="340">
        <f t="shared" si="197"/>
        <v>0.60765980770248085</v>
      </c>
      <c r="O514" s="341">
        <f t="shared" si="198"/>
        <v>1.1628088617289141</v>
      </c>
      <c r="P514" s="342">
        <f t="shared" si="199"/>
        <v>1.0288145495133627</v>
      </c>
      <c r="Q514" s="343">
        <f t="shared" si="200"/>
        <v>-9.6584173212755839</v>
      </c>
      <c r="R514" s="344">
        <f t="shared" si="201"/>
        <v>-173.95514112495874</v>
      </c>
      <c r="S514" s="346">
        <f t="shared" si="202"/>
        <v>6.0448588750412569</v>
      </c>
      <c r="U514" s="319">
        <f t="shared" si="208"/>
        <v>69586</v>
      </c>
      <c r="V514" s="319">
        <f t="shared" si="209"/>
        <v>4842211396</v>
      </c>
      <c r="X514" s="345">
        <f t="shared" si="203"/>
        <v>24.979785711567743</v>
      </c>
      <c r="Y514" s="346">
        <f t="shared" si="204"/>
        <v>-37.020779790141773</v>
      </c>
      <c r="AA514" s="345">
        <f t="shared" si="205"/>
        <v>28.970918256319301</v>
      </c>
      <c r="AB514" s="346">
        <f t="shared" si="206"/>
        <v>-136.93436133481697</v>
      </c>
      <c r="AD514">
        <f t="shared" si="210"/>
        <v>0</v>
      </c>
      <c r="AE514">
        <f t="shared" si="213"/>
        <v>0</v>
      </c>
    </row>
    <row r="515" spans="1:31" x14ac:dyDescent="0.25">
      <c r="A515" s="347">
        <v>69989</v>
      </c>
      <c r="B515" s="364">
        <f t="shared" si="207"/>
        <v>69.989000000000004</v>
      </c>
      <c r="C515" s="337">
        <f t="shared" si="188"/>
        <v>30.368133432804257</v>
      </c>
      <c r="D515" s="338">
        <f t="shared" si="189"/>
        <v>1.5378611181463466</v>
      </c>
      <c r="E515" s="338">
        <f t="shared" si="190"/>
        <v>1.015968199925021</v>
      </c>
      <c r="F515" s="339">
        <f t="shared" si="191"/>
        <v>0.17753067026294081</v>
      </c>
      <c r="G515" s="338">
        <f t="shared" si="192"/>
        <v>1</v>
      </c>
      <c r="H515" s="339">
        <f t="shared" si="193"/>
        <v>0</v>
      </c>
      <c r="I515" s="337">
        <f t="shared" si="194"/>
        <v>92902.135763537197</v>
      </c>
      <c r="J515" s="340">
        <f t="shared" si="195"/>
        <v>1.5707855627797123</v>
      </c>
      <c r="K515" s="348">
        <f t="shared" si="211"/>
        <v>26.140513444973728</v>
      </c>
      <c r="L515" s="349">
        <f t="shared" si="212"/>
        <v>1.5325321944638364</v>
      </c>
      <c r="M515" s="337">
        <f t="shared" si="196"/>
        <v>1.2203509995747466</v>
      </c>
      <c r="N515" s="340">
        <f t="shared" si="197"/>
        <v>0.61036934614083282</v>
      </c>
      <c r="O515" s="341">
        <f t="shared" si="198"/>
        <v>1.1653740876829051</v>
      </c>
      <c r="P515" s="342">
        <f t="shared" si="199"/>
        <v>1.0347855363652625</v>
      </c>
      <c r="Q515" s="343">
        <f t="shared" si="200"/>
        <v>-9.7425940584128785</v>
      </c>
      <c r="R515" s="344">
        <f t="shared" si="201"/>
        <v>-174.39338157573289</v>
      </c>
      <c r="S515" s="346">
        <f t="shared" si="202"/>
        <v>5.6066184242671113</v>
      </c>
      <c r="U515" s="319">
        <f t="shared" si="208"/>
        <v>69989</v>
      </c>
      <c r="V515" s="319">
        <f t="shared" si="209"/>
        <v>4898460121</v>
      </c>
      <c r="X515" s="345">
        <f t="shared" si="203"/>
        <v>24.963297483414909</v>
      </c>
      <c r="Y515" s="346">
        <f t="shared" si="204"/>
        <v>-37.163344077153859</v>
      </c>
      <c r="AA515" s="345">
        <f t="shared" si="205"/>
        <v>28.903229747334841</v>
      </c>
      <c r="AB515" s="346">
        <f t="shared" si="206"/>
        <v>-137.23003749857904</v>
      </c>
      <c r="AD515">
        <f t="shared" si="210"/>
        <v>0</v>
      </c>
      <c r="AE515">
        <f t="shared" si="213"/>
        <v>0</v>
      </c>
    </row>
    <row r="516" spans="1:31" x14ac:dyDescent="0.25">
      <c r="A516" s="347">
        <v>70392</v>
      </c>
      <c r="B516" s="364">
        <f t="shared" si="207"/>
        <v>70.391999999999996</v>
      </c>
      <c r="C516" s="337">
        <f t="shared" si="188"/>
        <v>30.542805527421287</v>
      </c>
      <c r="D516" s="338">
        <f t="shared" si="189"/>
        <v>1.5380495397714227</v>
      </c>
      <c r="E516" s="338">
        <f t="shared" si="190"/>
        <v>1.0161511549017077</v>
      </c>
      <c r="F516" s="339">
        <f t="shared" si="191"/>
        <v>0.17853137676096845</v>
      </c>
      <c r="G516" s="338">
        <f t="shared" si="192"/>
        <v>1</v>
      </c>
      <c r="H516" s="339">
        <f t="shared" si="193"/>
        <v>0</v>
      </c>
      <c r="I516" s="337">
        <f t="shared" si="194"/>
        <v>93437.070692002817</v>
      </c>
      <c r="J516" s="340">
        <f t="shared" si="195"/>
        <v>1.5707856244045861</v>
      </c>
      <c r="K516" s="348">
        <f t="shared" si="211"/>
        <v>26.290812124799885</v>
      </c>
      <c r="L516" s="349">
        <f t="shared" si="212"/>
        <v>1.5327510478382069</v>
      </c>
      <c r="M516" s="337">
        <f t="shared" si="196"/>
        <v>1.2226639394200289</v>
      </c>
      <c r="N516" s="340">
        <f t="shared" si="197"/>
        <v>0.61306865294903357</v>
      </c>
      <c r="O516" s="341">
        <f t="shared" si="198"/>
        <v>1.1679671069072959</v>
      </c>
      <c r="P516" s="342">
        <f t="shared" si="199"/>
        <v>1.0407499133004889</v>
      </c>
      <c r="Q516" s="343">
        <f t="shared" si="200"/>
        <v>-9.8266711161321769</v>
      </c>
      <c r="R516" s="344">
        <f t="shared" si="201"/>
        <v>-174.8306977509462</v>
      </c>
      <c r="S516" s="346">
        <f t="shared" si="202"/>
        <v>5.1693022490537999</v>
      </c>
      <c r="U516" s="319">
        <f t="shared" si="208"/>
        <v>70392</v>
      </c>
      <c r="V516" s="319">
        <f t="shared" si="209"/>
        <v>4955033664</v>
      </c>
      <c r="X516" s="345">
        <f t="shared" si="203"/>
        <v>24.946778071722534</v>
      </c>
      <c r="Y516" s="346">
        <f t="shared" si="204"/>
        <v>-37.305467121198639</v>
      </c>
      <c r="AA516" s="345">
        <f t="shared" si="205"/>
        <v>28.835672101307917</v>
      </c>
      <c r="AB516" s="346">
        <f t="shared" si="206"/>
        <v>-137.52523062974751</v>
      </c>
      <c r="AD516">
        <f t="shared" si="210"/>
        <v>0</v>
      </c>
      <c r="AE516">
        <f t="shared" si="213"/>
        <v>0</v>
      </c>
    </row>
    <row r="517" spans="1:31" x14ac:dyDescent="0.25">
      <c r="A517" s="347">
        <v>70795</v>
      </c>
      <c r="B517" s="364">
        <f t="shared" si="207"/>
        <v>70.795000000000002</v>
      </c>
      <c r="C517" s="337">
        <f t="shared" si="188"/>
        <v>30.717478694058482</v>
      </c>
      <c r="D517" s="338">
        <f t="shared" si="189"/>
        <v>1.5382358185056952</v>
      </c>
      <c r="E517" s="338">
        <f t="shared" si="190"/>
        <v>1.0163351270989192</v>
      </c>
      <c r="F517" s="339">
        <f t="shared" si="191"/>
        <v>0.17953172197410108</v>
      </c>
      <c r="G517" s="338">
        <f t="shared" si="192"/>
        <v>1</v>
      </c>
      <c r="H517" s="339">
        <f t="shared" si="193"/>
        <v>0</v>
      </c>
      <c r="I517" s="337">
        <f t="shared" si="194"/>
        <v>93972.005620468772</v>
      </c>
      <c r="J517" s="340">
        <f t="shared" si="195"/>
        <v>1.5707856853278617</v>
      </c>
      <c r="K517" s="348">
        <f t="shared" si="211"/>
        <v>26.441112049555958</v>
      </c>
      <c r="L517" s="349">
        <f t="shared" si="212"/>
        <v>1.5329674131545921</v>
      </c>
      <c r="M517" s="337">
        <f t="shared" si="196"/>
        <v>1.2249857542300511</v>
      </c>
      <c r="N517" s="340">
        <f t="shared" si="197"/>
        <v>0.61575774685886786</v>
      </c>
      <c r="O517" s="341">
        <f t="shared" si="198"/>
        <v>1.1705880563660389</v>
      </c>
      <c r="P517" s="342">
        <f t="shared" si="199"/>
        <v>1.0467075098241754</v>
      </c>
      <c r="Q517" s="343">
        <f t="shared" si="200"/>
        <v>-9.9106510255024087</v>
      </c>
      <c r="R517" s="344">
        <f t="shared" si="201"/>
        <v>-175.26708071774456</v>
      </c>
      <c r="S517" s="346">
        <f t="shared" si="202"/>
        <v>4.7329192822554376</v>
      </c>
      <c r="U517" s="319">
        <f t="shared" si="208"/>
        <v>70795</v>
      </c>
      <c r="V517" s="319">
        <f t="shared" si="209"/>
        <v>5011932025</v>
      </c>
      <c r="X517" s="345">
        <f t="shared" si="203"/>
        <v>24.930228048923176</v>
      </c>
      <c r="Y517" s="346">
        <f t="shared" si="204"/>
        <v>-37.447147524293037</v>
      </c>
      <c r="AA517" s="345">
        <f t="shared" si="205"/>
        <v>28.768242214737043</v>
      </c>
      <c r="AB517" s="346">
        <f t="shared" si="206"/>
        <v>-137.81993319345156</v>
      </c>
      <c r="AD517">
        <f t="shared" si="210"/>
        <v>0</v>
      </c>
      <c r="AE517">
        <f t="shared" si="213"/>
        <v>0</v>
      </c>
    </row>
    <row r="518" spans="1:31" x14ac:dyDescent="0.25">
      <c r="A518" s="347">
        <v>71207.25</v>
      </c>
      <c r="B518" s="364">
        <f t="shared" si="207"/>
        <v>71.207250000000002</v>
      </c>
      <c r="C518" s="337">
        <f t="shared" si="188"/>
        <v>30.896162198571545</v>
      </c>
      <c r="D518" s="338">
        <f t="shared" si="189"/>
        <v>1.5384241935151353</v>
      </c>
      <c r="E518" s="338">
        <f t="shared" si="190"/>
        <v>1.0165243739178418</v>
      </c>
      <c r="F518" s="339">
        <f t="shared" si="191"/>
        <v>0.18055465226334827</v>
      </c>
      <c r="G518" s="338">
        <f t="shared" si="192"/>
        <v>1</v>
      </c>
      <c r="H518" s="339">
        <f t="shared" si="193"/>
        <v>0</v>
      </c>
      <c r="I518" s="337">
        <f t="shared" si="194"/>
        <v>94519.218832032639</v>
      </c>
      <c r="J518" s="340">
        <f t="shared" si="195"/>
        <v>1.5707857469359814</v>
      </c>
      <c r="K518" s="348">
        <f t="shared" si="211"/>
        <v>26.594863052594253</v>
      </c>
      <c r="L518" s="349">
        <f t="shared" si="212"/>
        <v>1.5331862142569594</v>
      </c>
      <c r="M518" s="337">
        <f t="shared" si="196"/>
        <v>1.2273699916631899</v>
      </c>
      <c r="N518" s="340">
        <f t="shared" si="197"/>
        <v>0.61849801593722697</v>
      </c>
      <c r="O518" s="341">
        <f t="shared" si="198"/>
        <v>1.1732982046672953</v>
      </c>
      <c r="P518" s="342">
        <f t="shared" si="199"/>
        <v>1.0527946569525553</v>
      </c>
      <c r="Q518" s="343">
        <f t="shared" si="200"/>
        <v>-9.9964605556211037</v>
      </c>
      <c r="R518" s="344">
        <f t="shared" si="201"/>
        <v>-175.7125050657686</v>
      </c>
      <c r="S518" s="346">
        <f t="shared" si="202"/>
        <v>4.2874949342314039</v>
      </c>
      <c r="U518" s="319">
        <f t="shared" si="208"/>
        <v>71207.25</v>
      </c>
      <c r="V518" s="319">
        <f t="shared" si="209"/>
        <v>5070472452.5625</v>
      </c>
      <c r="X518" s="345">
        <f t="shared" si="203"/>
        <v>24.913267075489117</v>
      </c>
      <c r="Y518" s="346">
        <f t="shared" si="204"/>
        <v>-37.591620527545089</v>
      </c>
      <c r="AA518" s="345">
        <f t="shared" si="205"/>
        <v>28.699393658052408</v>
      </c>
      <c r="AB518" s="346">
        <f t="shared" si="206"/>
        <v>-138.12088453822349</v>
      </c>
      <c r="AD518">
        <f t="shared" si="210"/>
        <v>0</v>
      </c>
      <c r="AE518">
        <f t="shared" si="213"/>
        <v>0</v>
      </c>
    </row>
    <row r="519" spans="1:31" x14ac:dyDescent="0.25">
      <c r="A519" s="347">
        <v>71619.5</v>
      </c>
      <c r="B519" s="364">
        <f t="shared" si="207"/>
        <v>71.619500000000002</v>
      </c>
      <c r="C519" s="337">
        <f t="shared" si="188"/>
        <v>31.074846786831053</v>
      </c>
      <c r="D519" s="338">
        <f t="shared" si="189"/>
        <v>1.5386104021673572</v>
      </c>
      <c r="E519" s="338">
        <f t="shared" si="190"/>
        <v>1.0167146840173953</v>
      </c>
      <c r="F519" s="339">
        <f t="shared" si="191"/>
        <v>0.18157720067515251</v>
      </c>
      <c r="G519" s="338">
        <f t="shared" si="192"/>
        <v>1</v>
      </c>
      <c r="H519" s="339">
        <f t="shared" si="193"/>
        <v>0</v>
      </c>
      <c r="I519" s="337">
        <f t="shared" si="194"/>
        <v>95066.432043596869</v>
      </c>
      <c r="J519" s="340">
        <f t="shared" si="195"/>
        <v>1.5707858078348544</v>
      </c>
      <c r="K519" s="348">
        <f t="shared" si="211"/>
        <v>26.748615314196218</v>
      </c>
      <c r="L519" s="349">
        <f t="shared" si="212"/>
        <v>1.5334025000121378</v>
      </c>
      <c r="M519" s="337">
        <f t="shared" si="196"/>
        <v>1.2297634097317598</v>
      </c>
      <c r="N519" s="340">
        <f t="shared" si="197"/>
        <v>0.62122763898878619</v>
      </c>
      <c r="O519" s="341">
        <f t="shared" si="198"/>
        <v>1.1760378656054375</v>
      </c>
      <c r="P519" s="342">
        <f t="shared" si="199"/>
        <v>1.0588743484827718</v>
      </c>
      <c r="Q519" s="343">
        <f t="shared" si="200"/>
        <v>-10.082173547525052</v>
      </c>
      <c r="R519" s="344">
        <f t="shared" si="201"/>
        <v>-176.15693410206006</v>
      </c>
      <c r="S519" s="346">
        <f t="shared" si="202"/>
        <v>3.8430658979399368</v>
      </c>
      <c r="U519" s="319">
        <f t="shared" si="208"/>
        <v>71619.5</v>
      </c>
      <c r="V519" s="319">
        <f t="shared" si="209"/>
        <v>5129352780.25</v>
      </c>
      <c r="X519" s="345">
        <f t="shared" si="203"/>
        <v>24.89627526875022</v>
      </c>
      <c r="Y519" s="346">
        <f t="shared" si="204"/>
        <v>-37.735627636533486</v>
      </c>
      <c r="AA519" s="345">
        <f t="shared" si="205"/>
        <v>28.630672472887358</v>
      </c>
      <c r="AB519" s="346">
        <f t="shared" si="206"/>
        <v>-138.42130646552658</v>
      </c>
      <c r="AD519">
        <f t="shared" si="210"/>
        <v>0</v>
      </c>
      <c r="AE519">
        <f t="shared" si="213"/>
        <v>0</v>
      </c>
    </row>
    <row r="520" spans="1:31" x14ac:dyDescent="0.25">
      <c r="A520" s="347">
        <v>72031.75</v>
      </c>
      <c r="B520" s="364">
        <f t="shared" si="207"/>
        <v>72.031750000000002</v>
      </c>
      <c r="C520" s="337">
        <f t="shared" si="188"/>
        <v>31.253532440248822</v>
      </c>
      <c r="D520" s="338">
        <f t="shared" si="189"/>
        <v>1.5387944816064438</v>
      </c>
      <c r="E520" s="338">
        <f t="shared" si="190"/>
        <v>1.0169060568006127</v>
      </c>
      <c r="F520" s="339">
        <f t="shared" si="191"/>
        <v>0.18259936528615334</v>
      </c>
      <c r="G520" s="338">
        <f t="shared" si="192"/>
        <v>1</v>
      </c>
      <c r="H520" s="339">
        <f t="shared" si="193"/>
        <v>0</v>
      </c>
      <c r="I520" s="337">
        <f t="shared" si="194"/>
        <v>95613.645255161435</v>
      </c>
      <c r="J520" s="340">
        <f t="shared" si="195"/>
        <v>1.5707858680366582</v>
      </c>
      <c r="K520" s="348">
        <f t="shared" si="211"/>
        <v>26.902368812783038</v>
      </c>
      <c r="L520" s="349">
        <f t="shared" si="212"/>
        <v>1.5336163135271561</v>
      </c>
      <c r="M520" s="337">
        <f t="shared" si="196"/>
        <v>1.2321659549370458</v>
      </c>
      <c r="N520" s="340">
        <f t="shared" si="197"/>
        <v>0.62394663749405099</v>
      </c>
      <c r="O520" s="341">
        <f t="shared" si="198"/>
        <v>1.1788071812897369</v>
      </c>
      <c r="P520" s="342">
        <f t="shared" si="199"/>
        <v>1.0649464025936675</v>
      </c>
      <c r="Q520" s="343">
        <f t="shared" si="200"/>
        <v>-10.167792473198178</v>
      </c>
      <c r="R520" s="344">
        <f t="shared" si="201"/>
        <v>-176.6003584090229</v>
      </c>
      <c r="S520" s="346">
        <f t="shared" si="202"/>
        <v>3.3996415909770974</v>
      </c>
      <c r="U520" s="319">
        <f t="shared" si="208"/>
        <v>72031.75</v>
      </c>
      <c r="V520" s="319">
        <f t="shared" si="209"/>
        <v>5188573008.0625</v>
      </c>
      <c r="X520" s="345">
        <f t="shared" si="203"/>
        <v>24.879253228603201</v>
      </c>
      <c r="Y520" s="346">
        <f t="shared" si="204"/>
        <v>-37.879167612847418</v>
      </c>
      <c r="AA520" s="345">
        <f t="shared" si="205"/>
        <v>28.56207558736125</v>
      </c>
      <c r="AB520" s="346">
        <f t="shared" si="206"/>
        <v>-138.72119079617542</v>
      </c>
      <c r="AD520">
        <f t="shared" si="210"/>
        <v>0</v>
      </c>
      <c r="AE520">
        <f t="shared" si="213"/>
        <v>0</v>
      </c>
    </row>
    <row r="521" spans="1:31" x14ac:dyDescent="0.25">
      <c r="A521" s="347">
        <v>72444</v>
      </c>
      <c r="B521" s="364">
        <f t="shared" si="207"/>
        <v>72.444000000000003</v>
      </c>
      <c r="C521" s="337">
        <f t="shared" si="188"/>
        <v>31.432219140659249</v>
      </c>
      <c r="D521" s="338">
        <f t="shared" si="189"/>
        <v>1.5389764681324316</v>
      </c>
      <c r="E521" s="338">
        <f t="shared" si="190"/>
        <v>1.0170984916676447</v>
      </c>
      <c r="F521" s="339">
        <f t="shared" si="191"/>
        <v>0.183621144177642</v>
      </c>
      <c r="G521" s="338">
        <f t="shared" si="192"/>
        <v>1</v>
      </c>
      <c r="H521" s="339">
        <f t="shared" si="193"/>
        <v>0</v>
      </c>
      <c r="I521" s="337">
        <f t="shared" si="194"/>
        <v>96160.858466726349</v>
      </c>
      <c r="J521" s="340">
        <f t="shared" si="195"/>
        <v>1.5707859275532929</v>
      </c>
      <c r="K521" s="348">
        <f t="shared" si="211"/>
        <v>27.056123527266248</v>
      </c>
      <c r="L521" s="349">
        <f t="shared" si="212"/>
        <v>1.5338276969300835</v>
      </c>
      <c r="M521" s="337">
        <f t="shared" si="196"/>
        <v>1.2345775739935554</v>
      </c>
      <c r="N521" s="340">
        <f t="shared" si="197"/>
        <v>0.62665503339501083</v>
      </c>
      <c r="O521" s="341">
        <f t="shared" si="198"/>
        <v>1.1816062922750665</v>
      </c>
      <c r="P521" s="342">
        <f t="shared" si="199"/>
        <v>1.0710106378103592</v>
      </c>
      <c r="Q521" s="343">
        <f t="shared" si="200"/>
        <v>-10.253319727468288</v>
      </c>
      <c r="R521" s="344">
        <f t="shared" si="201"/>
        <v>-177.04276862278954</v>
      </c>
      <c r="S521" s="346">
        <f t="shared" si="202"/>
        <v>2.9572313772104621</v>
      </c>
      <c r="U521" s="319">
        <f t="shared" si="208"/>
        <v>72444</v>
      </c>
      <c r="V521" s="319">
        <f t="shared" si="209"/>
        <v>5248133136</v>
      </c>
      <c r="X521" s="345">
        <f t="shared" si="203"/>
        <v>24.862201550541876</v>
      </c>
      <c r="Y521" s="346">
        <f t="shared" si="204"/>
        <v>-38.022239300591586</v>
      </c>
      <c r="AA521" s="345">
        <f t="shared" si="205"/>
        <v>28.493600011152466</v>
      </c>
      <c r="AB521" s="346">
        <f t="shared" si="206"/>
        <v>-139.020529322198</v>
      </c>
      <c r="AD521">
        <f t="shared" si="210"/>
        <v>0</v>
      </c>
      <c r="AE521">
        <f t="shared" si="213"/>
        <v>0</v>
      </c>
    </row>
    <row r="522" spans="1:31" x14ac:dyDescent="0.25">
      <c r="A522" s="347">
        <v>72865.75</v>
      </c>
      <c r="B522" s="364">
        <f t="shared" si="207"/>
        <v>72.865750000000006</v>
      </c>
      <c r="C522" s="337">
        <f t="shared" si="188"/>
        <v>31.615024610455333</v>
      </c>
      <c r="D522" s="338">
        <f t="shared" si="189"/>
        <v>1.5391605195845031</v>
      </c>
      <c r="E522" s="338">
        <f t="shared" si="190"/>
        <v>1.0172964595052767</v>
      </c>
      <c r="F522" s="339">
        <f t="shared" si="191"/>
        <v>0.18466606806626407</v>
      </c>
      <c r="G522" s="338">
        <f t="shared" si="192"/>
        <v>1</v>
      </c>
      <c r="H522" s="339">
        <f t="shared" si="193"/>
        <v>0</v>
      </c>
      <c r="I522" s="337">
        <f t="shared" si="194"/>
        <v>96720.681806878318</v>
      </c>
      <c r="J522" s="340">
        <f t="shared" si="195"/>
        <v>1.5707859877445369</v>
      </c>
      <c r="K522" s="348">
        <f t="shared" si="211"/>
        <v>27.213422643546515</v>
      </c>
      <c r="L522" s="349">
        <f t="shared" si="212"/>
        <v>1.5340414796842181</v>
      </c>
      <c r="M522" s="337">
        <f t="shared" si="196"/>
        <v>1.2370541016203318</v>
      </c>
      <c r="N522" s="340">
        <f t="shared" si="197"/>
        <v>0.62941489374102788</v>
      </c>
      <c r="O522" s="341">
        <f t="shared" si="198"/>
        <v>1.1845008847759648</v>
      </c>
      <c r="P522" s="342">
        <f t="shared" si="199"/>
        <v>1.0772063388402116</v>
      </c>
      <c r="Q522" s="343">
        <f t="shared" si="200"/>
        <v>-10.340725448160393</v>
      </c>
      <c r="R522" s="344">
        <f t="shared" si="201"/>
        <v>-177.49431473515938</v>
      </c>
      <c r="S522" s="346">
        <f t="shared" si="202"/>
        <v>2.505685264840622</v>
      </c>
      <c r="U522" s="319">
        <f t="shared" si="208"/>
        <v>72865.75</v>
      </c>
      <c r="V522" s="319">
        <f t="shared" si="209"/>
        <v>5309417523.0625</v>
      </c>
      <c r="X522" s="345">
        <f t="shared" si="203"/>
        <v>24.844726875081044</v>
      </c>
      <c r="Y522" s="346">
        <f t="shared" si="204"/>
        <v>-38.168122249790201</v>
      </c>
      <c r="AA522" s="345">
        <f t="shared" si="205"/>
        <v>28.423668965921195</v>
      </c>
      <c r="AB522" s="346">
        <f t="shared" si="206"/>
        <v>-139.32619248536918</v>
      </c>
      <c r="AD522">
        <f t="shared" si="210"/>
        <v>0</v>
      </c>
      <c r="AE522">
        <f t="shared" si="213"/>
        <v>0</v>
      </c>
    </row>
    <row r="523" spans="1:31" x14ac:dyDescent="0.25">
      <c r="A523" s="347">
        <v>73287.5</v>
      </c>
      <c r="B523" s="364">
        <f t="shared" si="207"/>
        <v>73.287499999999994</v>
      </c>
      <c r="C523" s="337">
        <f t="shared" si="188"/>
        <v>31.797831138894519</v>
      </c>
      <c r="D523" s="338">
        <f t="shared" si="189"/>
        <v>1.539342454809854</v>
      </c>
      <c r="E523" s="338">
        <f t="shared" si="190"/>
        <v>1.0174955376613251</v>
      </c>
      <c r="F523" s="339">
        <f t="shared" si="191"/>
        <v>0.18571058420568307</v>
      </c>
      <c r="G523" s="338">
        <f t="shared" si="192"/>
        <v>1</v>
      </c>
      <c r="H523" s="339">
        <f t="shared" si="193"/>
        <v>0</v>
      </c>
      <c r="I523" s="337">
        <f t="shared" si="194"/>
        <v>97280.505147030606</v>
      </c>
      <c r="J523" s="340">
        <f t="shared" si="195"/>
        <v>1.570786047243012</v>
      </c>
      <c r="K523" s="348">
        <f t="shared" si="211"/>
        <v>27.370722989268128</v>
      </c>
      <c r="L523" s="349">
        <f t="shared" si="212"/>
        <v>1.5342528052164346</v>
      </c>
      <c r="M523" s="337">
        <f t="shared" si="196"/>
        <v>1.2395400139841408</v>
      </c>
      <c r="N523" s="340">
        <f t="shared" si="197"/>
        <v>0.63216370508841702</v>
      </c>
      <c r="O523" s="341">
        <f t="shared" si="198"/>
        <v>1.1874269541732354</v>
      </c>
      <c r="P523" s="342">
        <f t="shared" si="199"/>
        <v>1.0833934735722661</v>
      </c>
      <c r="Q523" s="343">
        <f t="shared" si="200"/>
        <v>-10.428040053245201</v>
      </c>
      <c r="R523" s="344">
        <f t="shared" si="201"/>
        <v>-177.94477983403027</v>
      </c>
      <c r="S523" s="346">
        <f t="shared" si="202"/>
        <v>2.0552201659697289</v>
      </c>
      <c r="U523" s="319">
        <f t="shared" si="208"/>
        <v>73287.5</v>
      </c>
      <c r="V523" s="319">
        <f t="shared" si="209"/>
        <v>5371057656.25</v>
      </c>
      <c r="X523" s="345">
        <f t="shared" si="203"/>
        <v>24.827222426638929</v>
      </c>
      <c r="Y523" s="346">
        <f t="shared" si="204"/>
        <v>-38.31351288675156</v>
      </c>
      <c r="AA523" s="345">
        <f t="shared" si="205"/>
        <v>28.353858809278499</v>
      </c>
      <c r="AB523" s="346">
        <f t="shared" si="206"/>
        <v>-139.63126694727868</v>
      </c>
      <c r="AD523">
        <f t="shared" si="210"/>
        <v>0</v>
      </c>
      <c r="AE523">
        <f t="shared" si="213"/>
        <v>0</v>
      </c>
    </row>
    <row r="524" spans="1:31" x14ac:dyDescent="0.25">
      <c r="A524" s="347">
        <v>73709.25</v>
      </c>
      <c r="B524" s="364">
        <f t="shared" si="207"/>
        <v>73.709249999999997</v>
      </c>
      <c r="C524" s="337">
        <f t="shared" si="188"/>
        <v>31.980638707822674</v>
      </c>
      <c r="D524" s="338">
        <f t="shared" si="189"/>
        <v>1.5395223100866295</v>
      </c>
      <c r="E524" s="338">
        <f t="shared" si="190"/>
        <v>1.0176957254841998</v>
      </c>
      <c r="F524" s="339">
        <f t="shared" si="191"/>
        <v>0.18675469055669475</v>
      </c>
      <c r="G524" s="338">
        <f t="shared" si="192"/>
        <v>1</v>
      </c>
      <c r="H524" s="339">
        <f t="shared" si="193"/>
        <v>0</v>
      </c>
      <c r="I524" s="337">
        <f t="shared" si="194"/>
        <v>97840.328487183258</v>
      </c>
      <c r="J524" s="340">
        <f t="shared" si="195"/>
        <v>1.5707861060606096</v>
      </c>
      <c r="K524" s="348">
        <f t="shared" si="211"/>
        <v>27.528024543355301</v>
      </c>
      <c r="L524" s="349">
        <f t="shared" si="212"/>
        <v>1.5344617156311122</v>
      </c>
      <c r="M524" s="337">
        <f t="shared" si="196"/>
        <v>1.242035254734811</v>
      </c>
      <c r="N524" s="340">
        <f t="shared" si="197"/>
        <v>0.63490149236508764</v>
      </c>
      <c r="O524" s="341">
        <f t="shared" si="198"/>
        <v>1.1903846458045393</v>
      </c>
      <c r="P524" s="342">
        <f t="shared" si="199"/>
        <v>1.0895718491957858</v>
      </c>
      <c r="Q524" s="343">
        <f t="shared" si="200"/>
        <v>-10.515265865359121</v>
      </c>
      <c r="R524" s="344">
        <f t="shared" si="201"/>
        <v>-178.39415408412512</v>
      </c>
      <c r="S524" s="346">
        <f t="shared" si="202"/>
        <v>1.6058459158748803</v>
      </c>
      <c r="U524" s="319">
        <f t="shared" si="208"/>
        <v>73709.25</v>
      </c>
      <c r="V524" s="319">
        <f t="shared" si="209"/>
        <v>5433053535.5625</v>
      </c>
      <c r="X524" s="345">
        <f t="shared" si="203"/>
        <v>24.809688828344179</v>
      </c>
      <c r="Y524" s="346">
        <f t="shared" si="204"/>
        <v>-38.458410228017712</v>
      </c>
      <c r="AA524" s="345">
        <f t="shared" si="205"/>
        <v>28.284166595459332</v>
      </c>
      <c r="AB524" s="346">
        <f t="shared" si="206"/>
        <v>-139.93574385610739</v>
      </c>
      <c r="AD524">
        <f t="shared" si="210"/>
        <v>0</v>
      </c>
      <c r="AE524">
        <f t="shared" si="213"/>
        <v>0</v>
      </c>
    </row>
    <row r="525" spans="1:31" x14ac:dyDescent="0.25">
      <c r="A525" s="347">
        <v>74131</v>
      </c>
      <c r="B525" s="364">
        <f t="shared" si="207"/>
        <v>74.131</v>
      </c>
      <c r="C525" s="337">
        <f t="shared" ref="C525:C588" si="214">SQRT(1+(A525/pole1)^2)</f>
        <v>32.163447299498308</v>
      </c>
      <c r="D525" s="338">
        <f t="shared" ref="D525:D588" si="215">ATAN(A525/pole1)</f>
        <v>1.5397001208687386</v>
      </c>
      <c r="E525" s="338">
        <f t="shared" ref="E525:E588" si="216">SQRT(1+(A525/Zero1)^2)</f>
        <v>1.0178970223191932</v>
      </c>
      <c r="F525" s="339">
        <f t="shared" ref="F525:F588" si="217">ATAN(A525/Zero1)</f>
        <v>0.18779838508526847</v>
      </c>
      <c r="G525" s="338">
        <f t="shared" ref="G525:G588" si="218">IF(VIN_nom&gt;Vout, 1, SQRT(1+(A525/z_RHP)^2))</f>
        <v>1</v>
      </c>
      <c r="H525" s="339">
        <f t="shared" ref="H525:H588" si="219">IF(VIN_nom&gt;Vout, 0, -ATAN(A525/z_RHP))</f>
        <v>0</v>
      </c>
      <c r="I525" s="337">
        <f t="shared" ref="I525:I588" si="220">SQRT(1+(A525/Pole2)^2)</f>
        <v>98400.15182733626</v>
      </c>
      <c r="J525" s="340">
        <f t="shared" ref="J525:J588" si="221">ATAN(A525/Pole2)</f>
        <v>1.5707861642089509</v>
      </c>
      <c r="K525" s="348">
        <f t="shared" si="211"/>
        <v>27.685327285211088</v>
      </c>
      <c r="L525" s="349">
        <f t="shared" si="212"/>
        <v>1.5346682520765684</v>
      </c>
      <c r="M525" s="337">
        <f t="shared" ref="M525:M588" si="222">SQRT(1+(A525/pole4)^2)</f>
        <v>1.2445397677634791</v>
      </c>
      <c r="N525" s="340">
        <f t="shared" ref="N525:N588" si="223">ATAN(A525/pole4)</f>
        <v>0.63762828096045265</v>
      </c>
      <c r="O525" s="341">
        <f t="shared" ref="O525:O588" si="224">SQRT((1-(V525/pterm2))^2+(A525/pterm1)^2)</f>
        <v>1.1933741032335643</v>
      </c>
      <c r="P525" s="342">
        <f t="shared" ref="P525:P588" si="225">IF((ATAN((A525/pterm1)/(1-A525^2/pterm2))&gt;0),ATAN((A525/pterm1)/(1-A525^2/pterm2)),PI()+ATAN((A525/pterm1)/(1-A525^2/pterm2)))</f>
        <v>1.0957412735318859</v>
      </c>
      <c r="Q525" s="343">
        <f t="shared" ref="Q525:Q588" si="226">20*LOG10(((E525*K525*G525)/(C525*I525*O525*M525))*Adc)</f>
        <v>-10.602405128674327</v>
      </c>
      <c r="R525" s="344">
        <f t="shared" ref="R525:R588" si="227">((F525+L525+H525)-(D525+J525+P525+N525))*radconv</f>
        <v>-178.84242772005283</v>
      </c>
      <c r="S525" s="346">
        <f t="shared" ref="S525:S588" si="228">IF(R525&gt;0,R525,R525+180)</f>
        <v>1.1575722799471748</v>
      </c>
      <c r="U525" s="319">
        <f t="shared" si="208"/>
        <v>74131</v>
      </c>
      <c r="V525" s="319">
        <f t="shared" si="209"/>
        <v>5495405161</v>
      </c>
      <c r="X525" s="345">
        <f t="shared" ref="X525:X588" si="229">20*LOG10((K525/(I525*M525))*AEA)</f>
        <v>24.792126698386824</v>
      </c>
      <c r="Y525" s="346">
        <f t="shared" ref="Y525:Y588" si="230">(L525-(J525+N525))*radconv</f>
        <v>-38.602813371335806</v>
      </c>
      <c r="AA525" s="345">
        <f t="shared" ref="AA525:AA588" si="231">20*LOG10((E525*G525/(C525*O525))*Acs*Am)</f>
        <v>28.214589462101479</v>
      </c>
      <c r="AB525" s="346">
        <f t="shared" ref="AB525:AB588" si="232">(F525+H525-(D525+P525))*radconv</f>
        <v>-140.23961434871705</v>
      </c>
      <c r="AD525">
        <f t="shared" si="210"/>
        <v>0</v>
      </c>
      <c r="AE525">
        <f t="shared" si="213"/>
        <v>0</v>
      </c>
    </row>
    <row r="526" spans="1:31" x14ac:dyDescent="0.25">
      <c r="A526" s="347">
        <v>74562.75</v>
      </c>
      <c r="B526" s="364">
        <f t="shared" ref="B526:B589" si="233">A526/1000</f>
        <v>74.562749999999994</v>
      </c>
      <c r="C526" s="337">
        <f t="shared" si="214"/>
        <v>32.350591457477641</v>
      </c>
      <c r="D526" s="338">
        <f t="shared" si="215"/>
        <v>1.5398800660640803</v>
      </c>
      <c r="E526" s="338">
        <f t="shared" si="216"/>
        <v>1.0181042401291993</v>
      </c>
      <c r="F526" s="339">
        <f t="shared" si="217"/>
        <v>0.1888663976688176</v>
      </c>
      <c r="G526" s="338">
        <f t="shared" si="218"/>
        <v>1</v>
      </c>
      <c r="H526" s="339">
        <f t="shared" si="219"/>
        <v>0</v>
      </c>
      <c r="I526" s="337">
        <f t="shared" si="220"/>
        <v>98973.248987054554</v>
      </c>
      <c r="J526" s="340">
        <f t="shared" si="221"/>
        <v>1.570786223054641</v>
      </c>
      <c r="K526" s="348">
        <f t="shared" si="211"/>
        <v>27.846360999097957</v>
      </c>
      <c r="L526" s="349">
        <f t="shared" si="212"/>
        <v>1.5348772685670033</v>
      </c>
      <c r="M526" s="337">
        <f t="shared" si="222"/>
        <v>1.2471132109609762</v>
      </c>
      <c r="N526" s="340">
        <f t="shared" si="223"/>
        <v>0.6404083577290145</v>
      </c>
      <c r="O526" s="341">
        <f t="shared" si="224"/>
        <v>1.1964674953955918</v>
      </c>
      <c r="P526" s="342">
        <f t="shared" si="225"/>
        <v>1.1020475073394564</v>
      </c>
      <c r="Q526" s="343">
        <f t="shared" si="226"/>
        <v>-10.691523138256482</v>
      </c>
      <c r="R526" s="344">
        <f t="shared" si="227"/>
        <v>-179.300180063525</v>
      </c>
      <c r="S526" s="346">
        <f t="shared" si="228"/>
        <v>0.69981993647499507</v>
      </c>
      <c r="U526" s="319">
        <f t="shared" ref="U526:U589" si="234">IF(Q526&lt;0,A526,1000000000)</f>
        <v>74562.75</v>
      </c>
      <c r="V526" s="319">
        <f t="shared" ref="V526:V589" si="235">A526^2</f>
        <v>5559603687.5625</v>
      </c>
      <c r="X526" s="345">
        <f t="shared" si="229"/>
        <v>24.774119243281202</v>
      </c>
      <c r="Y526" s="346">
        <f t="shared" si="230"/>
        <v>-38.750127645924245</v>
      </c>
      <c r="AA526" s="345">
        <f t="shared" si="231"/>
        <v>28.143478907624946</v>
      </c>
      <c r="AB526" s="346">
        <f t="shared" si="232"/>
        <v>-140.55005241760082</v>
      </c>
      <c r="AD526">
        <f t="shared" ref="AD526:AD589" si="236">SUM((Q527&lt;0)*(Q526&gt;0))*A526</f>
        <v>0</v>
      </c>
      <c r="AE526">
        <f t="shared" si="213"/>
        <v>0</v>
      </c>
    </row>
    <row r="527" spans="1:31" x14ac:dyDescent="0.25">
      <c r="A527" s="347">
        <v>74994.5</v>
      </c>
      <c r="B527" s="364">
        <f t="shared" si="233"/>
        <v>74.994500000000002</v>
      </c>
      <c r="C527" s="337">
        <f t="shared" si="214"/>
        <v>32.537736650928089</v>
      </c>
      <c r="D527" s="338">
        <f t="shared" si="215"/>
        <v>1.5400579413068656</v>
      </c>
      <c r="E527" s="338">
        <f t="shared" si="216"/>
        <v>1.0183126187672991</v>
      </c>
      <c r="F527" s="339">
        <f t="shared" si="217"/>
        <v>0.18993397437207149</v>
      </c>
      <c r="G527" s="338">
        <f t="shared" si="218"/>
        <v>1</v>
      </c>
      <c r="H527" s="339">
        <f t="shared" si="219"/>
        <v>0</v>
      </c>
      <c r="I527" s="337">
        <f t="shared" si="220"/>
        <v>99546.346146773183</v>
      </c>
      <c r="J527" s="340">
        <f t="shared" si="221"/>
        <v>1.5707862812227715</v>
      </c>
      <c r="K527" s="348">
        <f t="shared" si="211"/>
        <v>28.007395915544102</v>
      </c>
      <c r="L527" s="349">
        <f t="shared" si="212"/>
        <v>1.5350838814903252</v>
      </c>
      <c r="M527" s="337">
        <f t="shared" si="222"/>
        <v>1.2496962531400044</v>
      </c>
      <c r="N527" s="340">
        <f t="shared" si="223"/>
        <v>0.64317696334058883</v>
      </c>
      <c r="O527" s="341">
        <f t="shared" si="224"/>
        <v>1.1995944763025874</v>
      </c>
      <c r="P527" s="342">
        <f t="shared" si="225"/>
        <v>1.108343955065678</v>
      </c>
      <c r="Q527" s="343">
        <f t="shared" si="226"/>
        <v>-10.780554959953017</v>
      </c>
      <c r="R527" s="344">
        <f t="shared" si="227"/>
        <v>-179.75675850694114</v>
      </c>
      <c r="S527" s="346">
        <f t="shared" si="228"/>
        <v>0.24324149305886067</v>
      </c>
      <c r="U527" s="319">
        <f t="shared" si="234"/>
        <v>74994.5</v>
      </c>
      <c r="V527" s="319">
        <f t="shared" si="235"/>
        <v>5624175030.25</v>
      </c>
      <c r="X527" s="345">
        <f t="shared" si="229"/>
        <v>24.756083182573096</v>
      </c>
      <c r="Y527" s="346">
        <f t="shared" si="230"/>
        <v>-38.896922347060595</v>
      </c>
      <c r="AA527" s="345">
        <f t="shared" si="231"/>
        <v>28.072483146636515</v>
      </c>
      <c r="AB527" s="346">
        <f t="shared" si="232"/>
        <v>-140.85983615988053</v>
      </c>
      <c r="AD527">
        <f t="shared" si="236"/>
        <v>0</v>
      </c>
      <c r="AE527">
        <f t="shared" si="213"/>
        <v>0</v>
      </c>
    </row>
    <row r="528" spans="1:31" x14ac:dyDescent="0.25">
      <c r="A528" s="347">
        <v>75426.25</v>
      </c>
      <c r="B528" s="364">
        <f t="shared" si="233"/>
        <v>75.426249999999996</v>
      </c>
      <c r="C528" s="337">
        <f t="shared" si="214"/>
        <v>32.72488286208489</v>
      </c>
      <c r="D528" s="338">
        <f t="shared" si="215"/>
        <v>1.5402337820985132</v>
      </c>
      <c r="E528" s="338">
        <f t="shared" si="216"/>
        <v>1.0185221575210144</v>
      </c>
      <c r="F528" s="339">
        <f t="shared" si="217"/>
        <v>0.19100111302983222</v>
      </c>
      <c r="G528" s="338">
        <f t="shared" si="218"/>
        <v>1</v>
      </c>
      <c r="H528" s="339">
        <f t="shared" si="219"/>
        <v>0</v>
      </c>
      <c r="I528" s="337">
        <f t="shared" si="220"/>
        <v>100119.44330649218</v>
      </c>
      <c r="J528" s="340">
        <f t="shared" si="221"/>
        <v>1.5707863387249774</v>
      </c>
      <c r="K528" s="348">
        <f t="shared" si="211"/>
        <v>28.168432013924932</v>
      </c>
      <c r="L528" s="349">
        <f t="shared" si="212"/>
        <v>1.5352881320515959</v>
      </c>
      <c r="M528" s="337">
        <f t="shared" si="222"/>
        <v>1.2522888349023493</v>
      </c>
      <c r="N528" s="340">
        <f t="shared" si="223"/>
        <v>0.64593412646583437</v>
      </c>
      <c r="O528" s="341">
        <f t="shared" si="224"/>
        <v>1.2027551940946526</v>
      </c>
      <c r="P528" s="342">
        <f t="shared" si="225"/>
        <v>1.1146304130010316</v>
      </c>
      <c r="Q528" s="343">
        <f t="shared" si="226"/>
        <v>-10.869502755359887</v>
      </c>
      <c r="R528" s="344">
        <f t="shared" si="227"/>
        <v>-180.21215281924191</v>
      </c>
      <c r="S528" s="346">
        <f t="shared" si="228"/>
        <v>-0.21215281924190776</v>
      </c>
      <c r="U528" s="319">
        <f t="shared" si="234"/>
        <v>75426.25</v>
      </c>
      <c r="V528" s="319">
        <f t="shared" si="235"/>
        <v>5689119189.0625</v>
      </c>
      <c r="X528" s="345">
        <f t="shared" si="229"/>
        <v>24.738019163250307</v>
      </c>
      <c r="Y528" s="346">
        <f t="shared" si="230"/>
        <v>-39.043196757243123</v>
      </c>
      <c r="AA528" s="345">
        <f t="shared" si="231"/>
        <v>28.00159937055243</v>
      </c>
      <c r="AB528" s="346">
        <f t="shared" si="232"/>
        <v>-141.16895606199876</v>
      </c>
      <c r="AD528">
        <f t="shared" si="236"/>
        <v>0</v>
      </c>
      <c r="AE528">
        <f t="shared" si="213"/>
        <v>0</v>
      </c>
    </row>
    <row r="529" spans="1:31" x14ac:dyDescent="0.25">
      <c r="A529" s="347">
        <v>75858</v>
      </c>
      <c r="B529" s="364">
        <f t="shared" si="233"/>
        <v>75.858000000000004</v>
      </c>
      <c r="C529" s="337">
        <f t="shared" si="214"/>
        <v>32.912030073587211</v>
      </c>
      <c r="D529" s="338">
        <f t="shared" si="215"/>
        <v>1.540407623133468</v>
      </c>
      <c r="E529" s="338">
        <f t="shared" si="216"/>
        <v>1.018732855674487</v>
      </c>
      <c r="F529" s="339">
        <f t="shared" si="217"/>
        <v>0.19206781148266908</v>
      </c>
      <c r="G529" s="338">
        <f t="shared" si="218"/>
        <v>1</v>
      </c>
      <c r="H529" s="339">
        <f t="shared" si="219"/>
        <v>0</v>
      </c>
      <c r="I529" s="337">
        <f t="shared" si="220"/>
        <v>100692.54046621146</v>
      </c>
      <c r="J529" s="340">
        <f t="shared" si="221"/>
        <v>1.5707863955726293</v>
      </c>
      <c r="K529" s="348">
        <f t="shared" si="211"/>
        <v>28.329469274084673</v>
      </c>
      <c r="L529" s="349">
        <f t="shared" si="212"/>
        <v>1.5354900605197659</v>
      </c>
      <c r="M529" s="337">
        <f t="shared" si="222"/>
        <v>1.2548908971221959</v>
      </c>
      <c r="N529" s="340">
        <f t="shared" si="223"/>
        <v>0.64867987623479739</v>
      </c>
      <c r="O529" s="341">
        <f t="shared" si="224"/>
        <v>1.2059497948973161</v>
      </c>
      <c r="P529" s="342">
        <f t="shared" si="225"/>
        <v>1.1209066784034767</v>
      </c>
      <c r="Q529" s="343">
        <f t="shared" si="226"/>
        <v>-10.958368606232058</v>
      </c>
      <c r="R529" s="344">
        <f t="shared" si="227"/>
        <v>-180.66635285817483</v>
      </c>
      <c r="S529" s="346">
        <f t="shared" si="228"/>
        <v>-0.66635285817483236</v>
      </c>
      <c r="U529" s="319">
        <f t="shared" si="234"/>
        <v>75858</v>
      </c>
      <c r="V529" s="319">
        <f t="shared" si="235"/>
        <v>5754436164</v>
      </c>
      <c r="X529" s="345">
        <f t="shared" si="229"/>
        <v>24.719927826788293</v>
      </c>
      <c r="Y529" s="346">
        <f t="shared" si="230"/>
        <v>-39.18895023891114</v>
      </c>
      <c r="AA529" s="345">
        <f t="shared" si="231"/>
        <v>27.93082485614228</v>
      </c>
      <c r="AB529" s="346">
        <f t="shared" si="232"/>
        <v>-141.47740261926367</v>
      </c>
      <c r="AD529">
        <f t="shared" si="236"/>
        <v>0</v>
      </c>
      <c r="AE529">
        <f t="shared" si="213"/>
        <v>0</v>
      </c>
    </row>
    <row r="530" spans="1:31" x14ac:dyDescent="0.25">
      <c r="A530" s="347">
        <v>76299.75</v>
      </c>
      <c r="B530" s="364">
        <f t="shared" si="233"/>
        <v>76.299750000000003</v>
      </c>
      <c r="C530" s="337">
        <f t="shared" si="214"/>
        <v>33.103512922600032</v>
      </c>
      <c r="D530" s="338">
        <f t="shared" si="215"/>
        <v>1.5405834561910969</v>
      </c>
      <c r="E530" s="338">
        <f t="shared" si="216"/>
        <v>1.0189496331649766</v>
      </c>
      <c r="F530" s="339">
        <f t="shared" si="217"/>
        <v>0.1931587584640416</v>
      </c>
      <c r="G530" s="338">
        <f t="shared" si="218"/>
        <v>1</v>
      </c>
      <c r="H530" s="339">
        <f t="shared" si="219"/>
        <v>0</v>
      </c>
      <c r="I530" s="337">
        <f t="shared" si="220"/>
        <v>101278.91144549612</v>
      </c>
      <c r="J530" s="340">
        <f t="shared" si="221"/>
        <v>1.5707864530710804</v>
      </c>
      <c r="K530" s="348">
        <f t="shared" si="211"/>
        <v>28.494237588999976</v>
      </c>
      <c r="L530" s="349">
        <f t="shared" si="212"/>
        <v>1.5356943036201367</v>
      </c>
      <c r="M530" s="337">
        <f t="shared" si="222"/>
        <v>1.2575629781337951</v>
      </c>
      <c r="N530" s="340">
        <f t="shared" si="223"/>
        <v>0.65147743973738081</v>
      </c>
      <c r="O530" s="341">
        <f t="shared" si="224"/>
        <v>1.2092536071661313</v>
      </c>
      <c r="P530" s="342">
        <f t="shared" si="225"/>
        <v>1.1273175520986418</v>
      </c>
      <c r="Q530" s="343">
        <f t="shared" si="226"/>
        <v>-11.049210003791776</v>
      </c>
      <c r="R530" s="344">
        <f t="shared" si="227"/>
        <v>-181.12982630721518</v>
      </c>
      <c r="S530" s="346">
        <f t="shared" si="228"/>
        <v>-1.1298263072151826</v>
      </c>
      <c r="U530" s="319">
        <f t="shared" si="234"/>
        <v>76299.75</v>
      </c>
      <c r="V530" s="319">
        <f t="shared" si="235"/>
        <v>5821651850.0625</v>
      </c>
      <c r="X530" s="345">
        <f t="shared" si="229"/>
        <v>24.701389856631653</v>
      </c>
      <c r="Y530" s="346">
        <f t="shared" si="230"/>
        <v>-39.33753984747144</v>
      </c>
      <c r="AA530" s="345">
        <f t="shared" si="231"/>
        <v>27.858521428739202</v>
      </c>
      <c r="AB530" s="346">
        <f t="shared" si="232"/>
        <v>-141.79228645974374</v>
      </c>
      <c r="AD530">
        <f t="shared" si="236"/>
        <v>0</v>
      </c>
      <c r="AE530">
        <f t="shared" si="213"/>
        <v>0</v>
      </c>
    </row>
    <row r="531" spans="1:31" x14ac:dyDescent="0.25">
      <c r="A531" s="347">
        <v>76741.5</v>
      </c>
      <c r="B531" s="364">
        <f t="shared" si="233"/>
        <v>76.741500000000002</v>
      </c>
      <c r="C531" s="337">
        <f t="shared" si="214"/>
        <v>33.294996783310737</v>
      </c>
      <c r="D531" s="338">
        <f t="shared" si="215"/>
        <v>1.5407572667764411</v>
      </c>
      <c r="E531" s="338">
        <f t="shared" si="216"/>
        <v>1.0191676228572448</v>
      </c>
      <c r="F531" s="339">
        <f t="shared" si="217"/>
        <v>0.19424924005765745</v>
      </c>
      <c r="G531" s="338">
        <f t="shared" si="218"/>
        <v>1</v>
      </c>
      <c r="H531" s="339">
        <f t="shared" si="219"/>
        <v>0</v>
      </c>
      <c r="I531" s="337">
        <f t="shared" si="220"/>
        <v>101865.28242478109</v>
      </c>
      <c r="J531" s="340">
        <f t="shared" si="221"/>
        <v>1.5707865099075704</v>
      </c>
      <c r="K531" s="348">
        <f t="shared" si="211"/>
        <v>28.659007078891658</v>
      </c>
      <c r="L531" s="349">
        <f t="shared" si="212"/>
        <v>1.5358961982154224</v>
      </c>
      <c r="M531" s="337">
        <f t="shared" si="222"/>
        <v>1.2602448595067739</v>
      </c>
      <c r="N531" s="340">
        <f t="shared" si="223"/>
        <v>0.65426311817772864</v>
      </c>
      <c r="O531" s="341">
        <f t="shared" si="224"/>
        <v>1.2125931931580605</v>
      </c>
      <c r="P531" s="342">
        <f t="shared" si="225"/>
        <v>1.1337173296321166</v>
      </c>
      <c r="Q531" s="343">
        <f t="shared" si="226"/>
        <v>-11.139969776669719</v>
      </c>
      <c r="R531" s="344">
        <f t="shared" si="227"/>
        <v>-181.59202833624525</v>
      </c>
      <c r="S531" s="346">
        <f t="shared" si="228"/>
        <v>-1.5920283362452494</v>
      </c>
      <c r="U531" s="319">
        <f t="shared" si="234"/>
        <v>76741.5</v>
      </c>
      <c r="V531" s="319">
        <f t="shared" si="235"/>
        <v>5889257822.25</v>
      </c>
      <c r="X531" s="345">
        <f t="shared" si="229"/>
        <v>24.682824630151753</v>
      </c>
      <c r="Y531" s="346">
        <f t="shared" si="230"/>
        <v>-39.485583013627753</v>
      </c>
      <c r="AA531" s="345">
        <f t="shared" si="231"/>
        <v>27.78632688234115</v>
      </c>
      <c r="AB531" s="346">
        <f t="shared" si="232"/>
        <v>-142.1064453226175</v>
      </c>
      <c r="AD531">
        <f t="shared" si="236"/>
        <v>0</v>
      </c>
      <c r="AE531">
        <f t="shared" si="213"/>
        <v>0</v>
      </c>
    </row>
    <row r="532" spans="1:31" x14ac:dyDescent="0.25">
      <c r="A532" s="347">
        <v>77183.25</v>
      </c>
      <c r="B532" s="364">
        <f t="shared" si="233"/>
        <v>77.183250000000001</v>
      </c>
      <c r="C532" s="337">
        <f t="shared" si="214"/>
        <v>33.486481638363912</v>
      </c>
      <c r="D532" s="338">
        <f t="shared" si="215"/>
        <v>1.5409290895740551</v>
      </c>
      <c r="E532" s="338">
        <f t="shared" si="216"/>
        <v>1.0193868239736261</v>
      </c>
      <c r="F532" s="339">
        <f t="shared" si="217"/>
        <v>0.19533925396942051</v>
      </c>
      <c r="G532" s="338">
        <f t="shared" si="218"/>
        <v>1</v>
      </c>
      <c r="H532" s="339">
        <f t="shared" si="219"/>
        <v>0</v>
      </c>
      <c r="I532" s="337">
        <f t="shared" si="220"/>
        <v>102451.65340406638</v>
      </c>
      <c r="J532" s="340">
        <f t="shared" si="221"/>
        <v>1.5707865660934655</v>
      </c>
      <c r="K532" s="348">
        <f t="shared" si="211"/>
        <v>28.823777723609659</v>
      </c>
      <c r="L532" s="349">
        <f t="shared" si="212"/>
        <v>1.5360957845645915</v>
      </c>
      <c r="M532" s="337">
        <f t="shared" si="222"/>
        <v>1.2629364788070991</v>
      </c>
      <c r="N532" s="340">
        <f t="shared" si="223"/>
        <v>0.65703694417442726</v>
      </c>
      <c r="O532" s="341">
        <f t="shared" si="224"/>
        <v>1.2159687027493509</v>
      </c>
      <c r="P532" s="342">
        <f t="shared" si="225"/>
        <v>1.1401057974273268</v>
      </c>
      <c r="Q532" s="343">
        <f t="shared" si="226"/>
        <v>-11.230649905096437</v>
      </c>
      <c r="R532" s="344">
        <f t="shared" si="227"/>
        <v>-182.05294838983892</v>
      </c>
      <c r="S532" s="346">
        <f t="shared" si="228"/>
        <v>-2.0529483898389174</v>
      </c>
      <c r="U532" s="319">
        <f t="shared" si="234"/>
        <v>77183.25</v>
      </c>
      <c r="V532" s="319">
        <f t="shared" si="235"/>
        <v>5957254080.5625</v>
      </c>
      <c r="X532" s="345">
        <f t="shared" si="229"/>
        <v>24.664232816421698</v>
      </c>
      <c r="Y532" s="346">
        <f t="shared" si="230"/>
        <v>-39.633079300269628</v>
      </c>
      <c r="AA532" s="345">
        <f t="shared" si="231"/>
        <v>27.714238567644497</v>
      </c>
      <c r="AB532" s="346">
        <f t="shared" si="232"/>
        <v>-142.41986908956929</v>
      </c>
      <c r="AD532">
        <f t="shared" si="236"/>
        <v>0</v>
      </c>
      <c r="AE532">
        <f t="shared" si="213"/>
        <v>0</v>
      </c>
    </row>
    <row r="533" spans="1:31" x14ac:dyDescent="0.25">
      <c r="A533" s="347">
        <v>77625</v>
      </c>
      <c r="B533" s="364">
        <f t="shared" si="233"/>
        <v>77.625</v>
      </c>
      <c r="C533" s="337">
        <f t="shared" si="214"/>
        <v>33.677967470798784</v>
      </c>
      <c r="D533" s="338">
        <f t="shared" si="215"/>
        <v>1.541098958480134</v>
      </c>
      <c r="E533" s="338">
        <f t="shared" si="216"/>
        <v>1.019607235732803</v>
      </c>
      <c r="F533" s="339">
        <f t="shared" si="217"/>
        <v>0.19642879791164722</v>
      </c>
      <c r="G533" s="338">
        <f t="shared" si="218"/>
        <v>1</v>
      </c>
      <c r="H533" s="339">
        <f t="shared" si="219"/>
        <v>0</v>
      </c>
      <c r="I533" s="337">
        <f t="shared" si="220"/>
        <v>103038.02438335201</v>
      </c>
      <c r="J533" s="340">
        <f t="shared" si="221"/>
        <v>1.5707866216398725</v>
      </c>
      <c r="K533" s="348">
        <f t="shared" si="211"/>
        <v>28.988549503461918</v>
      </c>
      <c r="L533" s="349">
        <f t="shared" si="212"/>
        <v>1.5362931020120252</v>
      </c>
      <c r="M533" s="337">
        <f t="shared" si="222"/>
        <v>1.265637773906112</v>
      </c>
      <c r="N533" s="340">
        <f t="shared" si="223"/>
        <v>0.65979895079864193</v>
      </c>
      <c r="O533" s="341">
        <f t="shared" si="224"/>
        <v>1.2193802835501497</v>
      </c>
      <c r="P533" s="342">
        <f t="shared" si="225"/>
        <v>1.1464827432596141</v>
      </c>
      <c r="Q533" s="343">
        <f t="shared" si="226"/>
        <v>-11.321252288454986</v>
      </c>
      <c r="R533" s="344">
        <f t="shared" si="227"/>
        <v>-182.51257602281004</v>
      </c>
      <c r="S533" s="346">
        <f t="shared" si="228"/>
        <v>-2.5125760228100376</v>
      </c>
      <c r="U533" s="319">
        <f t="shared" si="234"/>
        <v>77625</v>
      </c>
      <c r="V533" s="319">
        <f t="shared" si="235"/>
        <v>6025640625</v>
      </c>
      <c r="X533" s="345">
        <f t="shared" si="229"/>
        <v>24.645615078415908</v>
      </c>
      <c r="Y533" s="346">
        <f t="shared" si="230"/>
        <v>-39.78002834860466</v>
      </c>
      <c r="AA533" s="345">
        <f t="shared" si="231"/>
        <v>27.642253922291733</v>
      </c>
      <c r="AB533" s="346">
        <f t="shared" si="232"/>
        <v>-142.73254767420534</v>
      </c>
      <c r="AD533">
        <f t="shared" si="236"/>
        <v>0</v>
      </c>
      <c r="AE533">
        <f t="shared" si="213"/>
        <v>0</v>
      </c>
    </row>
    <row r="534" spans="1:31" x14ac:dyDescent="0.25">
      <c r="A534" s="347">
        <v>78077</v>
      </c>
      <c r="B534" s="364">
        <f t="shared" si="233"/>
        <v>78.076999999999998</v>
      </c>
      <c r="C534" s="337">
        <f t="shared" si="214"/>
        <v>33.873897375778746</v>
      </c>
      <c r="D534" s="338">
        <f t="shared" si="215"/>
        <v>1.5412707810137622</v>
      </c>
      <c r="E534" s="338">
        <f t="shared" si="216"/>
        <v>1.0198340140293498</v>
      </c>
      <c r="F534" s="339">
        <f t="shared" si="217"/>
        <v>0.19754313389362346</v>
      </c>
      <c r="G534" s="338">
        <f t="shared" si="218"/>
        <v>1</v>
      </c>
      <c r="H534" s="339">
        <f t="shared" si="219"/>
        <v>0</v>
      </c>
      <c r="I534" s="337">
        <f t="shared" si="220"/>
        <v>103638.00102769211</v>
      </c>
      <c r="J534" s="340">
        <f t="shared" si="221"/>
        <v>1.5707866778245374</v>
      </c>
      <c r="K534" s="348">
        <f t="shared" si="211"/>
        <v>29.157145665678044</v>
      </c>
      <c r="L534" s="349">
        <f t="shared" si="212"/>
        <v>1.5364926894755104</v>
      </c>
      <c r="M534" s="337">
        <f t="shared" si="222"/>
        <v>1.2684116982963793</v>
      </c>
      <c r="N534" s="340">
        <f t="shared" si="223"/>
        <v>0.66261284576291657</v>
      </c>
      <c r="O534" s="341">
        <f t="shared" si="224"/>
        <v>1.222908511785636</v>
      </c>
      <c r="P534" s="342">
        <f t="shared" si="225"/>
        <v>1.1529955084873627</v>
      </c>
      <c r="Q534" s="343">
        <f t="shared" si="226"/>
        <v>-11.413878360444738</v>
      </c>
      <c r="R534" s="344">
        <f t="shared" si="227"/>
        <v>-182.98151994641952</v>
      </c>
      <c r="S534" s="346">
        <f t="shared" si="228"/>
        <v>-2.9815199464195246</v>
      </c>
      <c r="U534" s="319">
        <f t="shared" si="234"/>
        <v>78077</v>
      </c>
      <c r="V534" s="319">
        <f t="shared" si="235"/>
        <v>6096017929</v>
      </c>
      <c r="X534" s="345">
        <f t="shared" si="229"/>
        <v>24.626539201470159</v>
      </c>
      <c r="Y534" s="346">
        <f t="shared" si="230"/>
        <v>-39.92982035406461</v>
      </c>
      <c r="AA534" s="345">
        <f t="shared" si="231"/>
        <v>27.56870372724773</v>
      </c>
      <c r="AB534" s="346">
        <f t="shared" si="232"/>
        <v>-143.05169959235494</v>
      </c>
      <c r="AD534">
        <f t="shared" si="236"/>
        <v>0</v>
      </c>
      <c r="AE534">
        <f t="shared" si="213"/>
        <v>0</v>
      </c>
    </row>
    <row r="535" spans="1:31" x14ac:dyDescent="0.25">
      <c r="A535" s="347">
        <v>78529</v>
      </c>
      <c r="B535" s="364">
        <f t="shared" si="233"/>
        <v>78.528999999999996</v>
      </c>
      <c r="C535" s="337">
        <f t="shared" si="214"/>
        <v>34.069828269314854</v>
      </c>
      <c r="D535" s="338">
        <f t="shared" si="215"/>
        <v>1.5414406272968688</v>
      </c>
      <c r="E535" s="338">
        <f t="shared" si="216"/>
        <v>1.0200620581353659</v>
      </c>
      <c r="F535" s="339">
        <f t="shared" si="217"/>
        <v>0.19865697301839957</v>
      </c>
      <c r="G535" s="338">
        <f t="shared" si="218"/>
        <v>1</v>
      </c>
      <c r="H535" s="339">
        <f t="shared" si="219"/>
        <v>0</v>
      </c>
      <c r="I535" s="337">
        <f t="shared" si="220"/>
        <v>104237.97767203255</v>
      </c>
      <c r="J535" s="340">
        <f t="shared" si="221"/>
        <v>1.5707867333624226</v>
      </c>
      <c r="K535" s="348">
        <f t="shared" ref="K535:K598" si="237">SQRT(1+(A535/Zero2)^2)</f>
        <v>29.325742976018685</v>
      </c>
      <c r="L535" s="349">
        <f t="shared" ref="L535:L598" si="238">ATAN(A535/Zero2)</f>
        <v>1.5366899820409323</v>
      </c>
      <c r="M535" s="337">
        <f t="shared" si="222"/>
        <v>1.2711956220986884</v>
      </c>
      <c r="N535" s="340">
        <f t="shared" si="223"/>
        <v>0.66541443794563948</v>
      </c>
      <c r="O535" s="341">
        <f t="shared" si="224"/>
        <v>1.2264748099325242</v>
      </c>
      <c r="P535" s="342">
        <f t="shared" si="225"/>
        <v>1.1594957659646921</v>
      </c>
      <c r="Q535" s="343">
        <f t="shared" si="226"/>
        <v>-11.506426808633597</v>
      </c>
      <c r="R535" s="344">
        <f t="shared" si="227"/>
        <v>-183.44908901918024</v>
      </c>
      <c r="S535" s="346">
        <f t="shared" si="228"/>
        <v>-3.449089019180235</v>
      </c>
      <c r="U535" s="319">
        <f t="shared" si="234"/>
        <v>78529</v>
      </c>
      <c r="V535" s="319">
        <f t="shared" si="235"/>
        <v>6166803841</v>
      </c>
      <c r="X535" s="345">
        <f t="shared" si="229"/>
        <v>24.607437567954619</v>
      </c>
      <c r="Y535" s="346">
        <f t="shared" si="230"/>
        <v>-40.079038912980451</v>
      </c>
      <c r="AA535" s="345">
        <f t="shared" si="231"/>
        <v>27.495256912574412</v>
      </c>
      <c r="AB535" s="346">
        <f t="shared" si="232"/>
        <v>-143.37005010619976</v>
      </c>
      <c r="AD535">
        <f t="shared" si="236"/>
        <v>0</v>
      </c>
      <c r="AE535">
        <f t="shared" si="213"/>
        <v>0</v>
      </c>
    </row>
    <row r="536" spans="1:31" x14ac:dyDescent="0.25">
      <c r="A536" s="347">
        <v>78981</v>
      </c>
      <c r="B536" s="364">
        <f t="shared" si="233"/>
        <v>78.980999999999995</v>
      </c>
      <c r="C536" s="337">
        <f t="shared" si="214"/>
        <v>34.265760134449472</v>
      </c>
      <c r="D536" s="338">
        <f t="shared" si="215"/>
        <v>1.5416085312202141</v>
      </c>
      <c r="E536" s="338">
        <f t="shared" si="216"/>
        <v>1.020291367202093</v>
      </c>
      <c r="F536" s="339">
        <f t="shared" si="217"/>
        <v>0.19977031285632041</v>
      </c>
      <c r="G536" s="338">
        <f t="shared" si="218"/>
        <v>1</v>
      </c>
      <c r="H536" s="339">
        <f t="shared" si="219"/>
        <v>0</v>
      </c>
      <c r="I536" s="337">
        <f t="shared" si="220"/>
        <v>104837.95431637329</v>
      </c>
      <c r="J536" s="340">
        <f t="shared" si="221"/>
        <v>1.5707867882646331</v>
      </c>
      <c r="K536" s="348">
        <f t="shared" si="237"/>
        <v>29.494341414794917</v>
      </c>
      <c r="L536" s="349">
        <f t="shared" si="238"/>
        <v>1.5368850190477605</v>
      </c>
      <c r="M536" s="337">
        <f t="shared" si="222"/>
        <v>1.2739894797608478</v>
      </c>
      <c r="N536" s="340">
        <f t="shared" si="223"/>
        <v>0.66820376416399441</v>
      </c>
      <c r="O536" s="341">
        <f t="shared" si="224"/>
        <v>1.2300793286738847</v>
      </c>
      <c r="P536" s="342">
        <f t="shared" si="225"/>
        <v>1.1659832932039578</v>
      </c>
      <c r="Q536" s="343">
        <f t="shared" si="226"/>
        <v>-11.598899415394268</v>
      </c>
      <c r="R536" s="344">
        <f t="shared" si="227"/>
        <v>-183.91527243061546</v>
      </c>
      <c r="S536" s="346">
        <f t="shared" si="228"/>
        <v>-3.9152724306154596</v>
      </c>
      <c r="U536" s="319">
        <f t="shared" si="234"/>
        <v>78981</v>
      </c>
      <c r="V536" s="319">
        <f t="shared" si="235"/>
        <v>6237998361</v>
      </c>
      <c r="X536" s="345">
        <f t="shared" si="229"/>
        <v>24.588310868198931</v>
      </c>
      <c r="Y536" s="346">
        <f t="shared" si="230"/>
        <v>-40.227683881472046</v>
      </c>
      <c r="AA536" s="345">
        <f t="shared" si="231"/>
        <v>27.421911005569427</v>
      </c>
      <c r="AB536" s="346">
        <f t="shared" si="232"/>
        <v>-143.68758854914344</v>
      </c>
      <c r="AD536">
        <f t="shared" si="236"/>
        <v>0</v>
      </c>
      <c r="AE536">
        <f t="shared" si="213"/>
        <v>0</v>
      </c>
    </row>
    <row r="537" spans="1:31" x14ac:dyDescent="0.25">
      <c r="A537" s="347">
        <v>79433</v>
      </c>
      <c r="B537" s="364">
        <f t="shared" si="233"/>
        <v>79.433000000000007</v>
      </c>
      <c r="C537" s="337">
        <f t="shared" si="214"/>
        <v>34.461692954610541</v>
      </c>
      <c r="D537" s="338">
        <f t="shared" si="215"/>
        <v>1.541774525904255</v>
      </c>
      <c r="E537" s="338">
        <f t="shared" si="216"/>
        <v>1.0205219403768291</v>
      </c>
      <c r="F537" s="339">
        <f t="shared" si="217"/>
        <v>0.20088315098485965</v>
      </c>
      <c r="G537" s="338">
        <f t="shared" si="218"/>
        <v>1</v>
      </c>
      <c r="H537" s="339">
        <f t="shared" si="219"/>
        <v>0</v>
      </c>
      <c r="I537" s="337">
        <f t="shared" si="220"/>
        <v>105437.93096071438</v>
      </c>
      <c r="J537" s="340">
        <f t="shared" si="221"/>
        <v>1.5707868425420199</v>
      </c>
      <c r="K537" s="348">
        <f t="shared" si="237"/>
        <v>29.662940962765301</v>
      </c>
      <c r="L537" s="349">
        <f t="shared" si="238"/>
        <v>1.5370778389417628</v>
      </c>
      <c r="M537" s="337">
        <f t="shared" si="222"/>
        <v>1.2767932060715388</v>
      </c>
      <c r="N537" s="340">
        <f t="shared" si="223"/>
        <v>0.67098086167695858</v>
      </c>
      <c r="O537" s="341">
        <f t="shared" si="224"/>
        <v>1.2337222161618953</v>
      </c>
      <c r="P537" s="342">
        <f t="shared" si="225"/>
        <v>1.1724578695055101</v>
      </c>
      <c r="Q537" s="343">
        <f t="shared" si="226"/>
        <v>-11.691297881503484</v>
      </c>
      <c r="R537" s="344">
        <f t="shared" si="227"/>
        <v>-184.38005950465336</v>
      </c>
      <c r="S537" s="346">
        <f t="shared" si="228"/>
        <v>-4.3800595046533601</v>
      </c>
      <c r="U537" s="319">
        <f t="shared" si="234"/>
        <v>79433</v>
      </c>
      <c r="V537" s="319">
        <f t="shared" si="235"/>
        <v>6309601489</v>
      </c>
      <c r="X537" s="345">
        <f t="shared" si="229"/>
        <v>24.569159785824745</v>
      </c>
      <c r="Y537" s="346">
        <f t="shared" si="230"/>
        <v>-40.375755192163062</v>
      </c>
      <c r="AA537" s="345">
        <f t="shared" si="231"/>
        <v>27.348663621834394</v>
      </c>
      <c r="AB537" s="346">
        <f t="shared" si="232"/>
        <v>-144.00430431249035</v>
      </c>
      <c r="AD537">
        <f t="shared" si="236"/>
        <v>0</v>
      </c>
      <c r="AE537">
        <f t="shared" si="213"/>
        <v>0</v>
      </c>
    </row>
    <row r="538" spans="1:31" x14ac:dyDescent="0.25">
      <c r="A538" s="347">
        <v>79895.5</v>
      </c>
      <c r="B538" s="364">
        <f t="shared" si="233"/>
        <v>79.895499999999998</v>
      </c>
      <c r="C538" s="337">
        <f t="shared" si="214"/>
        <v>34.662178283191523</v>
      </c>
      <c r="D538" s="338">
        <f t="shared" si="215"/>
        <v>1.5419424341410313</v>
      </c>
      <c r="E538" s="338">
        <f t="shared" si="216"/>
        <v>1.0207591773903189</v>
      </c>
      <c r="F538" s="339">
        <f t="shared" si="217"/>
        <v>0.20202131859521907</v>
      </c>
      <c r="G538" s="338">
        <f t="shared" si="218"/>
        <v>1</v>
      </c>
      <c r="H538" s="339">
        <f t="shared" si="219"/>
        <v>0</v>
      </c>
      <c r="I538" s="337">
        <f t="shared" si="220"/>
        <v>106051.84511559906</v>
      </c>
      <c r="J538" s="340">
        <f t="shared" si="221"/>
        <v>1.5707868974445733</v>
      </c>
      <c r="K538" s="348">
        <f t="shared" si="237"/>
        <v>29.835458221683687</v>
      </c>
      <c r="L538" s="349">
        <f t="shared" si="238"/>
        <v>1.537272882285198</v>
      </c>
      <c r="M538" s="337">
        <f t="shared" si="222"/>
        <v>1.2796722107133245</v>
      </c>
      <c r="N538" s="340">
        <f t="shared" si="223"/>
        <v>0.67380985261062276</v>
      </c>
      <c r="O538" s="341">
        <f t="shared" si="224"/>
        <v>1.2374895961891161</v>
      </c>
      <c r="P538" s="342">
        <f t="shared" si="225"/>
        <v>1.1790692168133916</v>
      </c>
      <c r="Q538" s="343">
        <f t="shared" si="226"/>
        <v>-11.785767718387746</v>
      </c>
      <c r="R538" s="344">
        <f t="shared" si="227"/>
        <v>-184.85418726175598</v>
      </c>
      <c r="S538" s="346">
        <f t="shared" si="228"/>
        <v>-4.8541872617559818</v>
      </c>
      <c r="U538" s="319">
        <f t="shared" si="234"/>
        <v>79895.5</v>
      </c>
      <c r="V538" s="319">
        <f t="shared" si="235"/>
        <v>6383290920.25</v>
      </c>
      <c r="X538" s="345">
        <f t="shared" si="229"/>
        <v>24.549539289367782</v>
      </c>
      <c r="Y538" s="346">
        <f t="shared" si="230"/>
        <v>-40.526672418398888</v>
      </c>
      <c r="AA538" s="345">
        <f t="shared" si="231"/>
        <v>27.273814281407102</v>
      </c>
      <c r="AB538" s="346">
        <f t="shared" si="232"/>
        <v>-144.32751484335711</v>
      </c>
      <c r="AD538">
        <f t="shared" si="236"/>
        <v>0</v>
      </c>
      <c r="AE538">
        <f t="shared" ref="AE538:AE601" si="239">IF(AD538&gt;0,S538,0)</f>
        <v>0</v>
      </c>
    </row>
    <row r="539" spans="1:31" x14ac:dyDescent="0.25">
      <c r="A539" s="347">
        <v>80358</v>
      </c>
      <c r="B539" s="364">
        <f t="shared" si="233"/>
        <v>80.358000000000004</v>
      </c>
      <c r="C539" s="337">
        <f t="shared" si="214"/>
        <v>34.862664577769756</v>
      </c>
      <c r="D539" s="338">
        <f t="shared" si="215"/>
        <v>1.5421084111875307</v>
      </c>
      <c r="E539" s="338">
        <f t="shared" si="216"/>
        <v>1.0209977361057847</v>
      </c>
      <c r="F539" s="339">
        <f t="shared" si="217"/>
        <v>0.20315895580722171</v>
      </c>
      <c r="G539" s="338">
        <f t="shared" si="218"/>
        <v>1</v>
      </c>
      <c r="H539" s="339">
        <f t="shared" si="219"/>
        <v>0</v>
      </c>
      <c r="I539" s="337">
        <f t="shared" si="220"/>
        <v>106665.75927048408</v>
      </c>
      <c r="J539" s="340">
        <f t="shared" si="221"/>
        <v>1.5707869517151443</v>
      </c>
      <c r="K539" s="348">
        <f t="shared" si="237"/>
        <v>30.00797660254943</v>
      </c>
      <c r="L539" s="349">
        <f t="shared" si="238"/>
        <v>1.5374656829947322</v>
      </c>
      <c r="M539" s="337">
        <f t="shared" si="222"/>
        <v>1.2825614107882497</v>
      </c>
      <c r="N539" s="340">
        <f t="shared" si="223"/>
        <v>0.67662612037801251</v>
      </c>
      <c r="O539" s="341">
        <f t="shared" si="224"/>
        <v>1.2412974539689681</v>
      </c>
      <c r="P539" s="342">
        <f t="shared" si="225"/>
        <v>1.1856665430272886</v>
      </c>
      <c r="Q539" s="343">
        <f t="shared" si="226"/>
        <v>-11.880163278553809</v>
      </c>
      <c r="R539" s="344">
        <f t="shared" si="227"/>
        <v>-185.32683088340045</v>
      </c>
      <c r="S539" s="346">
        <f t="shared" si="228"/>
        <v>-5.3268308834004472</v>
      </c>
      <c r="U539" s="319">
        <f t="shared" si="234"/>
        <v>80358</v>
      </c>
      <c r="V539" s="319">
        <f t="shared" si="235"/>
        <v>6457408164</v>
      </c>
      <c r="X539" s="345">
        <f t="shared" si="229"/>
        <v>24.529894690939788</v>
      </c>
      <c r="Y539" s="346">
        <f t="shared" si="230"/>
        <v>-40.676989118152029</v>
      </c>
      <c r="AA539" s="345">
        <f t="shared" si="231"/>
        <v>27.199063319669033</v>
      </c>
      <c r="AB539" s="346">
        <f t="shared" si="232"/>
        <v>-144.64984176524845</v>
      </c>
      <c r="AD539">
        <f t="shared" si="236"/>
        <v>0</v>
      </c>
      <c r="AE539">
        <f t="shared" si="239"/>
        <v>0</v>
      </c>
    </row>
    <row r="540" spans="1:31" x14ac:dyDescent="0.25">
      <c r="A540" s="347">
        <v>80820.5</v>
      </c>
      <c r="B540" s="364">
        <f t="shared" si="233"/>
        <v>80.820499999999996</v>
      </c>
      <c r="C540" s="337">
        <f t="shared" si="214"/>
        <v>35.063151821774923</v>
      </c>
      <c r="D540" s="338">
        <f t="shared" si="215"/>
        <v>1.5422724901615292</v>
      </c>
      <c r="E540" s="338">
        <f t="shared" si="216"/>
        <v>1.0212376155969871</v>
      </c>
      <c r="F540" s="339">
        <f t="shared" si="217"/>
        <v>0.20429606004890097</v>
      </c>
      <c r="G540" s="338">
        <f t="shared" si="218"/>
        <v>1</v>
      </c>
      <c r="H540" s="339">
        <f t="shared" si="219"/>
        <v>0</v>
      </c>
      <c r="I540" s="337">
        <f t="shared" si="220"/>
        <v>107279.67342536942</v>
      </c>
      <c r="J540" s="340">
        <f t="shared" si="221"/>
        <v>1.570787005364582</v>
      </c>
      <c r="K540" s="348">
        <f t="shared" si="237"/>
        <v>30.180496086122631</v>
      </c>
      <c r="L540" s="349">
        <f t="shared" si="238"/>
        <v>1.5376562795143254</v>
      </c>
      <c r="M540" s="337">
        <f t="shared" si="222"/>
        <v>1.2854607375505847</v>
      </c>
      <c r="N540" s="340">
        <f t="shared" si="223"/>
        <v>0.67942970624553178</v>
      </c>
      <c r="O540" s="341">
        <f t="shared" si="224"/>
        <v>1.245145939937601</v>
      </c>
      <c r="P540" s="342">
        <f t="shared" si="225"/>
        <v>1.1922496179967614</v>
      </c>
      <c r="Q540" s="343">
        <f t="shared" si="226"/>
        <v>-11.974486129929398</v>
      </c>
      <c r="R540" s="344">
        <f t="shared" si="227"/>
        <v>-185.79797939014534</v>
      </c>
      <c r="S540" s="346">
        <f t="shared" si="228"/>
        <v>-5.7979793901453434</v>
      </c>
      <c r="U540" s="319">
        <f t="shared" si="234"/>
        <v>80820.5</v>
      </c>
      <c r="V540" s="319">
        <f t="shared" si="235"/>
        <v>6531953220.25</v>
      </c>
      <c r="X540" s="345">
        <f t="shared" si="229"/>
        <v>24.510226701119876</v>
      </c>
      <c r="Y540" s="346">
        <f t="shared" si="230"/>
        <v>-40.826705453758279</v>
      </c>
      <c r="AA540" s="345">
        <f t="shared" si="231"/>
        <v>27.124408458113358</v>
      </c>
      <c r="AB540" s="346">
        <f t="shared" si="232"/>
        <v>-144.97127393638704</v>
      </c>
      <c r="AD540">
        <f t="shared" si="236"/>
        <v>0</v>
      </c>
      <c r="AE540">
        <f t="shared" si="239"/>
        <v>0</v>
      </c>
    </row>
    <row r="541" spans="1:31" x14ac:dyDescent="0.25">
      <c r="A541" s="347">
        <v>81283</v>
      </c>
      <c r="B541" s="364">
        <f t="shared" si="233"/>
        <v>81.283000000000001</v>
      </c>
      <c r="C541" s="337">
        <f t="shared" si="214"/>
        <v>35.263639999013471</v>
      </c>
      <c r="D541" s="338">
        <f t="shared" si="215"/>
        <v>1.5424347034280657</v>
      </c>
      <c r="E541" s="338">
        <f t="shared" si="216"/>
        <v>1.0214788149334313</v>
      </c>
      <c r="F541" s="339">
        <f t="shared" si="217"/>
        <v>0.20543262875621274</v>
      </c>
      <c r="G541" s="338">
        <f t="shared" si="218"/>
        <v>1</v>
      </c>
      <c r="H541" s="339">
        <f t="shared" si="219"/>
        <v>0</v>
      </c>
      <c r="I541" s="337">
        <f t="shared" si="220"/>
        <v>107893.58758025506</v>
      </c>
      <c r="J541" s="340">
        <f t="shared" si="221"/>
        <v>1.5707870584034895</v>
      </c>
      <c r="K541" s="348">
        <f t="shared" si="237"/>
        <v>30.353016653600697</v>
      </c>
      <c r="L541" s="349">
        <f t="shared" si="238"/>
        <v>1.5378447094145549</v>
      </c>
      <c r="M541" s="337">
        <f t="shared" si="222"/>
        <v>1.2883701226335429</v>
      </c>
      <c r="N541" s="340">
        <f t="shared" si="223"/>
        <v>0.68222065190622572</v>
      </c>
      <c r="O541" s="341">
        <f t="shared" si="224"/>
        <v>1.2490352017247357</v>
      </c>
      <c r="P541" s="342">
        <f t="shared" si="225"/>
        <v>1.1988182138472063</v>
      </c>
      <c r="Q541" s="343">
        <f t="shared" si="226"/>
        <v>-12.068737758438431</v>
      </c>
      <c r="R541" s="344">
        <f t="shared" si="227"/>
        <v>-186.26762196383399</v>
      </c>
      <c r="S541" s="346">
        <f t="shared" si="228"/>
        <v>-6.2676219638339887</v>
      </c>
      <c r="U541" s="319">
        <f t="shared" si="234"/>
        <v>81283</v>
      </c>
      <c r="V541" s="319">
        <f t="shared" si="235"/>
        <v>6606926089</v>
      </c>
      <c r="X541" s="345">
        <f t="shared" si="229"/>
        <v>24.490536023148586</v>
      </c>
      <c r="Y541" s="346">
        <f t="shared" si="230"/>
        <v>-40.975821662025105</v>
      </c>
      <c r="AA541" s="345">
        <f t="shared" si="231"/>
        <v>27.049847507575613</v>
      </c>
      <c r="AB541" s="346">
        <f t="shared" si="232"/>
        <v>-145.29180030180888</v>
      </c>
      <c r="AD541">
        <f t="shared" si="236"/>
        <v>0</v>
      </c>
      <c r="AE541">
        <f t="shared" si="239"/>
        <v>0</v>
      </c>
    </row>
    <row r="542" spans="1:31" x14ac:dyDescent="0.25">
      <c r="A542" s="347">
        <v>81756.25</v>
      </c>
      <c r="B542" s="364">
        <f t="shared" si="233"/>
        <v>81.756249999999994</v>
      </c>
      <c r="C542" s="337">
        <f t="shared" si="214"/>
        <v>35.468789121237144</v>
      </c>
      <c r="D542" s="338">
        <f t="shared" si="215"/>
        <v>1.5425987887923114</v>
      </c>
      <c r="E542" s="338">
        <f t="shared" si="216"/>
        <v>1.0217269857676143</v>
      </c>
      <c r="F542" s="339">
        <f t="shared" si="217"/>
        <v>0.2065950579897344</v>
      </c>
      <c r="G542" s="338">
        <f t="shared" si="218"/>
        <v>1</v>
      </c>
      <c r="H542" s="339">
        <f t="shared" si="219"/>
        <v>0</v>
      </c>
      <c r="I542" s="337">
        <f t="shared" si="220"/>
        <v>108521.77109117348</v>
      </c>
      <c r="J542" s="340">
        <f t="shared" si="221"/>
        <v>1.5707871120540207</v>
      </c>
      <c r="K542" s="348">
        <f t="shared" si="237"/>
        <v>30.529548261412749</v>
      </c>
      <c r="L542" s="349">
        <f t="shared" si="238"/>
        <v>1.5380353145948278</v>
      </c>
      <c r="M542" s="337">
        <f t="shared" si="222"/>
        <v>1.29135747206287</v>
      </c>
      <c r="N542" s="340">
        <f t="shared" si="223"/>
        <v>0.68506342780055907</v>
      </c>
      <c r="O542" s="341">
        <f t="shared" si="224"/>
        <v>1.2530572220970755</v>
      </c>
      <c r="P542" s="342">
        <f t="shared" si="225"/>
        <v>1.2055242620844935</v>
      </c>
      <c r="Q542" s="343">
        <f t="shared" si="226"/>
        <v>-12.165107841120955</v>
      </c>
      <c r="R542" s="344">
        <f t="shared" si="227"/>
        <v>-186.74661059778958</v>
      </c>
      <c r="S542" s="346">
        <f t="shared" si="228"/>
        <v>-6.7466105977895836</v>
      </c>
      <c r="U542" s="319">
        <f t="shared" si="234"/>
        <v>81756.25</v>
      </c>
      <c r="V542" s="319">
        <f t="shared" si="235"/>
        <v>6684084414.0625</v>
      </c>
      <c r="X542" s="345">
        <f t="shared" si="229"/>
        <v>24.470364910559464</v>
      </c>
      <c r="Y542" s="346">
        <f t="shared" si="230"/>
        <v>-41.127782924611616</v>
      </c>
      <c r="AA542" s="345">
        <f t="shared" si="231"/>
        <v>26.973648537482212</v>
      </c>
      <c r="AB542" s="346">
        <f t="shared" si="232"/>
        <v>-145.618827673178</v>
      </c>
      <c r="AD542">
        <f t="shared" si="236"/>
        <v>0</v>
      </c>
      <c r="AE542">
        <f t="shared" si="239"/>
        <v>0</v>
      </c>
    </row>
    <row r="543" spans="1:31" x14ac:dyDescent="0.25">
      <c r="A543" s="347">
        <v>82229.5</v>
      </c>
      <c r="B543" s="364">
        <f t="shared" si="233"/>
        <v>82.229500000000002</v>
      </c>
      <c r="C543" s="337">
        <f t="shared" si="214"/>
        <v>35.673939187439387</v>
      </c>
      <c r="D543" s="338">
        <f t="shared" si="215"/>
        <v>1.5427609869499881</v>
      </c>
      <c r="E543" s="338">
        <f t="shared" si="216"/>
        <v>1.0219765365303284</v>
      </c>
      <c r="F543" s="339">
        <f t="shared" si="217"/>
        <v>0.20775692109832644</v>
      </c>
      <c r="G543" s="338">
        <f t="shared" si="218"/>
        <v>1</v>
      </c>
      <c r="H543" s="339">
        <f t="shared" si="219"/>
        <v>0</v>
      </c>
      <c r="I543" s="337">
        <f t="shared" si="220"/>
        <v>109149.95460209221</v>
      </c>
      <c r="J543" s="340">
        <f t="shared" si="221"/>
        <v>1.5707871650870089</v>
      </c>
      <c r="K543" s="348">
        <f t="shared" si="237"/>
        <v>30.706080965620323</v>
      </c>
      <c r="L543" s="349">
        <f t="shared" si="238"/>
        <v>1.538223728160752</v>
      </c>
      <c r="M543" s="337">
        <f t="shared" si="222"/>
        <v>1.2943552092148902</v>
      </c>
      <c r="N543" s="340">
        <f t="shared" si="223"/>
        <v>0.6878930586901415</v>
      </c>
      <c r="O543" s="341">
        <f t="shared" si="224"/>
        <v>1.2571222395610615</v>
      </c>
      <c r="P543" s="342">
        <f t="shared" si="225"/>
        <v>1.2122146751879006</v>
      </c>
      <c r="Q543" s="343">
        <f t="shared" si="226"/>
        <v>-12.261406244205585</v>
      </c>
      <c r="R543" s="344">
        <f t="shared" si="227"/>
        <v>-187.22400009373362</v>
      </c>
      <c r="S543" s="346">
        <f t="shared" si="228"/>
        <v>-7.224000093733622</v>
      </c>
      <c r="U543" s="319">
        <f t="shared" si="234"/>
        <v>82229.5</v>
      </c>
      <c r="V543" s="319">
        <f t="shared" si="235"/>
        <v>6761690670.25</v>
      </c>
      <c r="X543" s="345">
        <f t="shared" si="229"/>
        <v>24.4501715091208</v>
      </c>
      <c r="Y543" s="346">
        <f t="shared" si="230"/>
        <v>-41.279116568773397</v>
      </c>
      <c r="AA543" s="345">
        <f t="shared" si="231"/>
        <v>26.897543535836242</v>
      </c>
      <c r="AB543" s="346">
        <f t="shared" si="232"/>
        <v>-145.94488352496023</v>
      </c>
      <c r="AD543">
        <f t="shared" si="236"/>
        <v>0</v>
      </c>
      <c r="AE543">
        <f t="shared" si="239"/>
        <v>0</v>
      </c>
    </row>
    <row r="544" spans="1:31" x14ac:dyDescent="0.25">
      <c r="A544" s="347">
        <v>82702.75</v>
      </c>
      <c r="B544" s="364">
        <f t="shared" si="233"/>
        <v>82.702749999999995</v>
      </c>
      <c r="C544" s="337">
        <f t="shared" si="214"/>
        <v>35.879090181427685</v>
      </c>
      <c r="D544" s="338">
        <f t="shared" si="215"/>
        <v>1.5429213302647384</v>
      </c>
      <c r="E544" s="338">
        <f t="shared" si="216"/>
        <v>1.0222274662109501</v>
      </c>
      <c r="F544" s="339">
        <f t="shared" si="217"/>
        <v>0.20891821536089905</v>
      </c>
      <c r="G544" s="338">
        <f t="shared" si="218"/>
        <v>1</v>
      </c>
      <c r="H544" s="339">
        <f t="shared" si="219"/>
        <v>0</v>
      </c>
      <c r="I544" s="337">
        <f t="shared" si="220"/>
        <v>109778.13811301124</v>
      </c>
      <c r="J544" s="340">
        <f t="shared" si="221"/>
        <v>1.5707872175130559</v>
      </c>
      <c r="K544" s="348">
        <f t="shared" si="237"/>
        <v>30.882614747421609</v>
      </c>
      <c r="L544" s="349">
        <f t="shared" si="238"/>
        <v>1.5384099876825008</v>
      </c>
      <c r="M544" s="337">
        <f t="shared" si="222"/>
        <v>1.2973632620827984</v>
      </c>
      <c r="N544" s="340">
        <f t="shared" si="223"/>
        <v>0.69070959053915792</v>
      </c>
      <c r="O544" s="341">
        <f t="shared" si="224"/>
        <v>1.2612304031306381</v>
      </c>
      <c r="P544" s="342">
        <f t="shared" si="225"/>
        <v>1.2188892169045087</v>
      </c>
      <c r="Q544" s="343">
        <f t="shared" si="226"/>
        <v>-12.357634304868714</v>
      </c>
      <c r="R544" s="344">
        <f t="shared" si="227"/>
        <v>-187.69977940712681</v>
      </c>
      <c r="S544" s="346">
        <f t="shared" si="228"/>
        <v>-7.6997794071268117</v>
      </c>
      <c r="U544" s="319">
        <f t="shared" si="234"/>
        <v>82702.75</v>
      </c>
      <c r="V544" s="319">
        <f t="shared" si="235"/>
        <v>6839744857.5625</v>
      </c>
      <c r="X544" s="345">
        <f t="shared" si="229"/>
        <v>24.429956548470084</v>
      </c>
      <c r="Y544" s="346">
        <f t="shared" si="230"/>
        <v>-41.429823076059307</v>
      </c>
      <c r="AA544" s="345">
        <f t="shared" si="231"/>
        <v>26.821530435823831</v>
      </c>
      <c r="AB544" s="346">
        <f t="shared" si="232"/>
        <v>-146.2699563310675</v>
      </c>
      <c r="AD544">
        <f t="shared" si="236"/>
        <v>0</v>
      </c>
      <c r="AE544">
        <f t="shared" si="239"/>
        <v>0</v>
      </c>
    </row>
    <row r="545" spans="1:31" x14ac:dyDescent="0.25">
      <c r="A545" s="347">
        <v>83176</v>
      </c>
      <c r="B545" s="364">
        <f t="shared" si="233"/>
        <v>83.176000000000002</v>
      </c>
      <c r="C545" s="337">
        <f t="shared" si="214"/>
        <v>36.084242087377746</v>
      </c>
      <c r="D545" s="338">
        <f t="shared" si="215"/>
        <v>1.5430798503645957</v>
      </c>
      <c r="E545" s="338">
        <f t="shared" si="216"/>
        <v>1.0224797737942672</v>
      </c>
      <c r="F545" s="339">
        <f t="shared" si="217"/>
        <v>0.21007893806516326</v>
      </c>
      <c r="G545" s="338">
        <f t="shared" si="218"/>
        <v>1</v>
      </c>
      <c r="H545" s="339">
        <f t="shared" si="219"/>
        <v>0</v>
      </c>
      <c r="I545" s="337">
        <f t="shared" si="220"/>
        <v>110406.32162393058</v>
      </c>
      <c r="J545" s="340">
        <f t="shared" si="221"/>
        <v>1.5707872693425216</v>
      </c>
      <c r="K545" s="348">
        <f t="shared" si="237"/>
        <v>31.059149588442153</v>
      </c>
      <c r="L545" s="349">
        <f t="shared" si="238"/>
        <v>1.5385941298766845</v>
      </c>
      <c r="M545" s="337">
        <f t="shared" si="222"/>
        <v>1.3003815590794099</v>
      </c>
      <c r="N545" s="340">
        <f t="shared" si="223"/>
        <v>0.69351306971853333</v>
      </c>
      <c r="O545" s="341">
        <f t="shared" si="224"/>
        <v>1.2653818587302663</v>
      </c>
      <c r="P545" s="342">
        <f t="shared" si="225"/>
        <v>1.225547653795406</v>
      </c>
      <c r="Q545" s="343">
        <f t="shared" si="226"/>
        <v>-12.453793278304168</v>
      </c>
      <c r="R545" s="344">
        <f t="shared" si="227"/>
        <v>-188.17393768420533</v>
      </c>
      <c r="S545" s="346">
        <f t="shared" si="228"/>
        <v>-8.1739376842053275</v>
      </c>
      <c r="U545" s="319">
        <f t="shared" si="234"/>
        <v>83176</v>
      </c>
      <c r="V545" s="319">
        <f t="shared" si="235"/>
        <v>6918246976</v>
      </c>
      <c r="X545" s="345">
        <f t="shared" si="229"/>
        <v>24.409720750256607</v>
      </c>
      <c r="Y545" s="346">
        <f t="shared" si="230"/>
        <v>-41.579903000214436</v>
      </c>
      <c r="AA545" s="345">
        <f t="shared" si="231"/>
        <v>26.745607260601854</v>
      </c>
      <c r="AB545" s="346">
        <f t="shared" si="232"/>
        <v>-146.59403468399091</v>
      </c>
      <c r="AD545">
        <f t="shared" si="236"/>
        <v>0</v>
      </c>
      <c r="AE545">
        <f t="shared" si="239"/>
        <v>0</v>
      </c>
    </row>
    <row r="546" spans="1:31" x14ac:dyDescent="0.25">
      <c r="A546" s="347">
        <v>83660.5</v>
      </c>
      <c r="B546" s="364">
        <f t="shared" si="233"/>
        <v>83.660499999999999</v>
      </c>
      <c r="C546" s="337">
        <f t="shared" si="214"/>
        <v>36.294271750110589</v>
      </c>
      <c r="D546" s="338">
        <f t="shared" si="215"/>
        <v>1.5432402823030913</v>
      </c>
      <c r="E546" s="338">
        <f t="shared" si="216"/>
        <v>1.0227395055406832</v>
      </c>
      <c r="F546" s="339">
        <f t="shared" si="217"/>
        <v>0.2112666583037319</v>
      </c>
      <c r="G546" s="338">
        <f t="shared" si="218"/>
        <v>1</v>
      </c>
      <c r="H546" s="339">
        <f t="shared" si="219"/>
        <v>0</v>
      </c>
      <c r="I546" s="337">
        <f t="shared" si="220"/>
        <v>111049.43818186097</v>
      </c>
      <c r="J546" s="340">
        <f t="shared" si="221"/>
        <v>1.5707873217966148</v>
      </c>
      <c r="K546" s="348">
        <f t="shared" si="237"/>
        <v>31.239882057312105</v>
      </c>
      <c r="L546" s="349">
        <f t="shared" si="238"/>
        <v>1.538780493502262</v>
      </c>
      <c r="M546" s="337">
        <f t="shared" si="222"/>
        <v>1.3034821443998381</v>
      </c>
      <c r="N546" s="340">
        <f t="shared" si="223"/>
        <v>0.69636971966256478</v>
      </c>
      <c r="O546" s="341">
        <f t="shared" si="224"/>
        <v>1.269676998941911</v>
      </c>
      <c r="P546" s="342">
        <f t="shared" si="225"/>
        <v>1.2323474493077864</v>
      </c>
      <c r="Q546" s="343">
        <f t="shared" si="226"/>
        <v>-12.552167779045334</v>
      </c>
      <c r="R546" s="344">
        <f t="shared" si="227"/>
        <v>-188.65767712676924</v>
      </c>
      <c r="S546" s="346">
        <f t="shared" si="228"/>
        <v>-8.6576771267692436</v>
      </c>
      <c r="U546" s="319">
        <f t="shared" si="234"/>
        <v>83660.5</v>
      </c>
      <c r="V546" s="319">
        <f t="shared" si="235"/>
        <v>6999079260.25</v>
      </c>
      <c r="X546" s="345">
        <f t="shared" si="229"/>
        <v>24.388983069551593</v>
      </c>
      <c r="Y546" s="346">
        <f t="shared" si="230"/>
        <v>-41.732902141926381</v>
      </c>
      <c r="AA546" s="345">
        <f t="shared" si="231"/>
        <v>26.667970440565703</v>
      </c>
      <c r="AB546" s="346">
        <f t="shared" si="232"/>
        <v>-146.92477498484286</v>
      </c>
      <c r="AD546">
        <f t="shared" si="236"/>
        <v>0</v>
      </c>
      <c r="AE546">
        <f t="shared" si="239"/>
        <v>0</v>
      </c>
    </row>
    <row r="547" spans="1:31" x14ac:dyDescent="0.25">
      <c r="A547" s="347">
        <v>84145</v>
      </c>
      <c r="B547" s="364">
        <f t="shared" si="233"/>
        <v>84.144999999999996</v>
      </c>
      <c r="C547" s="337">
        <f t="shared" si="214"/>
        <v>36.504302336250717</v>
      </c>
      <c r="D547" s="338">
        <f t="shared" si="215"/>
        <v>1.5433988681282178</v>
      </c>
      <c r="E547" s="338">
        <f t="shared" si="216"/>
        <v>1.0230006793108193</v>
      </c>
      <c r="F547" s="339">
        <f t="shared" si="217"/>
        <v>0.21245377376233546</v>
      </c>
      <c r="G547" s="338">
        <f t="shared" si="218"/>
        <v>1</v>
      </c>
      <c r="H547" s="339">
        <f t="shared" si="219"/>
        <v>0</v>
      </c>
      <c r="I547" s="337">
        <f t="shared" si="220"/>
        <v>111692.55473979167</v>
      </c>
      <c r="J547" s="340">
        <f t="shared" si="221"/>
        <v>1.5707873736466555</v>
      </c>
      <c r="K547" s="348">
        <f t="shared" si="237"/>
        <v>31.420615598704934</v>
      </c>
      <c r="L547" s="349">
        <f t="shared" si="238"/>
        <v>1.5389647131813993</v>
      </c>
      <c r="M547" s="337">
        <f t="shared" si="222"/>
        <v>1.3065933161853647</v>
      </c>
      <c r="N547" s="340">
        <f t="shared" si="223"/>
        <v>0.6992127885915288</v>
      </c>
      <c r="O547" s="341">
        <f t="shared" si="224"/>
        <v>1.2740178135134006</v>
      </c>
      <c r="P547" s="342">
        <f t="shared" si="225"/>
        <v>1.2391298794132195</v>
      </c>
      <c r="Q547" s="343">
        <f t="shared" si="226"/>
        <v>-12.650472276374396</v>
      </c>
      <c r="R547" s="344">
        <f t="shared" si="227"/>
        <v>-189.13969515126655</v>
      </c>
      <c r="S547" s="346">
        <f t="shared" si="228"/>
        <v>-9.139695151266551</v>
      </c>
      <c r="U547" s="319">
        <f t="shared" si="234"/>
        <v>84145</v>
      </c>
      <c r="V547" s="319">
        <f t="shared" si="235"/>
        <v>7080381025</v>
      </c>
      <c r="X547" s="345">
        <f t="shared" si="229"/>
        <v>24.368225053968079</v>
      </c>
      <c r="Y547" s="346">
        <f t="shared" si="230"/>
        <v>-41.885245953265546</v>
      </c>
      <c r="AA547" s="345">
        <f t="shared" si="231"/>
        <v>26.590423958820153</v>
      </c>
      <c r="AB547" s="346">
        <f t="shared" si="232"/>
        <v>-147.25444919800097</v>
      </c>
      <c r="AD547">
        <f t="shared" si="236"/>
        <v>0</v>
      </c>
      <c r="AE547">
        <f t="shared" si="239"/>
        <v>0</v>
      </c>
    </row>
    <row r="548" spans="1:31" x14ac:dyDescent="0.25">
      <c r="A548" s="347">
        <v>84629.5</v>
      </c>
      <c r="B548" s="364">
        <f t="shared" si="233"/>
        <v>84.629499999999993</v>
      </c>
      <c r="C548" s="337">
        <f t="shared" si="214"/>
        <v>36.714333829950583</v>
      </c>
      <c r="D548" s="338">
        <f t="shared" si="215"/>
        <v>1.5435556395150816</v>
      </c>
      <c r="E548" s="338">
        <f t="shared" si="216"/>
        <v>1.023263294000506</v>
      </c>
      <c r="F548" s="339">
        <f t="shared" si="217"/>
        <v>0.2136402815594767</v>
      </c>
      <c r="G548" s="338">
        <f t="shared" si="218"/>
        <v>1</v>
      </c>
      <c r="H548" s="339">
        <f t="shared" si="219"/>
        <v>0</v>
      </c>
      <c r="I548" s="337">
        <f t="shared" si="220"/>
        <v>112335.67129772267</v>
      </c>
      <c r="J548" s="340">
        <f t="shared" si="221"/>
        <v>1.5707874249030178</v>
      </c>
      <c r="K548" s="348">
        <f t="shared" si="237"/>
        <v>31.601350194218814</v>
      </c>
      <c r="L548" s="349">
        <f t="shared" si="238"/>
        <v>1.5391468256864906</v>
      </c>
      <c r="M548" s="337">
        <f t="shared" si="222"/>
        <v>1.3097149989929107</v>
      </c>
      <c r="N548" s="340">
        <f t="shared" si="223"/>
        <v>0.70204232749094375</v>
      </c>
      <c r="O548" s="341">
        <f t="shared" si="224"/>
        <v>1.2784044489700406</v>
      </c>
      <c r="P548" s="342">
        <f t="shared" si="225"/>
        <v>1.2458947032725689</v>
      </c>
      <c r="Q548" s="343">
        <f t="shared" si="226"/>
        <v>-12.748707862741671</v>
      </c>
      <c r="R548" s="344">
        <f t="shared" si="227"/>
        <v>-189.61998075352508</v>
      </c>
      <c r="S548" s="346">
        <f t="shared" si="228"/>
        <v>-9.6199807535250841</v>
      </c>
      <c r="U548" s="319">
        <f t="shared" si="234"/>
        <v>84629.5</v>
      </c>
      <c r="V548" s="319">
        <f t="shared" si="235"/>
        <v>7162152270.25</v>
      </c>
      <c r="X548" s="345">
        <f t="shared" si="229"/>
        <v>24.347447451974364</v>
      </c>
      <c r="Y548" s="346">
        <f t="shared" si="230"/>
        <v>-42.036935249178391</v>
      </c>
      <c r="AA548" s="345">
        <f t="shared" si="231"/>
        <v>26.512965974446594</v>
      </c>
      <c r="AB548" s="346">
        <f t="shared" si="232"/>
        <v>-147.5830455043467</v>
      </c>
      <c r="AD548">
        <f t="shared" si="236"/>
        <v>0</v>
      </c>
      <c r="AE548">
        <f t="shared" si="239"/>
        <v>0</v>
      </c>
    </row>
    <row r="549" spans="1:31" x14ac:dyDescent="0.25">
      <c r="A549" s="347">
        <v>85114</v>
      </c>
      <c r="B549" s="364">
        <f t="shared" si="233"/>
        <v>85.114000000000004</v>
      </c>
      <c r="C549" s="337">
        <f t="shared" si="214"/>
        <v>36.924366215723161</v>
      </c>
      <c r="D549" s="338">
        <f t="shared" si="215"/>
        <v>1.5437106274184564</v>
      </c>
      <c r="E549" s="338">
        <f t="shared" si="216"/>
        <v>1.0235273485006178</v>
      </c>
      <c r="F549" s="339">
        <f t="shared" si="217"/>
        <v>0.21482617882345131</v>
      </c>
      <c r="G549" s="338">
        <f t="shared" si="218"/>
        <v>1</v>
      </c>
      <c r="H549" s="339">
        <f t="shared" si="219"/>
        <v>0</v>
      </c>
      <c r="I549" s="337">
        <f t="shared" si="220"/>
        <v>112978.78785565397</v>
      </c>
      <c r="J549" s="340">
        <f t="shared" si="221"/>
        <v>1.5707874755758404</v>
      </c>
      <c r="K549" s="348">
        <f t="shared" si="237"/>
        <v>31.782085825870389</v>
      </c>
      <c r="L549" s="349">
        <f t="shared" si="238"/>
        <v>1.539326866954041</v>
      </c>
      <c r="M549" s="337">
        <f t="shared" si="222"/>
        <v>1.3128471178432757</v>
      </c>
      <c r="N549" s="340">
        <f t="shared" si="223"/>
        <v>0.70485838772882392</v>
      </c>
      <c r="O549" s="341">
        <f t="shared" si="224"/>
        <v>1.282837048454059</v>
      </c>
      <c r="P549" s="342">
        <f t="shared" si="225"/>
        <v>1.2526416834530572</v>
      </c>
      <c r="Q549" s="343">
        <f t="shared" si="226"/>
        <v>-12.846875548990704</v>
      </c>
      <c r="R549" s="344">
        <f t="shared" si="227"/>
        <v>-190.09852315250461</v>
      </c>
      <c r="S549" s="346">
        <f t="shared" si="228"/>
        <v>-10.098523152504612</v>
      </c>
      <c r="U549" s="319">
        <f t="shared" si="234"/>
        <v>85114</v>
      </c>
      <c r="V549" s="319">
        <f t="shared" si="235"/>
        <v>7244392996</v>
      </c>
      <c r="X549" s="345">
        <f t="shared" si="229"/>
        <v>24.326651003366653</v>
      </c>
      <c r="Y549" s="346">
        <f t="shared" si="230"/>
        <v>-42.187970914406151</v>
      </c>
      <c r="AA549" s="345">
        <f t="shared" si="231"/>
        <v>26.435594736805275</v>
      </c>
      <c r="AB549" s="346">
        <f t="shared" si="232"/>
        <v>-147.91055223809846</v>
      </c>
      <c r="AD549">
        <f t="shared" si="236"/>
        <v>0</v>
      </c>
      <c r="AE549">
        <f t="shared" si="239"/>
        <v>0</v>
      </c>
    </row>
    <row r="550" spans="1:31" x14ac:dyDescent="0.25">
      <c r="A550" s="347">
        <v>85609.5</v>
      </c>
      <c r="B550" s="364">
        <f t="shared" si="233"/>
        <v>85.609499999999997</v>
      </c>
      <c r="C550" s="337">
        <f t="shared" si="214"/>
        <v>37.139168045544302</v>
      </c>
      <c r="D550" s="338">
        <f t="shared" si="215"/>
        <v>1.5438673209837819</v>
      </c>
      <c r="E550" s="338">
        <f t="shared" si="216"/>
        <v>1.0237988861004061</v>
      </c>
      <c r="F550" s="339">
        <f t="shared" si="217"/>
        <v>0.21603836601841517</v>
      </c>
      <c r="G550" s="338">
        <f t="shared" si="218"/>
        <v>1</v>
      </c>
      <c r="H550" s="339">
        <f t="shared" si="219"/>
        <v>0</v>
      </c>
      <c r="I550" s="337">
        <f t="shared" si="220"/>
        <v>113636.50561510719</v>
      </c>
      <c r="J550" s="340">
        <f t="shared" si="221"/>
        <v>1.5707875268058913</v>
      </c>
      <c r="K550" s="348">
        <f t="shared" si="237"/>
        <v>31.966925899851987</v>
      </c>
      <c r="L550" s="349">
        <f t="shared" si="238"/>
        <v>1.5395088901366636</v>
      </c>
      <c r="M550" s="337">
        <f t="shared" si="222"/>
        <v>1.3160610642384349</v>
      </c>
      <c r="N550" s="340">
        <f t="shared" si="223"/>
        <v>0.70772449604299914</v>
      </c>
      <c r="O550" s="341">
        <f t="shared" si="224"/>
        <v>1.287417971719534</v>
      </c>
      <c r="P550" s="342">
        <f t="shared" si="225"/>
        <v>1.25952314609672</v>
      </c>
      <c r="Q550" s="343">
        <f t="shared" si="226"/>
        <v>-12.94720275664571</v>
      </c>
      <c r="R550" s="344">
        <f t="shared" si="227"/>
        <v>-190.58611627429687</v>
      </c>
      <c r="S550" s="346">
        <f t="shared" si="228"/>
        <v>-10.58611627429687</v>
      </c>
      <c r="U550" s="319">
        <f t="shared" si="234"/>
        <v>85609.5</v>
      </c>
      <c r="V550" s="319">
        <f t="shared" si="235"/>
        <v>7328986490.25</v>
      </c>
      <c r="X550" s="345">
        <f t="shared" si="229"/>
        <v>24.305363664577015</v>
      </c>
      <c r="Y550" s="346">
        <f t="shared" si="230"/>
        <v>-42.341760599739374</v>
      </c>
      <c r="AA550" s="345">
        <f t="shared" si="231"/>
        <v>26.356554867939902</v>
      </c>
      <c r="AB550" s="346">
        <f t="shared" si="232"/>
        <v>-148.24435567455745</v>
      </c>
      <c r="AD550">
        <f t="shared" si="236"/>
        <v>0</v>
      </c>
      <c r="AE550">
        <f t="shared" si="239"/>
        <v>0</v>
      </c>
    </row>
    <row r="551" spans="1:31" x14ac:dyDescent="0.25">
      <c r="A551" s="347">
        <v>86105</v>
      </c>
      <c r="B551" s="364">
        <f t="shared" si="233"/>
        <v>86.105000000000004</v>
      </c>
      <c r="C551" s="337">
        <f t="shared" si="214"/>
        <v>37.353970776751368</v>
      </c>
      <c r="D551" s="338">
        <f t="shared" si="215"/>
        <v>1.5440222124308989</v>
      </c>
      <c r="E551" s="338">
        <f t="shared" si="216"/>
        <v>1.0240719272689509</v>
      </c>
      <c r="F551" s="339">
        <f t="shared" si="217"/>
        <v>0.2172499085987625</v>
      </c>
      <c r="G551" s="338">
        <f t="shared" si="218"/>
        <v>1</v>
      </c>
      <c r="H551" s="339">
        <f t="shared" si="219"/>
        <v>0</v>
      </c>
      <c r="I551" s="337">
        <f t="shared" si="220"/>
        <v>114294.22337456074</v>
      </c>
      <c r="J551" s="340">
        <f t="shared" si="221"/>
        <v>1.5707875774463251</v>
      </c>
      <c r="K551" s="348">
        <f t="shared" si="237"/>
        <v>32.151767020797799</v>
      </c>
      <c r="L551" s="349">
        <f t="shared" si="238"/>
        <v>1.5396888204157035</v>
      </c>
      <c r="M551" s="337">
        <f t="shared" si="222"/>
        <v>1.3192857687933561</v>
      </c>
      <c r="N551" s="340">
        <f t="shared" si="223"/>
        <v>0.7105766165452706</v>
      </c>
      <c r="O551" s="341">
        <f t="shared" si="224"/>
        <v>1.2920472618531589</v>
      </c>
      <c r="P551" s="342">
        <f t="shared" si="225"/>
        <v>1.2663854545265532</v>
      </c>
      <c r="Q551" s="343">
        <f t="shared" si="226"/>
        <v>-13.047460832152352</v>
      </c>
      <c r="R551" s="344">
        <f t="shared" si="227"/>
        <v>-191.07186405857698</v>
      </c>
      <c r="S551" s="346">
        <f t="shared" si="228"/>
        <v>-11.071864058576978</v>
      </c>
      <c r="U551" s="319">
        <f t="shared" si="234"/>
        <v>86105</v>
      </c>
      <c r="V551" s="319">
        <f t="shared" si="235"/>
        <v>7414071025</v>
      </c>
      <c r="X551" s="345">
        <f t="shared" si="229"/>
        <v>24.284058151161304</v>
      </c>
      <c r="Y551" s="346">
        <f t="shared" si="230"/>
        <v>-42.494868723244743</v>
      </c>
      <c r="AA551" s="345">
        <f t="shared" si="231"/>
        <v>26.277602305848973</v>
      </c>
      <c r="AB551" s="346">
        <f t="shared" si="232"/>
        <v>-148.57699533533224</v>
      </c>
      <c r="AD551">
        <f t="shared" si="236"/>
        <v>0</v>
      </c>
      <c r="AE551">
        <f t="shared" si="239"/>
        <v>0</v>
      </c>
    </row>
    <row r="552" spans="1:31" x14ac:dyDescent="0.25">
      <c r="A552" s="347">
        <v>86600.5</v>
      </c>
      <c r="B552" s="364">
        <f t="shared" si="233"/>
        <v>86.600499999999997</v>
      </c>
      <c r="C552" s="337">
        <f t="shared" si="214"/>
        <v>37.568774393883103</v>
      </c>
      <c r="D552" s="338">
        <f t="shared" si="215"/>
        <v>1.5441753326637409</v>
      </c>
      <c r="E552" s="338">
        <f t="shared" si="216"/>
        <v>1.0243464708039165</v>
      </c>
      <c r="F552" s="339">
        <f t="shared" si="217"/>
        <v>0.21846080352470004</v>
      </c>
      <c r="G552" s="338">
        <f t="shared" si="218"/>
        <v>1</v>
      </c>
      <c r="H552" s="339">
        <f t="shared" si="219"/>
        <v>0</v>
      </c>
      <c r="I552" s="337">
        <f t="shared" si="220"/>
        <v>114951.94113401456</v>
      </c>
      <c r="J552" s="340">
        <f t="shared" si="221"/>
        <v>1.5707876275072625</v>
      </c>
      <c r="K552" s="348">
        <f t="shared" si="237"/>
        <v>32.336609170753988</v>
      </c>
      <c r="L552" s="349">
        <f t="shared" si="238"/>
        <v>1.5398666936697027</v>
      </c>
      <c r="M552" s="337">
        <f t="shared" si="222"/>
        <v>1.3225211528131493</v>
      </c>
      <c r="N552" s="340">
        <f t="shared" si="223"/>
        <v>0.7134148053228011</v>
      </c>
      <c r="O552" s="341">
        <f t="shared" si="224"/>
        <v>1.2967250610402823</v>
      </c>
      <c r="P552" s="342">
        <f t="shared" si="225"/>
        <v>1.2732283662840631</v>
      </c>
      <c r="Q552" s="343">
        <f t="shared" si="226"/>
        <v>-13.147650605386339</v>
      </c>
      <c r="R552" s="344">
        <f t="shared" si="227"/>
        <v>-191.55575571677747</v>
      </c>
      <c r="S552" s="346">
        <f t="shared" si="228"/>
        <v>-11.555755716777469</v>
      </c>
      <c r="U552" s="319">
        <f t="shared" si="234"/>
        <v>86600.5</v>
      </c>
      <c r="V552" s="319">
        <f t="shared" si="235"/>
        <v>7499646600.25</v>
      </c>
      <c r="X552" s="345">
        <f t="shared" si="229"/>
        <v>24.26273522652863</v>
      </c>
      <c r="Y552" s="346">
        <f t="shared" si="230"/>
        <v>-42.647296443370841</v>
      </c>
      <c r="AA552" s="345">
        <f t="shared" si="231"/>
        <v>26.198735457247665</v>
      </c>
      <c r="AB552" s="346">
        <f t="shared" si="232"/>
        <v>-148.90845927340666</v>
      </c>
      <c r="AD552">
        <f t="shared" si="236"/>
        <v>0</v>
      </c>
      <c r="AE552">
        <f t="shared" si="239"/>
        <v>0</v>
      </c>
    </row>
    <row r="553" spans="1:31" x14ac:dyDescent="0.25">
      <c r="A553" s="347">
        <v>87096</v>
      </c>
      <c r="B553" s="364">
        <f t="shared" si="233"/>
        <v>87.096000000000004</v>
      </c>
      <c r="C553" s="337">
        <f t="shared" si="214"/>
        <v>37.783578881829797</v>
      </c>
      <c r="D553" s="338">
        <f t="shared" si="215"/>
        <v>1.544326711883806</v>
      </c>
      <c r="E553" s="338">
        <f t="shared" si="216"/>
        <v>1.0246225154976434</v>
      </c>
      <c r="F553" s="339">
        <f t="shared" si="217"/>
        <v>0.21967104776728061</v>
      </c>
      <c r="G553" s="338">
        <f t="shared" si="218"/>
        <v>1</v>
      </c>
      <c r="H553" s="339">
        <f t="shared" si="219"/>
        <v>0</v>
      </c>
      <c r="I553" s="337">
        <f t="shared" si="220"/>
        <v>115609.65889346867</v>
      </c>
      <c r="J553" s="340">
        <f t="shared" si="221"/>
        <v>1.5707876769985942</v>
      </c>
      <c r="K553" s="348">
        <f t="shared" si="237"/>
        <v>32.521452332174796</v>
      </c>
      <c r="L553" s="349">
        <f t="shared" si="238"/>
        <v>1.540042544962035</v>
      </c>
      <c r="M553" s="337">
        <f t="shared" si="222"/>
        <v>1.3257671381117555</v>
      </c>
      <c r="N553" s="340">
        <f t="shared" si="223"/>
        <v>0.71623911881396674</v>
      </c>
      <c r="O553" s="341">
        <f t="shared" si="224"/>
        <v>1.3014515078046438</v>
      </c>
      <c r="P553" s="342">
        <f t="shared" si="225"/>
        <v>1.2800516429372051</v>
      </c>
      <c r="Q553" s="343">
        <f t="shared" si="226"/>
        <v>-13.24777282594215</v>
      </c>
      <c r="R553" s="344">
        <f t="shared" si="227"/>
        <v>-192.03778071697681</v>
      </c>
      <c r="S553" s="346">
        <f t="shared" si="228"/>
        <v>-12.037780716976812</v>
      </c>
      <c r="U553" s="319">
        <f t="shared" si="234"/>
        <v>87096</v>
      </c>
      <c r="V553" s="319">
        <f t="shared" si="235"/>
        <v>7585713216</v>
      </c>
      <c r="X553" s="345">
        <f t="shared" si="229"/>
        <v>24.241395644754643</v>
      </c>
      <c r="Y553" s="346">
        <f t="shared" si="230"/>
        <v>-42.799044985381734</v>
      </c>
      <c r="AA553" s="345">
        <f t="shared" si="231"/>
        <v>26.119952818465837</v>
      </c>
      <c r="AB553" s="346">
        <f t="shared" si="232"/>
        <v>-149.23873573159506</v>
      </c>
      <c r="AD553">
        <f t="shared" si="236"/>
        <v>0</v>
      </c>
      <c r="AE553">
        <f t="shared" si="239"/>
        <v>0</v>
      </c>
    </row>
    <row r="554" spans="1:31" x14ac:dyDescent="0.25">
      <c r="A554" s="347">
        <v>87603.25</v>
      </c>
      <c r="B554" s="364">
        <f t="shared" si="233"/>
        <v>87.603250000000003</v>
      </c>
      <c r="C554" s="337">
        <f t="shared" si="214"/>
        <v>38.003478005604478</v>
      </c>
      <c r="D554" s="338">
        <f t="shared" si="215"/>
        <v>1.5444799082074392</v>
      </c>
      <c r="E554" s="338">
        <f t="shared" si="216"/>
        <v>1.0249066598661865</v>
      </c>
      <c r="F554" s="339">
        <f t="shared" si="217"/>
        <v>0.22090931387872903</v>
      </c>
      <c r="G554" s="338">
        <f t="shared" si="218"/>
        <v>1</v>
      </c>
      <c r="H554" s="339">
        <f t="shared" si="219"/>
        <v>0</v>
      </c>
      <c r="I554" s="337">
        <f t="shared" si="220"/>
        <v>116282.97339091216</v>
      </c>
      <c r="J554" s="340">
        <f t="shared" si="221"/>
        <v>1.5707877270835988</v>
      </c>
      <c r="K554" s="348">
        <f t="shared" si="237"/>
        <v>32.710679787086896</v>
      </c>
      <c r="L554" s="349">
        <f t="shared" si="238"/>
        <v>1.5402205076141506</v>
      </c>
      <c r="M554" s="337">
        <f t="shared" si="222"/>
        <v>1.3291009970791501</v>
      </c>
      <c r="N554" s="340">
        <f t="shared" si="223"/>
        <v>0.7191160929816347</v>
      </c>
      <c r="O554" s="341">
        <f t="shared" si="224"/>
        <v>1.3063405672393182</v>
      </c>
      <c r="P554" s="342">
        <f t="shared" si="225"/>
        <v>1.2870161391397177</v>
      </c>
      <c r="Q554" s="343">
        <f t="shared" si="226"/>
        <v>-13.35020001293039</v>
      </c>
      <c r="R554" s="344">
        <f t="shared" si="227"/>
        <v>-192.52929187541608</v>
      </c>
      <c r="S554" s="346">
        <f t="shared" si="228"/>
        <v>-12.529291875416078</v>
      </c>
      <c r="U554" s="319">
        <f t="shared" si="234"/>
        <v>87603.25</v>
      </c>
      <c r="V554" s="319">
        <f t="shared" si="235"/>
        <v>7674329410.5625</v>
      </c>
      <c r="X554" s="345">
        <f t="shared" si="229"/>
        <v>24.219533551705986</v>
      </c>
      <c r="Y554" s="346">
        <f t="shared" si="230"/>
        <v>-42.953689823916179</v>
      </c>
      <c r="AA554" s="345">
        <f t="shared" si="231"/>
        <v>26.039387724526254</v>
      </c>
      <c r="AB554" s="346">
        <f t="shared" si="232"/>
        <v>-149.57560205149989</v>
      </c>
      <c r="AD554">
        <f t="shared" si="236"/>
        <v>0</v>
      </c>
      <c r="AE554">
        <f t="shared" si="239"/>
        <v>0</v>
      </c>
    </row>
    <row r="555" spans="1:31" x14ac:dyDescent="0.25">
      <c r="A555" s="347">
        <v>88110.5</v>
      </c>
      <c r="B555" s="364">
        <f t="shared" si="233"/>
        <v>88.110500000000002</v>
      </c>
      <c r="C555" s="337">
        <f t="shared" si="214"/>
        <v>38.223378011024799</v>
      </c>
      <c r="D555" s="338">
        <f t="shared" si="215"/>
        <v>1.5446313418503845</v>
      </c>
      <c r="E555" s="338">
        <f t="shared" si="216"/>
        <v>1.0251923748546266</v>
      </c>
      <c r="F555" s="339">
        <f t="shared" si="217"/>
        <v>0.22214689169214899</v>
      </c>
      <c r="G555" s="338">
        <f t="shared" si="218"/>
        <v>1</v>
      </c>
      <c r="H555" s="339">
        <f t="shared" si="219"/>
        <v>0</v>
      </c>
      <c r="I555" s="337">
        <f t="shared" si="220"/>
        <v>116956.28788835593</v>
      </c>
      <c r="J555" s="340">
        <f t="shared" si="221"/>
        <v>1.5707877765919271</v>
      </c>
      <c r="K555" s="348">
        <f t="shared" si="237"/>
        <v>32.899908266052293</v>
      </c>
      <c r="L555" s="349">
        <f t="shared" si="238"/>
        <v>1.5403964231170202</v>
      </c>
      <c r="M555" s="337">
        <f t="shared" si="222"/>
        <v>1.332445801886402</v>
      </c>
      <c r="N555" s="340">
        <f t="shared" si="223"/>
        <v>0.72197864675356005</v>
      </c>
      <c r="O555" s="341">
        <f t="shared" si="224"/>
        <v>1.3112808908997162</v>
      </c>
      <c r="P555" s="342">
        <f t="shared" si="225"/>
        <v>1.2939595655050484</v>
      </c>
      <c r="Q555" s="343">
        <f t="shared" si="226"/>
        <v>-13.452557746920847</v>
      </c>
      <c r="R555" s="344">
        <f t="shared" si="227"/>
        <v>-193.01882529567135</v>
      </c>
      <c r="S555" s="346">
        <f t="shared" si="228"/>
        <v>-13.018825295671348</v>
      </c>
      <c r="U555" s="319">
        <f t="shared" si="234"/>
        <v>88110.5</v>
      </c>
      <c r="V555" s="319">
        <f t="shared" si="235"/>
        <v>7763460210.25</v>
      </c>
      <c r="X555" s="345">
        <f t="shared" si="229"/>
        <v>24.197655571646091</v>
      </c>
      <c r="Y555" s="346">
        <f t="shared" si="230"/>
        <v>-43.107625694605574</v>
      </c>
      <c r="AA555" s="345">
        <f t="shared" si="231"/>
        <v>25.958907970595689</v>
      </c>
      <c r="AB555" s="346">
        <f t="shared" si="232"/>
        <v>-149.91119960106573</v>
      </c>
      <c r="AD555">
        <f t="shared" si="236"/>
        <v>0</v>
      </c>
      <c r="AE555">
        <f t="shared" si="239"/>
        <v>0</v>
      </c>
    </row>
    <row r="556" spans="1:31" x14ac:dyDescent="0.25">
      <c r="A556" s="347">
        <v>88617.75</v>
      </c>
      <c r="B556" s="364">
        <f t="shared" si="233"/>
        <v>88.617750000000001</v>
      </c>
      <c r="C556" s="337">
        <f t="shared" si="214"/>
        <v>38.443278882961401</v>
      </c>
      <c r="D556" s="338">
        <f t="shared" si="215"/>
        <v>1.5447810430539684</v>
      </c>
      <c r="E556" s="338">
        <f t="shared" si="216"/>
        <v>1.0254796591501643</v>
      </c>
      <c r="F556" s="339">
        <f t="shared" si="217"/>
        <v>0.22338377799349812</v>
      </c>
      <c r="G556" s="338">
        <f t="shared" si="218"/>
        <v>1</v>
      </c>
      <c r="H556" s="339">
        <f t="shared" si="219"/>
        <v>0</v>
      </c>
      <c r="I556" s="337">
        <f t="shared" si="220"/>
        <v>117629.60238579997</v>
      </c>
      <c r="J556" s="340">
        <f t="shared" si="221"/>
        <v>1.5707878255334817</v>
      </c>
      <c r="K556" s="348">
        <f t="shared" si="237"/>
        <v>33.089137751502065</v>
      </c>
      <c r="L556" s="349">
        <f t="shared" si="238"/>
        <v>1.5405703265812474</v>
      </c>
      <c r="M556" s="337">
        <f t="shared" si="222"/>
        <v>1.3358014703093994</v>
      </c>
      <c r="N556" s="340">
        <f t="shared" si="223"/>
        <v>0.72482684171742784</v>
      </c>
      <c r="O556" s="341">
        <f t="shared" si="224"/>
        <v>1.3162726155744926</v>
      </c>
      <c r="P556" s="342">
        <f t="shared" si="225"/>
        <v>1.3008816797729132</v>
      </c>
      <c r="Q556" s="343">
        <f t="shared" si="226"/>
        <v>-13.554846585013088</v>
      </c>
      <c r="R556" s="344">
        <f t="shared" si="227"/>
        <v>-193.50637053169453</v>
      </c>
      <c r="S556" s="346">
        <f t="shared" si="228"/>
        <v>-13.506370531694529</v>
      </c>
      <c r="U556" s="319">
        <f t="shared" si="234"/>
        <v>88617.75</v>
      </c>
      <c r="V556" s="319">
        <f t="shared" si="235"/>
        <v>7853105615.0625</v>
      </c>
      <c r="X556" s="345">
        <f t="shared" si="229"/>
        <v>24.17576248348016</v>
      </c>
      <c r="Y556" s="346">
        <f t="shared" si="230"/>
        <v>-43.260854115042321</v>
      </c>
      <c r="AA556" s="345">
        <f t="shared" si="231"/>
        <v>25.878512220669382</v>
      </c>
      <c r="AB556" s="346">
        <f t="shared" si="232"/>
        <v>-150.24551641665224</v>
      </c>
      <c r="AD556">
        <f t="shared" si="236"/>
        <v>0</v>
      </c>
      <c r="AE556">
        <f t="shared" si="239"/>
        <v>0</v>
      </c>
    </row>
    <row r="557" spans="1:31" x14ac:dyDescent="0.25">
      <c r="A557" s="347">
        <v>89125</v>
      </c>
      <c r="B557" s="364">
        <f t="shared" si="233"/>
        <v>89.125</v>
      </c>
      <c r="C557" s="337">
        <f t="shared" si="214"/>
        <v>38.663180606629091</v>
      </c>
      <c r="D557" s="338">
        <f t="shared" si="215"/>
        <v>1.5449290413718257</v>
      </c>
      <c r="E557" s="338">
        <f t="shared" si="216"/>
        <v>1.0257685114342647</v>
      </c>
      <c r="F557" s="339">
        <f t="shared" si="217"/>
        <v>0.22461996958078831</v>
      </c>
      <c r="G557" s="338">
        <f t="shared" si="218"/>
        <v>1</v>
      </c>
      <c r="H557" s="339">
        <f t="shared" si="219"/>
        <v>0</v>
      </c>
      <c r="I557" s="337">
        <f t="shared" si="220"/>
        <v>118302.91688324431</v>
      </c>
      <c r="J557" s="340">
        <f t="shared" si="221"/>
        <v>1.5707878739179402</v>
      </c>
      <c r="K557" s="348">
        <f t="shared" si="237"/>
        <v>33.278368226266814</v>
      </c>
      <c r="L557" s="349">
        <f t="shared" si="238"/>
        <v>1.5407422523193324</v>
      </c>
      <c r="M557" s="337">
        <f t="shared" si="222"/>
        <v>1.3391679206824512</v>
      </c>
      <c r="N557" s="340">
        <f t="shared" si="223"/>
        <v>0.72766073977648738</v>
      </c>
      <c r="O557" s="341">
        <f t="shared" si="224"/>
        <v>1.3213158741038455</v>
      </c>
      <c r="P557" s="342">
        <f t="shared" si="225"/>
        <v>1.3077822443801477</v>
      </c>
      <c r="Q557" s="343">
        <f t="shared" si="226"/>
        <v>-13.657067005730374</v>
      </c>
      <c r="R557" s="344">
        <f t="shared" si="227"/>
        <v>-193.99191743026594</v>
      </c>
      <c r="S557" s="346">
        <f t="shared" si="228"/>
        <v>-13.991917430265943</v>
      </c>
      <c r="U557" s="319">
        <f t="shared" si="234"/>
        <v>89125</v>
      </c>
      <c r="V557" s="319">
        <f t="shared" si="235"/>
        <v>7943265625</v>
      </c>
      <c r="X557" s="345">
        <f t="shared" si="229"/>
        <v>24.153855056071155</v>
      </c>
      <c r="Y557" s="346">
        <f t="shared" si="230"/>
        <v>-43.413376666614326</v>
      </c>
      <c r="AA557" s="345">
        <f t="shared" si="231"/>
        <v>25.798199227361096</v>
      </c>
      <c r="AB557" s="346">
        <f t="shared" si="232"/>
        <v>-150.5785407636516</v>
      </c>
      <c r="AD557">
        <f t="shared" si="236"/>
        <v>0</v>
      </c>
      <c r="AE557">
        <f t="shared" si="239"/>
        <v>0</v>
      </c>
    </row>
    <row r="558" spans="1:31" x14ac:dyDescent="0.25">
      <c r="A558" s="347">
        <v>89644</v>
      </c>
      <c r="B558" s="364">
        <f t="shared" si="233"/>
        <v>89.644000000000005</v>
      </c>
      <c r="C558" s="337">
        <f t="shared" si="214"/>
        <v>38.888177026752089</v>
      </c>
      <c r="D558" s="338">
        <f t="shared" si="215"/>
        <v>1.5450787355528341</v>
      </c>
      <c r="E558" s="338">
        <f t="shared" si="216"/>
        <v>1.0260656762370315</v>
      </c>
      <c r="F558" s="339">
        <f t="shared" si="217"/>
        <v>0.22588407409255215</v>
      </c>
      <c r="G558" s="338">
        <f t="shared" si="218"/>
        <v>1</v>
      </c>
      <c r="H558" s="339">
        <f t="shared" si="219"/>
        <v>0</v>
      </c>
      <c r="I558" s="337">
        <f t="shared" si="220"/>
        <v>118991.82811867801</v>
      </c>
      <c r="J558" s="340">
        <f t="shared" si="221"/>
        <v>1.5707879228564428</v>
      </c>
      <c r="K558" s="348">
        <f t="shared" si="237"/>
        <v>33.471983064959922</v>
      </c>
      <c r="L558" s="349">
        <f t="shared" si="238"/>
        <v>1.5409161485653757</v>
      </c>
      <c r="M558" s="337">
        <f t="shared" si="222"/>
        <v>1.3426234267986576</v>
      </c>
      <c r="N558" s="340">
        <f t="shared" si="223"/>
        <v>0.73054554996634813</v>
      </c>
      <c r="O558" s="341">
        <f t="shared" si="224"/>
        <v>1.326529428000391</v>
      </c>
      <c r="P558" s="342">
        <f t="shared" si="225"/>
        <v>1.3148201074955683</v>
      </c>
      <c r="Q558" s="343">
        <f t="shared" si="226"/>
        <v>-13.761584878738947</v>
      </c>
      <c r="R558" s="344">
        <f t="shared" si="227"/>
        <v>-194.48663300711112</v>
      </c>
      <c r="S558" s="346">
        <f t="shared" si="228"/>
        <v>-14.486633007111124</v>
      </c>
      <c r="U558" s="319">
        <f t="shared" si="234"/>
        <v>89644</v>
      </c>
      <c r="V558" s="319">
        <f t="shared" si="235"/>
        <v>8036046736</v>
      </c>
      <c r="X558" s="345">
        <f t="shared" si="229"/>
        <v>24.131426112510027</v>
      </c>
      <c r="Y558" s="346">
        <f t="shared" si="230"/>
        <v>-43.568703398365379</v>
      </c>
      <c r="AA558" s="345">
        <f t="shared" si="231"/>
        <v>25.716110297913648</v>
      </c>
      <c r="AB558" s="346">
        <f t="shared" si="232"/>
        <v>-150.91792960874574</v>
      </c>
      <c r="AD558">
        <f t="shared" si="236"/>
        <v>0</v>
      </c>
      <c r="AE558">
        <f t="shared" si="239"/>
        <v>0</v>
      </c>
    </row>
    <row r="559" spans="1:31" x14ac:dyDescent="0.25">
      <c r="A559" s="347">
        <v>90163</v>
      </c>
      <c r="B559" s="364">
        <f t="shared" si="233"/>
        <v>90.162999999999997</v>
      </c>
      <c r="C559" s="337">
        <f t="shared" si="214"/>
        <v>39.113174308269286</v>
      </c>
      <c r="D559" s="338">
        <f t="shared" si="215"/>
        <v>1.5452267075151704</v>
      </c>
      <c r="E559" s="338">
        <f t="shared" si="216"/>
        <v>1.0263644797009619</v>
      </c>
      <c r="F559" s="339">
        <f t="shared" si="217"/>
        <v>0.22714744458965494</v>
      </c>
      <c r="G559" s="338">
        <f t="shared" si="218"/>
        <v>1</v>
      </c>
      <c r="H559" s="339">
        <f t="shared" si="219"/>
        <v>0</v>
      </c>
      <c r="I559" s="337">
        <f t="shared" si="220"/>
        <v>119680.73935411201</v>
      </c>
      <c r="J559" s="340">
        <f t="shared" si="221"/>
        <v>1.570787971231542</v>
      </c>
      <c r="K559" s="348">
        <f t="shared" si="237"/>
        <v>33.665598904200138</v>
      </c>
      <c r="L559" s="349">
        <f t="shared" si="238"/>
        <v>1.5410880446104986</v>
      </c>
      <c r="M559" s="337">
        <f t="shared" si="222"/>
        <v>1.3460900489810323</v>
      </c>
      <c r="N559" s="340">
        <f t="shared" si="223"/>
        <v>0.73341552527853104</v>
      </c>
      <c r="O559" s="341">
        <f t="shared" si="224"/>
        <v>1.3317971996716356</v>
      </c>
      <c r="P559" s="342">
        <f t="shared" si="225"/>
        <v>1.3218349231843194</v>
      </c>
      <c r="Q559" s="343">
        <f t="shared" si="226"/>
        <v>-13.866031899694867</v>
      </c>
      <c r="R559" s="344">
        <f t="shared" si="227"/>
        <v>-194.97923603866772</v>
      </c>
      <c r="S559" s="346">
        <f t="shared" si="228"/>
        <v>-14.979236038667722</v>
      </c>
      <c r="U559" s="319">
        <f t="shared" si="234"/>
        <v>90163</v>
      </c>
      <c r="V559" s="319">
        <f t="shared" si="235"/>
        <v>8129366569</v>
      </c>
      <c r="X559" s="345">
        <f t="shared" si="229"/>
        <v>24.108983754195016</v>
      </c>
      <c r="Y559" s="346">
        <f t="shared" si="230"/>
        <v>-43.723294725025355</v>
      </c>
      <c r="AA559" s="345">
        <f t="shared" si="231"/>
        <v>25.634105635272746</v>
      </c>
      <c r="AB559" s="346">
        <f t="shared" si="232"/>
        <v>-151.25594131364235</v>
      </c>
      <c r="AD559">
        <f t="shared" si="236"/>
        <v>0</v>
      </c>
      <c r="AE559">
        <f t="shared" si="239"/>
        <v>0</v>
      </c>
    </row>
    <row r="560" spans="1:31" x14ac:dyDescent="0.25">
      <c r="A560" s="347">
        <v>90682</v>
      </c>
      <c r="B560" s="364">
        <f t="shared" si="233"/>
        <v>90.682000000000002</v>
      </c>
      <c r="C560" s="337">
        <f t="shared" si="214"/>
        <v>39.338172436400271</v>
      </c>
      <c r="D560" s="338">
        <f t="shared" si="215"/>
        <v>1.5453729868034409</v>
      </c>
      <c r="E560" s="338">
        <f t="shared" si="216"/>
        <v>1.0266649203952947</v>
      </c>
      <c r="F560" s="339">
        <f t="shared" si="217"/>
        <v>0.22841007768180943</v>
      </c>
      <c r="G560" s="338">
        <f t="shared" si="218"/>
        <v>1</v>
      </c>
      <c r="H560" s="339">
        <f t="shared" si="219"/>
        <v>0</v>
      </c>
      <c r="I560" s="337">
        <f t="shared" si="220"/>
        <v>120369.65058954628</v>
      </c>
      <c r="J560" s="340">
        <f t="shared" si="221"/>
        <v>1.5707880190529109</v>
      </c>
      <c r="K560" s="348">
        <f t="shared" si="237"/>
        <v>33.85921572682328</v>
      </c>
      <c r="L560" s="349">
        <f t="shared" si="238"/>
        <v>1.5412579747576427</v>
      </c>
      <c r="M560" s="337">
        <f t="shared" si="222"/>
        <v>1.349567701568366</v>
      </c>
      <c r="N560" s="340">
        <f t="shared" si="223"/>
        <v>0.73627073293480128</v>
      </c>
      <c r="O560" s="341">
        <f t="shared" si="224"/>
        <v>1.3371193187265511</v>
      </c>
      <c r="P560" s="342">
        <f t="shared" si="225"/>
        <v>1.3288264526298168</v>
      </c>
      <c r="Q560" s="343">
        <f t="shared" si="226"/>
        <v>-13.970408340998501</v>
      </c>
      <c r="R560" s="344">
        <f t="shared" si="227"/>
        <v>-195.4697166154476</v>
      </c>
      <c r="S560" s="346">
        <f t="shared" si="228"/>
        <v>-15.469716615447595</v>
      </c>
      <c r="U560" s="319">
        <f t="shared" si="234"/>
        <v>90682</v>
      </c>
      <c r="V560" s="319">
        <f t="shared" si="235"/>
        <v>8223225124</v>
      </c>
      <c r="X560" s="345">
        <f t="shared" si="229"/>
        <v>24.086528772410375</v>
      </c>
      <c r="Y560" s="346">
        <f t="shared" si="230"/>
        <v>-43.877152533258084</v>
      </c>
      <c r="AA560" s="345">
        <f t="shared" si="231"/>
        <v>25.552184175753752</v>
      </c>
      <c r="AB560" s="346">
        <f t="shared" si="232"/>
        <v>-151.59256408218951</v>
      </c>
      <c r="AD560">
        <f t="shared" si="236"/>
        <v>0</v>
      </c>
      <c r="AE560">
        <f t="shared" si="239"/>
        <v>0</v>
      </c>
    </row>
    <row r="561" spans="1:31" x14ac:dyDescent="0.25">
      <c r="A561" s="347">
        <v>91201</v>
      </c>
      <c r="B561" s="364">
        <f t="shared" si="233"/>
        <v>91.200999999999993</v>
      </c>
      <c r="C561" s="337">
        <f t="shared" si="214"/>
        <v>39.563171396700817</v>
      </c>
      <c r="D561" s="338">
        <f t="shared" si="215"/>
        <v>1.5455176022904547</v>
      </c>
      <c r="E561" s="338">
        <f t="shared" si="216"/>
        <v>1.026966996883107</v>
      </c>
      <c r="F561" s="339">
        <f t="shared" si="217"/>
        <v>0.22967196999208969</v>
      </c>
      <c r="G561" s="338">
        <f t="shared" si="218"/>
        <v>1</v>
      </c>
      <c r="H561" s="339">
        <f t="shared" si="219"/>
        <v>0</v>
      </c>
      <c r="I561" s="337">
        <f t="shared" si="220"/>
        <v>121058.5618249808</v>
      </c>
      <c r="J561" s="340">
        <f t="shared" si="221"/>
        <v>1.5707880663300031</v>
      </c>
      <c r="K561" s="348">
        <f t="shared" si="237"/>
        <v>34.052833516055479</v>
      </c>
      <c r="L561" s="349">
        <f t="shared" si="238"/>
        <v>1.5414259725300503</v>
      </c>
      <c r="M561" s="337">
        <f t="shared" si="222"/>
        <v>1.3530562995089537</v>
      </c>
      <c r="N561" s="340">
        <f t="shared" si="223"/>
        <v>0.7391112404300485</v>
      </c>
      <c r="O561" s="341">
        <f t="shared" si="224"/>
        <v>1.3424959105586265</v>
      </c>
      <c r="P561" s="342">
        <f t="shared" si="225"/>
        <v>1.3357944623997229</v>
      </c>
      <c r="Q561" s="343">
        <f t="shared" si="226"/>
        <v>-14.074714399129643</v>
      </c>
      <c r="R561" s="344">
        <f t="shared" si="227"/>
        <v>-195.9580651575105</v>
      </c>
      <c r="S561" s="346">
        <f t="shared" si="228"/>
        <v>-15.958065157510504</v>
      </c>
      <c r="U561" s="319">
        <f t="shared" si="234"/>
        <v>91201</v>
      </c>
      <c r="V561" s="319">
        <f t="shared" si="235"/>
        <v>8317622401</v>
      </c>
      <c r="X561" s="345">
        <f t="shared" si="229"/>
        <v>24.064061947702587</v>
      </c>
      <c r="Y561" s="346">
        <f t="shared" si="230"/>
        <v>-44.030278770037306</v>
      </c>
      <c r="AA561" s="345">
        <f t="shared" si="231"/>
        <v>25.470344942330399</v>
      </c>
      <c r="AB561" s="346">
        <f t="shared" si="232"/>
        <v>-151.92778638747319</v>
      </c>
      <c r="AD561">
        <f t="shared" si="236"/>
        <v>0</v>
      </c>
      <c r="AE561">
        <f t="shared" si="239"/>
        <v>0</v>
      </c>
    </row>
    <row r="562" spans="1:31" x14ac:dyDescent="0.25">
      <c r="A562" s="347">
        <v>91732</v>
      </c>
      <c r="B562" s="364">
        <f t="shared" si="233"/>
        <v>91.731999999999999</v>
      </c>
      <c r="C562" s="337">
        <f t="shared" si="214"/>
        <v>39.793373491632522</v>
      </c>
      <c r="D562" s="338">
        <f t="shared" si="215"/>
        <v>1.5456638689655888</v>
      </c>
      <c r="E562" s="338">
        <f t="shared" si="216"/>
        <v>1.027277749256799</v>
      </c>
      <c r="F562" s="339">
        <f t="shared" si="217"/>
        <v>0.23096226882361487</v>
      </c>
      <c r="G562" s="338">
        <f t="shared" si="218"/>
        <v>1</v>
      </c>
      <c r="H562" s="339">
        <f t="shared" si="219"/>
        <v>0</v>
      </c>
      <c r="I562" s="337">
        <f t="shared" si="220"/>
        <v>121763.40164389389</v>
      </c>
      <c r="J562" s="340">
        <f t="shared" si="221"/>
        <v>1.5707881141465432</v>
      </c>
      <c r="K562" s="348">
        <f t="shared" si="237"/>
        <v>34.250929000472716</v>
      </c>
      <c r="L562" s="349">
        <f t="shared" si="238"/>
        <v>1.5415958889015715</v>
      </c>
      <c r="M562" s="337">
        <f t="shared" si="222"/>
        <v>1.3566367984959122</v>
      </c>
      <c r="N562" s="340">
        <f t="shared" si="223"/>
        <v>0.74200228113690891</v>
      </c>
      <c r="O562" s="341">
        <f t="shared" si="224"/>
        <v>1.3480533196083091</v>
      </c>
      <c r="P562" s="342">
        <f t="shared" si="225"/>
        <v>1.3428990027946461</v>
      </c>
      <c r="Q562" s="343">
        <f t="shared" si="226"/>
        <v>-14.181359442903773</v>
      </c>
      <c r="R562" s="344">
        <f t="shared" si="227"/>
        <v>-196.45548880353093</v>
      </c>
      <c r="S562" s="346">
        <f t="shared" si="228"/>
        <v>-16.455488803530926</v>
      </c>
      <c r="U562" s="319">
        <f t="shared" si="234"/>
        <v>91732</v>
      </c>
      <c r="V562" s="319">
        <f t="shared" si="235"/>
        <v>8414759824</v>
      </c>
      <c r="X562" s="345">
        <f t="shared" si="229"/>
        <v>24.041064204878584</v>
      </c>
      <c r="Y562" s="346">
        <f t="shared" si="230"/>
        <v>-44.186190449846656</v>
      </c>
      <c r="AA562" s="345">
        <f t="shared" si="231"/>
        <v>25.386697641380266</v>
      </c>
      <c r="AB562" s="346">
        <f t="shared" si="232"/>
        <v>-152.26929835368426</v>
      </c>
      <c r="AD562">
        <f t="shared" si="236"/>
        <v>0</v>
      </c>
      <c r="AE562">
        <f t="shared" si="239"/>
        <v>0</v>
      </c>
    </row>
    <row r="563" spans="1:31" x14ac:dyDescent="0.25">
      <c r="A563" s="347">
        <v>92263</v>
      </c>
      <c r="B563" s="364">
        <f t="shared" si="233"/>
        <v>92.263000000000005</v>
      </c>
      <c r="C563" s="337">
        <f t="shared" si="214"/>
        <v>40.023576428108065</v>
      </c>
      <c r="D563" s="338">
        <f t="shared" si="215"/>
        <v>1.5458084530845988</v>
      </c>
      <c r="E563" s="338">
        <f t="shared" si="216"/>
        <v>1.0275902108794304</v>
      </c>
      <c r="F563" s="339">
        <f t="shared" si="217"/>
        <v>0.23225178511290814</v>
      </c>
      <c r="G563" s="338">
        <f t="shared" si="218"/>
        <v>1</v>
      </c>
      <c r="H563" s="339">
        <f t="shared" si="219"/>
        <v>0</v>
      </c>
      <c r="I563" s="337">
        <f t="shared" si="220"/>
        <v>122468.24146280723</v>
      </c>
      <c r="J563" s="340">
        <f t="shared" si="221"/>
        <v>1.5707881614126875</v>
      </c>
      <c r="K563" s="348">
        <f t="shared" si="237"/>
        <v>34.449025462395262</v>
      </c>
      <c r="L563" s="349">
        <f t="shared" si="238"/>
        <v>1.5417638510959373</v>
      </c>
      <c r="M563" s="337">
        <f t="shared" si="222"/>
        <v>1.3602285766615771</v>
      </c>
      <c r="N563" s="340">
        <f t="shared" si="223"/>
        <v>0.7448780777863524</v>
      </c>
      <c r="O563" s="341">
        <f t="shared" si="224"/>
        <v>1.3536680017123384</v>
      </c>
      <c r="P563" s="342">
        <f t="shared" si="225"/>
        <v>1.3499784464331923</v>
      </c>
      <c r="Q563" s="343">
        <f t="shared" si="226"/>
        <v>-14.287930994589646</v>
      </c>
      <c r="R563" s="344">
        <f t="shared" si="227"/>
        <v>-196.95066145874685</v>
      </c>
      <c r="S563" s="346">
        <f t="shared" si="228"/>
        <v>-16.95066145874685</v>
      </c>
      <c r="U563" s="319">
        <f t="shared" si="234"/>
        <v>92263</v>
      </c>
      <c r="V563" s="319">
        <f t="shared" si="235"/>
        <v>8512461169</v>
      </c>
      <c r="X563" s="345">
        <f t="shared" si="229"/>
        <v>24.018055684055199</v>
      </c>
      <c r="Y563" s="346">
        <f t="shared" si="230"/>
        <v>-44.341340644070598</v>
      </c>
      <c r="AA563" s="345">
        <f t="shared" si="231"/>
        <v>25.303134610517787</v>
      </c>
      <c r="AB563" s="346">
        <f t="shared" si="232"/>
        <v>-152.60932081467624</v>
      </c>
      <c r="AD563">
        <f t="shared" si="236"/>
        <v>0</v>
      </c>
      <c r="AE563">
        <f t="shared" si="239"/>
        <v>0</v>
      </c>
    </row>
    <row r="564" spans="1:31" x14ac:dyDescent="0.25">
      <c r="A564" s="347">
        <v>92794</v>
      </c>
      <c r="B564" s="364">
        <f t="shared" si="233"/>
        <v>92.793999999999997</v>
      </c>
      <c r="C564" s="337">
        <f t="shared" si="214"/>
        <v>40.253780191689614</v>
      </c>
      <c r="D564" s="338">
        <f t="shared" si="215"/>
        <v>1.5459513835080489</v>
      </c>
      <c r="E564" s="338">
        <f t="shared" si="216"/>
        <v>1.027904380192272</v>
      </c>
      <c r="F564" s="339">
        <f t="shared" si="217"/>
        <v>0.23354051528701239</v>
      </c>
      <c r="G564" s="338">
        <f t="shared" si="218"/>
        <v>1</v>
      </c>
      <c r="H564" s="339">
        <f t="shared" si="219"/>
        <v>0</v>
      </c>
      <c r="I564" s="337">
        <f t="shared" si="220"/>
        <v>123173.08128172085</v>
      </c>
      <c r="J564" s="340">
        <f t="shared" si="221"/>
        <v>1.5707882081378848</v>
      </c>
      <c r="K564" s="348">
        <f t="shared" si="237"/>
        <v>34.647122885056334</v>
      </c>
      <c r="L564" s="349">
        <f t="shared" si="238"/>
        <v>1.5419298926230347</v>
      </c>
      <c r="M564" s="337">
        <f t="shared" si="222"/>
        <v>1.3638315448916296</v>
      </c>
      <c r="N564" s="340">
        <f t="shared" si="223"/>
        <v>0.74773870343887605</v>
      </c>
      <c r="O564" s="341">
        <f t="shared" si="224"/>
        <v>1.3593400776852458</v>
      </c>
      <c r="P564" s="342">
        <f t="shared" si="225"/>
        <v>1.3570325611106748</v>
      </c>
      <c r="Q564" s="343">
        <f t="shared" si="226"/>
        <v>-14.394429034026645</v>
      </c>
      <c r="R564" s="344">
        <f t="shared" si="227"/>
        <v>-197.44357394373793</v>
      </c>
      <c r="S564" s="346">
        <f t="shared" si="228"/>
        <v>-17.443573943737931</v>
      </c>
      <c r="U564" s="319">
        <f t="shared" si="234"/>
        <v>92794</v>
      </c>
      <c r="V564" s="319">
        <f t="shared" si="235"/>
        <v>8610726436</v>
      </c>
      <c r="X564" s="345">
        <f t="shared" si="229"/>
        <v>23.995037186765291</v>
      </c>
      <c r="Y564" s="346">
        <f t="shared" si="230"/>
        <v>-44.495731619333505</v>
      </c>
      <c r="AA564" s="345">
        <f t="shared" si="231"/>
        <v>25.219655068370692</v>
      </c>
      <c r="AB564" s="346">
        <f t="shared" si="232"/>
        <v>-152.94784232440446</v>
      </c>
      <c r="AD564">
        <f t="shared" si="236"/>
        <v>0</v>
      </c>
      <c r="AE564">
        <f t="shared" si="239"/>
        <v>0</v>
      </c>
    </row>
    <row r="565" spans="1:31" x14ac:dyDescent="0.25">
      <c r="A565" s="347">
        <v>93325</v>
      </c>
      <c r="B565" s="364">
        <f t="shared" si="233"/>
        <v>93.325000000000003</v>
      </c>
      <c r="C565" s="337">
        <f t="shared" si="214"/>
        <v>40.483984768267661</v>
      </c>
      <c r="D565" s="338">
        <f t="shared" si="215"/>
        <v>1.5460926884403365</v>
      </c>
      <c r="E565" s="338">
        <f t="shared" si="216"/>
        <v>1.0282202556299873</v>
      </c>
      <c r="F565" s="339">
        <f t="shared" si="217"/>
        <v>0.23482845578777015</v>
      </c>
      <c r="G565" s="338">
        <f t="shared" si="218"/>
        <v>1</v>
      </c>
      <c r="H565" s="339">
        <f t="shared" si="219"/>
        <v>0</v>
      </c>
      <c r="I565" s="337">
        <f t="shared" si="220"/>
        <v>123877.92110063475</v>
      </c>
      <c r="J565" s="340">
        <f t="shared" si="221"/>
        <v>1.5707882543313687</v>
      </c>
      <c r="K565" s="348">
        <f t="shared" si="237"/>
        <v>34.845221252070338</v>
      </c>
      <c r="L565" s="349">
        <f t="shared" si="238"/>
        <v>1.542094046231153</v>
      </c>
      <c r="M565" s="337">
        <f t="shared" si="222"/>
        <v>1.3674456147347744</v>
      </c>
      <c r="N565" s="340">
        <f t="shared" si="223"/>
        <v>0.75058423137936303</v>
      </c>
      <c r="O565" s="341">
        <f t="shared" si="224"/>
        <v>1.3650696638778499</v>
      </c>
      <c r="P565" s="342">
        <f t="shared" si="225"/>
        <v>1.3640611207062692</v>
      </c>
      <c r="Q565" s="343">
        <f t="shared" si="226"/>
        <v>-14.500853468646959</v>
      </c>
      <c r="R565" s="344">
        <f t="shared" si="227"/>
        <v>-197.93421744570051</v>
      </c>
      <c r="S565" s="346">
        <f t="shared" si="228"/>
        <v>-17.934217445700511</v>
      </c>
      <c r="U565" s="319">
        <f t="shared" si="234"/>
        <v>93325</v>
      </c>
      <c r="V565" s="319">
        <f t="shared" si="235"/>
        <v>8709555625</v>
      </c>
      <c r="X565" s="345">
        <f t="shared" si="229"/>
        <v>23.972009503107049</v>
      </c>
      <c r="Y565" s="346">
        <f t="shared" si="230"/>
        <v>-44.649365698740155</v>
      </c>
      <c r="AA565" s="345">
        <f t="shared" si="231"/>
        <v>25.136258317408622</v>
      </c>
      <c r="AB565" s="346">
        <f t="shared" si="232"/>
        <v>-153.28485174696038</v>
      </c>
      <c r="AD565">
        <f t="shared" si="236"/>
        <v>0</v>
      </c>
      <c r="AE565">
        <f t="shared" si="239"/>
        <v>0</v>
      </c>
    </row>
    <row r="566" spans="1:31" x14ac:dyDescent="0.25">
      <c r="A566" s="347">
        <v>93868.5</v>
      </c>
      <c r="B566" s="364">
        <f t="shared" si="233"/>
        <v>93.868499999999997</v>
      </c>
      <c r="C566" s="337">
        <f t="shared" si="214"/>
        <v>40.719609300834136</v>
      </c>
      <c r="D566" s="338">
        <f t="shared" si="215"/>
        <v>1.5462356651890761</v>
      </c>
      <c r="E566" s="338">
        <f t="shared" si="216"/>
        <v>1.0285453321316318</v>
      </c>
      <c r="F566" s="339">
        <f t="shared" si="217"/>
        <v>0.23614589356433283</v>
      </c>
      <c r="G566" s="338">
        <f t="shared" si="218"/>
        <v>1</v>
      </c>
      <c r="H566" s="339">
        <f t="shared" si="219"/>
        <v>0</v>
      </c>
      <c r="I566" s="337">
        <f t="shared" si="220"/>
        <v>124599.35319400544</v>
      </c>
      <c r="J566" s="340">
        <f t="shared" si="221"/>
        <v>1.5707883010710515</v>
      </c>
      <c r="K566" s="348">
        <f t="shared" si="237"/>
        <v>35.047983912888533</v>
      </c>
      <c r="L566" s="349">
        <f t="shared" si="238"/>
        <v>1.5422601423926576</v>
      </c>
      <c r="M566" s="337">
        <f t="shared" si="222"/>
        <v>1.3711561666234671</v>
      </c>
      <c r="N566" s="340">
        <f t="shared" si="223"/>
        <v>0.75348118613942416</v>
      </c>
      <c r="O566" s="341">
        <f t="shared" si="224"/>
        <v>1.3709938010141351</v>
      </c>
      <c r="P566" s="342">
        <f t="shared" si="225"/>
        <v>1.3712284419223586</v>
      </c>
      <c r="Q566" s="343">
        <f t="shared" si="226"/>
        <v>-14.60970679245214</v>
      </c>
      <c r="R566" s="344">
        <f t="shared" si="227"/>
        <v>-198.43405239240215</v>
      </c>
      <c r="S566" s="346">
        <f t="shared" si="228"/>
        <v>-18.434052392402151</v>
      </c>
      <c r="U566" s="319">
        <f t="shared" si="234"/>
        <v>93868.5</v>
      </c>
      <c r="V566" s="319">
        <f t="shared" si="235"/>
        <v>8811295292.25</v>
      </c>
      <c r="X566" s="345">
        <f t="shared" si="229"/>
        <v>23.94843103593346</v>
      </c>
      <c r="Y566" s="346">
        <f t="shared" si="230"/>
        <v>-44.805835049049797</v>
      </c>
      <c r="AA566" s="345">
        <f t="shared" si="231"/>
        <v>25.050983460777026</v>
      </c>
      <c r="AB566" s="346">
        <f t="shared" si="232"/>
        <v>-153.62821734335236</v>
      </c>
      <c r="AD566">
        <f t="shared" si="236"/>
        <v>0</v>
      </c>
      <c r="AE566">
        <f t="shared" si="239"/>
        <v>0</v>
      </c>
    </row>
    <row r="567" spans="1:31" x14ac:dyDescent="0.25">
      <c r="A567" s="347">
        <v>94412</v>
      </c>
      <c r="B567" s="364">
        <f t="shared" si="233"/>
        <v>94.412000000000006</v>
      </c>
      <c r="C567" s="337">
        <f t="shared" si="214"/>
        <v>40.955234656227127</v>
      </c>
      <c r="D567" s="338">
        <f t="shared" si="215"/>
        <v>1.54637699678115</v>
      </c>
      <c r="E567" s="338">
        <f t="shared" si="216"/>
        <v>1.0288721926901758</v>
      </c>
      <c r="F567" s="339">
        <f t="shared" si="217"/>
        <v>0.23746249655595961</v>
      </c>
      <c r="G567" s="338">
        <f t="shared" si="218"/>
        <v>1</v>
      </c>
      <c r="H567" s="339">
        <f t="shared" si="219"/>
        <v>0</v>
      </c>
      <c r="I567" s="337">
        <f t="shared" si="220"/>
        <v>125320.78528737639</v>
      </c>
      <c r="J567" s="340">
        <f t="shared" si="221"/>
        <v>1.5707883472726034</v>
      </c>
      <c r="K567" s="348">
        <f t="shared" si="237"/>
        <v>35.250747529484968</v>
      </c>
      <c r="L567" s="349">
        <f t="shared" si="238"/>
        <v>1.5424243277759973</v>
      </c>
      <c r="M567" s="337">
        <f t="shared" si="222"/>
        <v>1.3748781635623062</v>
      </c>
      <c r="N567" s="340">
        <f t="shared" si="223"/>
        <v>0.75636248000819872</v>
      </c>
      <c r="O567" s="341">
        <f t="shared" si="224"/>
        <v>1.3769784203985362</v>
      </c>
      <c r="P567" s="342">
        <f t="shared" si="225"/>
        <v>1.3783685310397538</v>
      </c>
      <c r="Q567" s="343">
        <f t="shared" si="226"/>
        <v>-14.718482587933124</v>
      </c>
      <c r="R567" s="344">
        <f t="shared" si="227"/>
        <v>-198.93149276961631</v>
      </c>
      <c r="S567" s="346">
        <f t="shared" si="228"/>
        <v>-18.931492769616312</v>
      </c>
      <c r="U567" s="319">
        <f t="shared" si="234"/>
        <v>94412</v>
      </c>
      <c r="V567" s="319">
        <f t="shared" si="235"/>
        <v>8913625744</v>
      </c>
      <c r="X567" s="345">
        <f t="shared" si="229"/>
        <v>23.924844583438556</v>
      </c>
      <c r="Y567" s="346">
        <f t="shared" si="230"/>
        <v>-44.961516545076222</v>
      </c>
      <c r="AA567" s="345">
        <f t="shared" si="231"/>
        <v>24.965794117790949</v>
      </c>
      <c r="AB567" s="346">
        <f t="shared" si="232"/>
        <v>-153.96997622454009</v>
      </c>
      <c r="AD567">
        <f t="shared" si="236"/>
        <v>0</v>
      </c>
      <c r="AE567">
        <f t="shared" si="239"/>
        <v>0</v>
      </c>
    </row>
    <row r="568" spans="1:31" x14ac:dyDescent="0.25">
      <c r="A568" s="347">
        <v>94955.5</v>
      </c>
      <c r="B568" s="364">
        <f t="shared" si="233"/>
        <v>94.955500000000001</v>
      </c>
      <c r="C568" s="337">
        <f t="shared" si="214"/>
        <v>41.190860820326094</v>
      </c>
      <c r="D568" s="338">
        <f t="shared" si="215"/>
        <v>1.5465167114434824</v>
      </c>
      <c r="E568" s="338">
        <f t="shared" si="216"/>
        <v>1.0292008356058409</v>
      </c>
      <c r="F568" s="339">
        <f t="shared" si="217"/>
        <v>0.23877826099566968</v>
      </c>
      <c r="G568" s="338">
        <f t="shared" si="218"/>
        <v>1</v>
      </c>
      <c r="H568" s="339">
        <f t="shared" si="219"/>
        <v>0</v>
      </c>
      <c r="I568" s="337">
        <f t="shared" si="220"/>
        <v>126042.21738074764</v>
      </c>
      <c r="J568" s="340">
        <f t="shared" si="221"/>
        <v>1.5707883929452644</v>
      </c>
      <c r="K568" s="348">
        <f t="shared" si="237"/>
        <v>35.453512085460929</v>
      </c>
      <c r="L568" s="349">
        <f t="shared" si="238"/>
        <v>1.5425866351564217</v>
      </c>
      <c r="M568" s="337">
        <f t="shared" si="222"/>
        <v>1.3786115128527183</v>
      </c>
      <c r="N568" s="340">
        <f t="shared" si="223"/>
        <v>0.75922819218325988</v>
      </c>
      <c r="O568" s="341">
        <f t="shared" si="224"/>
        <v>1.3830236325589347</v>
      </c>
      <c r="P568" s="342">
        <f t="shared" si="225"/>
        <v>1.3854811655918098</v>
      </c>
      <c r="Q568" s="343">
        <f t="shared" si="226"/>
        <v>-14.827180537216162</v>
      </c>
      <c r="R568" s="344">
        <f t="shared" si="227"/>
        <v>-199.42653032439151</v>
      </c>
      <c r="S568" s="346">
        <f t="shared" si="228"/>
        <v>-19.426530324391507</v>
      </c>
      <c r="U568" s="319">
        <f t="shared" si="234"/>
        <v>94955.5</v>
      </c>
      <c r="V568" s="319">
        <f t="shared" si="235"/>
        <v>9016546980.25</v>
      </c>
      <c r="X568" s="345">
        <f t="shared" si="229"/>
        <v>23.901250956209058</v>
      </c>
      <c r="Y568" s="346">
        <f t="shared" si="230"/>
        <v>-45.116412847152056</v>
      </c>
      <c r="AA568" s="345">
        <f t="shared" si="231"/>
        <v>24.88068979573741</v>
      </c>
      <c r="AB568" s="346">
        <f t="shared" si="232"/>
        <v>-154.31011747723946</v>
      </c>
      <c r="AD568">
        <f t="shared" si="236"/>
        <v>0</v>
      </c>
      <c r="AE568">
        <f t="shared" si="239"/>
        <v>0</v>
      </c>
    </row>
    <row r="569" spans="1:31" x14ac:dyDescent="0.25">
      <c r="A569" s="347">
        <v>95499</v>
      </c>
      <c r="B569" s="364">
        <f t="shared" si="233"/>
        <v>95.498999999999995</v>
      </c>
      <c r="C569" s="337">
        <f t="shared" si="214"/>
        <v>41.426487779331744</v>
      </c>
      <c r="D569" s="338">
        <f t="shared" si="215"/>
        <v>1.5466548367610518</v>
      </c>
      <c r="E569" s="338">
        <f t="shared" si="216"/>
        <v>1.0295312591717558</v>
      </c>
      <c r="F569" s="339">
        <f t="shared" si="217"/>
        <v>0.24009318313289296</v>
      </c>
      <c r="G569" s="338">
        <f t="shared" si="218"/>
        <v>1</v>
      </c>
      <c r="H569" s="339">
        <f t="shared" si="219"/>
        <v>0</v>
      </c>
      <c r="I569" s="337">
        <f t="shared" si="220"/>
        <v>126763.64947411913</v>
      </c>
      <c r="J569" s="340">
        <f t="shared" si="221"/>
        <v>1.5707884380980648</v>
      </c>
      <c r="K569" s="348">
        <f t="shared" si="237"/>
        <v>35.656277564790685</v>
      </c>
      <c r="L569" s="349">
        <f t="shared" si="238"/>
        <v>1.5427470965640531</v>
      </c>
      <c r="M569" s="337">
        <f t="shared" si="222"/>
        <v>1.3823561225163232</v>
      </c>
      <c r="N569" s="340">
        <f t="shared" si="223"/>
        <v>0.76207840203163579</v>
      </c>
      <c r="O569" s="341">
        <f t="shared" si="224"/>
        <v>1.3891295433281563</v>
      </c>
      <c r="P569" s="342">
        <f t="shared" si="225"/>
        <v>1.3925661299062224</v>
      </c>
      <c r="Q569" s="343">
        <f t="shared" si="226"/>
        <v>-14.935800254324104</v>
      </c>
      <c r="R569" s="344">
        <f t="shared" si="227"/>
        <v>-199.91915720773193</v>
      </c>
      <c r="S569" s="346">
        <f t="shared" si="228"/>
        <v>-19.919157207731928</v>
      </c>
      <c r="U569" s="319">
        <f t="shared" si="234"/>
        <v>95499</v>
      </c>
      <c r="V569" s="319">
        <f t="shared" si="235"/>
        <v>9120059001</v>
      </c>
      <c r="X569" s="345">
        <f t="shared" si="229"/>
        <v>23.877650952681279</v>
      </c>
      <c r="Y569" s="346">
        <f t="shared" si="230"/>
        <v>-45.270526667999597</v>
      </c>
      <c r="AA569" s="345">
        <f t="shared" si="231"/>
        <v>24.795670082157244</v>
      </c>
      <c r="AB569" s="346">
        <f t="shared" si="232"/>
        <v>-154.64863053973232</v>
      </c>
      <c r="AD569">
        <f t="shared" si="236"/>
        <v>0</v>
      </c>
      <c r="AE569">
        <f t="shared" si="239"/>
        <v>0</v>
      </c>
    </row>
    <row r="570" spans="1:31" x14ac:dyDescent="0.25">
      <c r="A570" s="347">
        <v>96611.5</v>
      </c>
      <c r="B570" s="364">
        <f t="shared" si="233"/>
        <v>96.611500000000007</v>
      </c>
      <c r="C570" s="337">
        <f t="shared" si="214"/>
        <v>41.908799294484709</v>
      </c>
      <c r="D570" s="338">
        <f t="shared" si="215"/>
        <v>1.5469327245189728</v>
      </c>
      <c r="E570" s="338">
        <f t="shared" si="216"/>
        <v>1.0302131547121769</v>
      </c>
      <c r="F570" s="339">
        <f t="shared" si="217"/>
        <v>0.24278207876369279</v>
      </c>
      <c r="G570" s="338">
        <f t="shared" si="218"/>
        <v>1</v>
      </c>
      <c r="H570" s="339">
        <f t="shared" si="219"/>
        <v>0</v>
      </c>
      <c r="I570" s="337">
        <f t="shared" si="220"/>
        <v>128240.3619007543</v>
      </c>
      <c r="J570" s="340">
        <f t="shared" si="221"/>
        <v>1.5707885289379255</v>
      </c>
      <c r="K570" s="348">
        <f t="shared" si="237"/>
        <v>36.071324713085765</v>
      </c>
      <c r="L570" s="349">
        <f t="shared" si="238"/>
        <v>1.5430699223716864</v>
      </c>
      <c r="M570" s="337">
        <f t="shared" si="222"/>
        <v>1.3900557630928465</v>
      </c>
      <c r="N570" s="340">
        <f t="shared" si="223"/>
        <v>0.76786454048268538</v>
      </c>
      <c r="O570" s="341">
        <f t="shared" si="224"/>
        <v>1.4018175456768187</v>
      </c>
      <c r="P570" s="342">
        <f t="shared" si="225"/>
        <v>1.4069813139103988</v>
      </c>
      <c r="Q570" s="343">
        <f t="shared" si="226"/>
        <v>-15.157889995415605</v>
      </c>
      <c r="R570" s="344">
        <f t="shared" si="227"/>
        <v>-200.91997579909943</v>
      </c>
      <c r="S570" s="346">
        <f t="shared" si="228"/>
        <v>-20.919975799099433</v>
      </c>
      <c r="U570" s="319">
        <f t="shared" si="234"/>
        <v>96611.5</v>
      </c>
      <c r="V570" s="319">
        <f t="shared" si="235"/>
        <v>9333781932.25</v>
      </c>
      <c r="X570" s="345">
        <f t="shared" si="229"/>
        <v>23.829327088838113</v>
      </c>
      <c r="Y570" s="346">
        <f t="shared" si="230"/>
        <v>-45.583556629726132</v>
      </c>
      <c r="AA570" s="345">
        <f t="shared" si="231"/>
        <v>24.621904204908908</v>
      </c>
      <c r="AB570" s="346">
        <f t="shared" si="232"/>
        <v>-155.33641916937327</v>
      </c>
      <c r="AD570">
        <f t="shared" si="236"/>
        <v>0</v>
      </c>
      <c r="AE570">
        <f t="shared" si="239"/>
        <v>0</v>
      </c>
    </row>
    <row r="571" spans="1:31" x14ac:dyDescent="0.25">
      <c r="A571" s="347">
        <v>97724</v>
      </c>
      <c r="B571" s="364">
        <f t="shared" si="233"/>
        <v>97.724000000000004</v>
      </c>
      <c r="C571" s="337">
        <f t="shared" si="214"/>
        <v>42.391113972260115</v>
      </c>
      <c r="D571" s="338">
        <f t="shared" si="215"/>
        <v>1.5472042888333337</v>
      </c>
      <c r="E571" s="338">
        <f t="shared" si="216"/>
        <v>1.0309024889730203</v>
      </c>
      <c r="F571" s="339">
        <f t="shared" si="217"/>
        <v>0.24546739781695082</v>
      </c>
      <c r="G571" s="338">
        <f t="shared" si="218"/>
        <v>1</v>
      </c>
      <c r="H571" s="339">
        <f t="shared" si="219"/>
        <v>0</v>
      </c>
      <c r="I571" s="337">
        <f t="shared" si="220"/>
        <v>129717.0743273905</v>
      </c>
      <c r="J571" s="340">
        <f t="shared" si="221"/>
        <v>1.570788617709526</v>
      </c>
      <c r="K571" s="348">
        <f t="shared" si="237"/>
        <v>36.486375535082473</v>
      </c>
      <c r="L571" s="349">
        <f t="shared" si="238"/>
        <v>1.5433854036006178</v>
      </c>
      <c r="M571" s="337">
        <f t="shared" si="222"/>
        <v>1.3978014282949285</v>
      </c>
      <c r="N571" s="340">
        <f t="shared" si="223"/>
        <v>0.77358674305791997</v>
      </c>
      <c r="O571" s="341">
        <f t="shared" si="224"/>
        <v>1.4147610948231151</v>
      </c>
      <c r="P571" s="342">
        <f t="shared" si="225"/>
        <v>1.4212779934761379</v>
      </c>
      <c r="Q571" s="343">
        <f t="shared" si="226"/>
        <v>-15.379645321726212</v>
      </c>
      <c r="R571" s="344">
        <f t="shared" si="227"/>
        <v>-201.91060464146511</v>
      </c>
      <c r="S571" s="346">
        <f t="shared" si="228"/>
        <v>-21.910604641465113</v>
      </c>
      <c r="U571" s="319">
        <f t="shared" si="234"/>
        <v>97724</v>
      </c>
      <c r="V571" s="319">
        <f t="shared" si="235"/>
        <v>9549980176</v>
      </c>
      <c r="X571" s="345">
        <f t="shared" si="229"/>
        <v>23.780986379761202</v>
      </c>
      <c r="Y571" s="346">
        <f t="shared" si="230"/>
        <v>-45.893344030464633</v>
      </c>
      <c r="AA571" s="345">
        <f t="shared" si="231"/>
        <v>24.448489587675212</v>
      </c>
      <c r="AB571" s="346">
        <f t="shared" si="232"/>
        <v>-156.01726061100052</v>
      </c>
      <c r="AD571">
        <f t="shared" si="236"/>
        <v>0</v>
      </c>
      <c r="AE571">
        <f t="shared" si="239"/>
        <v>0</v>
      </c>
    </row>
    <row r="572" spans="1:31" x14ac:dyDescent="0.25">
      <c r="A572" s="347">
        <v>98862</v>
      </c>
      <c r="B572" s="364">
        <f t="shared" si="233"/>
        <v>98.861999999999995</v>
      </c>
      <c r="C572" s="337">
        <f t="shared" si="214"/>
        <v>42.884487113703734</v>
      </c>
      <c r="D572" s="338">
        <f t="shared" si="215"/>
        <v>1.5474757576438483</v>
      </c>
      <c r="E572" s="338">
        <f t="shared" si="216"/>
        <v>1.0316153045900343</v>
      </c>
      <c r="F572" s="339">
        <f t="shared" si="217"/>
        <v>0.24821053465873258</v>
      </c>
      <c r="G572" s="338">
        <f t="shared" si="218"/>
        <v>1</v>
      </c>
      <c r="H572" s="339">
        <f t="shared" si="219"/>
        <v>0</v>
      </c>
      <c r="I572" s="337">
        <f t="shared" si="220"/>
        <v>131227.63499391914</v>
      </c>
      <c r="J572" s="340">
        <f t="shared" si="221"/>
        <v>1.5707887064487702</v>
      </c>
      <c r="K572" s="348">
        <f t="shared" si="237"/>
        <v>36.910943553312741</v>
      </c>
      <c r="L572" s="349">
        <f t="shared" si="238"/>
        <v>1.5437007752947816</v>
      </c>
      <c r="M572" s="337">
        <f t="shared" si="222"/>
        <v>1.4057714605513509</v>
      </c>
      <c r="N572" s="340">
        <f t="shared" si="223"/>
        <v>0.77937466980641268</v>
      </c>
      <c r="O572" s="341">
        <f t="shared" si="224"/>
        <v>1.4282664884248917</v>
      </c>
      <c r="P572" s="342">
        <f t="shared" si="225"/>
        <v>1.4357781132624414</v>
      </c>
      <c r="Q572" s="343">
        <f t="shared" si="226"/>
        <v>-15.606131654857849</v>
      </c>
      <c r="R572" s="344">
        <f t="shared" si="227"/>
        <v>-202.91334355440142</v>
      </c>
      <c r="S572" s="346">
        <f t="shared" si="228"/>
        <v>-22.913343554401422</v>
      </c>
      <c r="U572" s="319">
        <f t="shared" si="234"/>
        <v>98862</v>
      </c>
      <c r="V572" s="319">
        <f t="shared" si="235"/>
        <v>9773695044</v>
      </c>
      <c r="X572" s="345">
        <f t="shared" si="229"/>
        <v>23.731526861358798</v>
      </c>
      <c r="Y572" s="346">
        <f t="shared" si="230"/>
        <v>-46.20690342297312</v>
      </c>
      <c r="AA572" s="345">
        <f t="shared" si="231"/>
        <v>24.271462772945984</v>
      </c>
      <c r="AB572" s="346">
        <f t="shared" si="232"/>
        <v>-156.70644013142831</v>
      </c>
      <c r="AD572">
        <f t="shared" si="236"/>
        <v>0</v>
      </c>
      <c r="AE572">
        <f t="shared" si="239"/>
        <v>0</v>
      </c>
    </row>
    <row r="573" spans="1:31" x14ac:dyDescent="0.25">
      <c r="A573" s="347">
        <v>100000</v>
      </c>
      <c r="B573" s="364">
        <f t="shared" si="233"/>
        <v>100</v>
      </c>
      <c r="C573" s="337">
        <f t="shared" si="214"/>
        <v>43.377863343641536</v>
      </c>
      <c r="D573" s="338">
        <f t="shared" si="215"/>
        <v>1.5477410511459491</v>
      </c>
      <c r="E573" s="338">
        <f t="shared" si="216"/>
        <v>1.0323358721514677</v>
      </c>
      <c r="F573" s="339">
        <f t="shared" si="217"/>
        <v>0.25094986268581249</v>
      </c>
      <c r="G573" s="338">
        <f t="shared" si="218"/>
        <v>1</v>
      </c>
      <c r="H573" s="339">
        <f t="shared" si="219"/>
        <v>0</v>
      </c>
      <c r="I573" s="337">
        <f t="shared" si="220"/>
        <v>132738.19566044887</v>
      </c>
      <c r="J573" s="340">
        <f t="shared" si="221"/>
        <v>1.5707887931683091</v>
      </c>
      <c r="K573" s="348">
        <f t="shared" si="237"/>
        <v>37.33551515918554</v>
      </c>
      <c r="L573" s="349">
        <f t="shared" si="238"/>
        <v>1.5440089743382059</v>
      </c>
      <c r="M573" s="337">
        <f t="shared" si="222"/>
        <v>1.4137880544067012</v>
      </c>
      <c r="N573" s="340">
        <f t="shared" si="223"/>
        <v>0.78509714796350993</v>
      </c>
      <c r="O573" s="341">
        <f t="shared" si="224"/>
        <v>1.4420407408235629</v>
      </c>
      <c r="P573" s="342">
        <f t="shared" si="225"/>
        <v>1.4501510142517173</v>
      </c>
      <c r="Q573" s="343">
        <f t="shared" si="226"/>
        <v>-15.83225505832846</v>
      </c>
      <c r="R573" s="344">
        <f t="shared" si="227"/>
        <v>-203.90531869591177</v>
      </c>
      <c r="S573" s="346">
        <f t="shared" si="228"/>
        <v>-23.905318695911774</v>
      </c>
      <c r="U573" s="319">
        <f t="shared" si="234"/>
        <v>100000</v>
      </c>
      <c r="V573" s="319">
        <f t="shared" si="235"/>
        <v>10000000000</v>
      </c>
      <c r="X573" s="345">
        <f t="shared" si="229"/>
        <v>23.682063009134652</v>
      </c>
      <c r="Y573" s="346">
        <f t="shared" si="230"/>
        <v>-46.517123734310466</v>
      </c>
      <c r="AA573" s="345">
        <f t="shared" si="231"/>
        <v>24.094803221699518</v>
      </c>
      <c r="AB573" s="346">
        <f t="shared" si="232"/>
        <v>-157.38819496160127</v>
      </c>
      <c r="AD573">
        <f t="shared" si="236"/>
        <v>0</v>
      </c>
      <c r="AE573">
        <f t="shared" si="239"/>
        <v>0</v>
      </c>
    </row>
    <row r="574" spans="1:31" x14ac:dyDescent="0.25">
      <c r="A574" s="347">
        <v>101165</v>
      </c>
      <c r="B574" s="364">
        <f t="shared" si="233"/>
        <v>101.16500000000001</v>
      </c>
      <c r="C574" s="337">
        <f t="shared" si="214"/>
        <v>43.882948427021198</v>
      </c>
      <c r="D574" s="338">
        <f t="shared" si="215"/>
        <v>1.5480064595662457</v>
      </c>
      <c r="E574" s="338">
        <f t="shared" si="216"/>
        <v>1.0330815488515177</v>
      </c>
      <c r="F574" s="339">
        <f t="shared" si="217"/>
        <v>0.25375020356500572</v>
      </c>
      <c r="G574" s="338">
        <f t="shared" si="218"/>
        <v>1</v>
      </c>
      <c r="H574" s="339">
        <f t="shared" si="219"/>
        <v>0</v>
      </c>
      <c r="I574" s="337">
        <f t="shared" si="220"/>
        <v>134284.5956398058</v>
      </c>
      <c r="J574" s="340">
        <f t="shared" si="221"/>
        <v>1.570788879924351</v>
      </c>
      <c r="K574" s="348">
        <f t="shared" si="237"/>
        <v>37.770163670854963</v>
      </c>
      <c r="L574" s="349">
        <f t="shared" si="238"/>
        <v>1.5443173082055366</v>
      </c>
      <c r="M574" s="337">
        <f t="shared" si="222"/>
        <v>1.4220422582349639</v>
      </c>
      <c r="N574" s="340">
        <f t="shared" si="223"/>
        <v>0.79088836823841979</v>
      </c>
      <c r="O574" s="341">
        <f t="shared" si="224"/>
        <v>1.4564209468502705</v>
      </c>
      <c r="P574" s="342">
        <f t="shared" si="225"/>
        <v>1.4647316455867592</v>
      </c>
      <c r="Q574" s="343">
        <f t="shared" si="226"/>
        <v>-16.063359155206292</v>
      </c>
      <c r="R574" s="344">
        <f t="shared" si="227"/>
        <v>-204.90963762540696</v>
      </c>
      <c r="S574" s="346">
        <f t="shared" si="228"/>
        <v>-24.909637625406958</v>
      </c>
      <c r="U574" s="319">
        <f t="shared" si="234"/>
        <v>101165</v>
      </c>
      <c r="V574" s="319">
        <f t="shared" si="235"/>
        <v>10234357225</v>
      </c>
      <c r="X574" s="345">
        <f t="shared" si="229"/>
        <v>23.63142777451425</v>
      </c>
      <c r="Y574" s="346">
        <f t="shared" si="230"/>
        <v>-46.831274956128418</v>
      </c>
      <c r="AA574" s="345">
        <f t="shared" si="231"/>
        <v>23.914334359442083</v>
      </c>
      <c r="AB574" s="346">
        <f t="shared" si="232"/>
        <v>-158.07836266927853</v>
      </c>
      <c r="AD574">
        <f t="shared" si="236"/>
        <v>0</v>
      </c>
      <c r="AE574">
        <f t="shared" si="239"/>
        <v>0</v>
      </c>
    </row>
    <row r="575" spans="1:31" x14ac:dyDescent="0.25">
      <c r="A575" s="347">
        <v>102330</v>
      </c>
      <c r="B575" s="364">
        <f t="shared" si="233"/>
        <v>102.33</v>
      </c>
      <c r="C575" s="337">
        <f t="shared" si="214"/>
        <v>44.388036531238804</v>
      </c>
      <c r="D575" s="338">
        <f t="shared" si="215"/>
        <v>1.5482658278798611</v>
      </c>
      <c r="E575" s="338">
        <f t="shared" si="216"/>
        <v>1.0338353151595452</v>
      </c>
      <c r="F575" s="339">
        <f t="shared" si="217"/>
        <v>0.25654648290514909</v>
      </c>
      <c r="G575" s="338">
        <f t="shared" si="218"/>
        <v>1</v>
      </c>
      <c r="H575" s="339">
        <f t="shared" si="219"/>
        <v>0</v>
      </c>
      <c r="I575" s="337">
        <f t="shared" si="220"/>
        <v>135830.99561916379</v>
      </c>
      <c r="J575" s="340">
        <f t="shared" si="221"/>
        <v>1.5707889647050035</v>
      </c>
      <c r="K575" s="348">
        <f t="shared" si="237"/>
        <v>38.204815691621455</v>
      </c>
      <c r="L575" s="349">
        <f t="shared" si="238"/>
        <v>1.544618626339421</v>
      </c>
      <c r="M575" s="337">
        <f t="shared" si="222"/>
        <v>1.4303436034705213</v>
      </c>
      <c r="N575" s="340">
        <f t="shared" si="223"/>
        <v>0.79661255714793566</v>
      </c>
      <c r="O575" s="341">
        <f t="shared" si="224"/>
        <v>1.4710841473515641</v>
      </c>
      <c r="P575" s="342">
        <f t="shared" si="225"/>
        <v>1.4791760486438617</v>
      </c>
      <c r="Q575" s="343">
        <f t="shared" si="226"/>
        <v>-16.294065113773712</v>
      </c>
      <c r="R575" s="344">
        <f t="shared" si="227"/>
        <v>-205.90259913034126</v>
      </c>
      <c r="S575" s="346">
        <f t="shared" si="228"/>
        <v>-25.902599130341258</v>
      </c>
      <c r="U575" s="319">
        <f t="shared" si="234"/>
        <v>102330</v>
      </c>
      <c r="V575" s="319">
        <f t="shared" si="235"/>
        <v>10471428900</v>
      </c>
      <c r="X575" s="345">
        <f t="shared" si="229"/>
        <v>23.580801335435105</v>
      </c>
      <c r="Y575" s="346">
        <f t="shared" si="230"/>
        <v>-47.141987422345558</v>
      </c>
      <c r="AA575" s="345">
        <f t="shared" si="231"/>
        <v>23.734254839953806</v>
      </c>
      <c r="AB575" s="346">
        <f t="shared" si="232"/>
        <v>-158.76061170799568</v>
      </c>
      <c r="AD575">
        <f t="shared" si="236"/>
        <v>0</v>
      </c>
      <c r="AE575">
        <f t="shared" si="239"/>
        <v>0</v>
      </c>
    </row>
    <row r="576" spans="1:31" x14ac:dyDescent="0.25">
      <c r="A576" s="347">
        <v>103520</v>
      </c>
      <c r="B576" s="364">
        <f t="shared" si="233"/>
        <v>103.52</v>
      </c>
      <c r="C576" s="337">
        <f t="shared" si="214"/>
        <v>44.903966448752534</v>
      </c>
      <c r="D576" s="338">
        <f t="shared" si="215"/>
        <v>1.5485247380136058</v>
      </c>
      <c r="E576" s="338">
        <f t="shared" si="216"/>
        <v>1.0346135901900915</v>
      </c>
      <c r="F576" s="339">
        <f t="shared" si="217"/>
        <v>0.25939853884208319</v>
      </c>
      <c r="G576" s="338">
        <f t="shared" si="218"/>
        <v>1</v>
      </c>
      <c r="H576" s="339">
        <f t="shared" si="219"/>
        <v>0</v>
      </c>
      <c r="I576" s="337">
        <f t="shared" si="220"/>
        <v>137410.58014743598</v>
      </c>
      <c r="J576" s="340">
        <f t="shared" si="221"/>
        <v>1.5707890493349008</v>
      </c>
      <c r="K576" s="348">
        <f t="shared" si="237"/>
        <v>38.648798508725257</v>
      </c>
      <c r="L576" s="349">
        <f t="shared" si="238"/>
        <v>1.5449194134172557</v>
      </c>
      <c r="M576" s="337">
        <f t="shared" si="222"/>
        <v>1.4388709104224984</v>
      </c>
      <c r="N576" s="340">
        <f t="shared" si="223"/>
        <v>0.80239119807359982</v>
      </c>
      <c r="O576" s="341">
        <f t="shared" si="224"/>
        <v>1.4863546930593097</v>
      </c>
      <c r="P576" s="342">
        <f t="shared" si="225"/>
        <v>1.4937884649020137</v>
      </c>
      <c r="Q576" s="343">
        <f t="shared" si="226"/>
        <v>-16.529300170543554</v>
      </c>
      <c r="R576" s="344">
        <f t="shared" si="227"/>
        <v>-206.90511535658851</v>
      </c>
      <c r="S576" s="346">
        <f t="shared" si="228"/>
        <v>-26.90511535658851</v>
      </c>
      <c r="U576" s="319">
        <f t="shared" si="234"/>
        <v>103520</v>
      </c>
      <c r="V576" s="319">
        <f t="shared" si="235"/>
        <v>10716390400</v>
      </c>
      <c r="X576" s="345">
        <f t="shared" si="229"/>
        <v>23.529104232455605</v>
      </c>
      <c r="Y576" s="346">
        <f t="shared" si="230"/>
        <v>-47.45585017791025</v>
      </c>
      <c r="AA576" s="345">
        <f t="shared" si="231"/>
        <v>23.550716886163467</v>
      </c>
      <c r="AB576" s="346">
        <f t="shared" si="232"/>
        <v>-159.44926517867825</v>
      </c>
      <c r="AD576">
        <f t="shared" si="236"/>
        <v>0</v>
      </c>
      <c r="AE576">
        <f t="shared" si="239"/>
        <v>0</v>
      </c>
    </row>
    <row r="577" spans="1:31" x14ac:dyDescent="0.25">
      <c r="A577" s="347">
        <v>104710</v>
      </c>
      <c r="B577" s="364">
        <f t="shared" si="233"/>
        <v>104.71</v>
      </c>
      <c r="C577" s="337">
        <f t="shared" si="214"/>
        <v>45.419899307994726</v>
      </c>
      <c r="D577" s="338">
        <f t="shared" si="215"/>
        <v>1.5487777661498261</v>
      </c>
      <c r="E577" s="338">
        <f t="shared" si="216"/>
        <v>1.0354002683067651</v>
      </c>
      <c r="F577" s="339">
        <f t="shared" si="217"/>
        <v>0.26224628403453926</v>
      </c>
      <c r="G577" s="338">
        <f t="shared" si="218"/>
        <v>1</v>
      </c>
      <c r="H577" s="339">
        <f t="shared" si="219"/>
        <v>0</v>
      </c>
      <c r="I577" s="337">
        <f t="shared" si="220"/>
        <v>138990.16467570912</v>
      </c>
      <c r="J577" s="340">
        <f t="shared" si="221"/>
        <v>1.5707891320412077</v>
      </c>
      <c r="K577" s="348">
        <f t="shared" si="237"/>
        <v>39.092784743072059</v>
      </c>
      <c r="L577" s="349">
        <f t="shared" si="238"/>
        <v>1.5452133682976468</v>
      </c>
      <c r="M577" s="337">
        <f t="shared" si="222"/>
        <v>1.4474456980909292</v>
      </c>
      <c r="N577" s="340">
        <f t="shared" si="223"/>
        <v>0.80810156151939383</v>
      </c>
      <c r="O577" s="341">
        <f t="shared" si="224"/>
        <v>1.5019214694925491</v>
      </c>
      <c r="P577" s="342">
        <f t="shared" si="225"/>
        <v>1.5082562382529929</v>
      </c>
      <c r="Q577" s="343">
        <f t="shared" si="226"/>
        <v>-16.764097519901537</v>
      </c>
      <c r="R577" s="344">
        <f t="shared" si="227"/>
        <v>-207.89573346296888</v>
      </c>
      <c r="S577" s="346">
        <f t="shared" si="228"/>
        <v>-27.895733462968877</v>
      </c>
      <c r="U577" s="319">
        <f t="shared" si="234"/>
        <v>104710</v>
      </c>
      <c r="V577" s="319">
        <f t="shared" si="235"/>
        <v>10964184100</v>
      </c>
      <c r="X577" s="345">
        <f t="shared" si="229"/>
        <v>23.477429577111003</v>
      </c>
      <c r="Y577" s="346">
        <f t="shared" si="230"/>
        <v>-47.7661922679033</v>
      </c>
      <c r="AA577" s="345">
        <f t="shared" si="231"/>
        <v>23.367594192150094</v>
      </c>
      <c r="AB577" s="346">
        <f t="shared" si="232"/>
        <v>-160.12954119506563</v>
      </c>
      <c r="AD577">
        <f t="shared" si="236"/>
        <v>0</v>
      </c>
      <c r="AE577">
        <f t="shared" si="239"/>
        <v>0</v>
      </c>
    </row>
    <row r="578" spans="1:31" x14ac:dyDescent="0.25">
      <c r="A578" s="347">
        <v>105930</v>
      </c>
      <c r="B578" s="364">
        <f t="shared" si="233"/>
        <v>105.93</v>
      </c>
      <c r="C578" s="337">
        <f t="shared" si="214"/>
        <v>45.948841828143152</v>
      </c>
      <c r="D578" s="338">
        <f t="shared" si="215"/>
        <v>1.549031274238774</v>
      </c>
      <c r="E578" s="338">
        <f t="shared" si="216"/>
        <v>1.0362154821284633</v>
      </c>
      <c r="F578" s="339">
        <f t="shared" si="217"/>
        <v>0.26516130798048287</v>
      </c>
      <c r="G578" s="338">
        <f t="shared" si="218"/>
        <v>1</v>
      </c>
      <c r="H578" s="339">
        <f t="shared" si="219"/>
        <v>0</v>
      </c>
      <c r="I578" s="337">
        <f t="shared" si="220"/>
        <v>140609.57066267921</v>
      </c>
      <c r="J578" s="340">
        <f t="shared" si="221"/>
        <v>1.5707892149034706</v>
      </c>
      <c r="K578" s="348">
        <f t="shared" si="237"/>
        <v>39.547967334764806</v>
      </c>
      <c r="L578" s="349">
        <f t="shared" si="238"/>
        <v>1.5455078819115537</v>
      </c>
      <c r="M578" s="337">
        <f t="shared" si="222"/>
        <v>1.4562850701239334</v>
      </c>
      <c r="N578" s="340">
        <f t="shared" si="223"/>
        <v>0.81388587893292974</v>
      </c>
      <c r="O578" s="341">
        <f t="shared" si="224"/>
        <v>1.5181885886735074</v>
      </c>
      <c r="P578" s="342">
        <f t="shared" si="225"/>
        <v>1.5229374939407772</v>
      </c>
      <c r="Q578" s="343">
        <f t="shared" si="226"/>
        <v>-17.004346862737528</v>
      </c>
      <c r="R578" s="344">
        <f t="shared" si="227"/>
        <v>-208.8989611629963</v>
      </c>
      <c r="S578" s="346">
        <f t="shared" si="228"/>
        <v>-28.898961162996301</v>
      </c>
      <c r="U578" s="319">
        <f t="shared" si="234"/>
        <v>105930</v>
      </c>
      <c r="V578" s="319">
        <f t="shared" si="235"/>
        <v>11221164900</v>
      </c>
      <c r="X578" s="345">
        <f t="shared" si="229"/>
        <v>23.424482150015038</v>
      </c>
      <c r="Y578" s="346">
        <f t="shared" si="230"/>
        <v>-48.080739603994303</v>
      </c>
      <c r="AA578" s="345">
        <f t="shared" si="231"/>
        <v>23.180292276410061</v>
      </c>
      <c r="AB578" s="346">
        <f t="shared" si="232"/>
        <v>-160.81822155900201</v>
      </c>
      <c r="AD578">
        <f t="shared" si="236"/>
        <v>0</v>
      </c>
      <c r="AE578">
        <f t="shared" si="239"/>
        <v>0</v>
      </c>
    </row>
    <row r="579" spans="1:31" x14ac:dyDescent="0.25">
      <c r="A579" s="347">
        <v>107150</v>
      </c>
      <c r="B579" s="364">
        <f t="shared" si="233"/>
        <v>107.15</v>
      </c>
      <c r="C579" s="337">
        <f t="shared" si="214"/>
        <v>46.477787234043198</v>
      </c>
      <c r="D579" s="338">
        <f t="shared" si="215"/>
        <v>1.5492790121917501</v>
      </c>
      <c r="E579" s="338">
        <f t="shared" si="216"/>
        <v>1.0370394871639876</v>
      </c>
      <c r="F579" s="339">
        <f t="shared" si="217"/>
        <v>0.26807172421786474</v>
      </c>
      <c r="G579" s="338">
        <f t="shared" si="218"/>
        <v>1</v>
      </c>
      <c r="H579" s="339">
        <f t="shared" si="219"/>
        <v>0</v>
      </c>
      <c r="I579" s="337">
        <f t="shared" si="220"/>
        <v>142228.97664965026</v>
      </c>
      <c r="J579" s="340">
        <f t="shared" si="221"/>
        <v>1.5707892958788092</v>
      </c>
      <c r="K579" s="348">
        <f t="shared" si="237"/>
        <v>40.003153278714599</v>
      </c>
      <c r="L579" s="349">
        <f t="shared" si="238"/>
        <v>1.5457956931554488</v>
      </c>
      <c r="M579" s="337">
        <f t="shared" si="222"/>
        <v>1.4651725781628522</v>
      </c>
      <c r="N579" s="340">
        <f t="shared" si="223"/>
        <v>0.81960021208280798</v>
      </c>
      <c r="O579" s="341">
        <f t="shared" si="224"/>
        <v>1.534767741554985</v>
      </c>
      <c r="P579" s="342">
        <f t="shared" si="225"/>
        <v>1.5374646562284451</v>
      </c>
      <c r="Q579" s="343">
        <f t="shared" si="226"/>
        <v>-17.2441093810083</v>
      </c>
      <c r="R579" s="344">
        <f t="shared" si="227"/>
        <v>-209.88966746580894</v>
      </c>
      <c r="S579" s="346">
        <f t="shared" si="228"/>
        <v>-29.889667465808941</v>
      </c>
      <c r="U579" s="319">
        <f t="shared" si="234"/>
        <v>107150</v>
      </c>
      <c r="V579" s="319">
        <f t="shared" si="235"/>
        <v>11481122500</v>
      </c>
      <c r="X579" s="345">
        <f t="shared" si="229"/>
        <v>23.371571582504878</v>
      </c>
      <c r="Y579" s="346">
        <f t="shared" si="230"/>
        <v>-48.391661046542829</v>
      </c>
      <c r="AA579" s="345">
        <f t="shared" si="231"/>
        <v>22.993440325649452</v>
      </c>
      <c r="AB579" s="346">
        <f t="shared" si="232"/>
        <v>-161.49800641926615</v>
      </c>
      <c r="AD579">
        <f t="shared" si="236"/>
        <v>0</v>
      </c>
      <c r="AE579">
        <f t="shared" si="239"/>
        <v>0</v>
      </c>
    </row>
    <row r="580" spans="1:31" x14ac:dyDescent="0.25">
      <c r="A580" s="347">
        <v>108400</v>
      </c>
      <c r="B580" s="364">
        <f t="shared" si="233"/>
        <v>108.4</v>
      </c>
      <c r="C580" s="337">
        <f t="shared" si="214"/>
        <v>47.019742385413586</v>
      </c>
      <c r="D580" s="338">
        <f t="shared" si="215"/>
        <v>1.5495270609463734</v>
      </c>
      <c r="E580" s="338">
        <f t="shared" si="216"/>
        <v>1.0378928508595546</v>
      </c>
      <c r="F580" s="339">
        <f t="shared" si="217"/>
        <v>0.27104888899207397</v>
      </c>
      <c r="G580" s="338">
        <f t="shared" si="218"/>
        <v>1</v>
      </c>
      <c r="H580" s="339">
        <f t="shared" si="219"/>
        <v>0</v>
      </c>
      <c r="I580" s="337">
        <f t="shared" si="220"/>
        <v>143888.20409531824</v>
      </c>
      <c r="J580" s="340">
        <f t="shared" si="221"/>
        <v>1.5707893769548711</v>
      </c>
      <c r="K580" s="348">
        <f t="shared" si="237"/>
        <v>40.469535678283314</v>
      </c>
      <c r="L580" s="349">
        <f t="shared" si="238"/>
        <v>1.5460838665511027</v>
      </c>
      <c r="M580" s="337">
        <f t="shared" si="222"/>
        <v>1.4743276472288109</v>
      </c>
      <c r="N580" s="340">
        <f t="shared" si="223"/>
        <v>0.8253834117076696</v>
      </c>
      <c r="O580" s="341">
        <f t="shared" si="224"/>
        <v>1.5520784423029614</v>
      </c>
      <c r="P580" s="342">
        <f t="shared" si="225"/>
        <v>1.5521883719838268</v>
      </c>
      <c r="Q580" s="343">
        <f t="shared" si="226"/>
        <v>-17.489247746271037</v>
      </c>
      <c r="R580" s="344">
        <f t="shared" si="227"/>
        <v>-210.89175386532733</v>
      </c>
      <c r="S580" s="346">
        <f t="shared" si="228"/>
        <v>-30.891753865327331</v>
      </c>
      <c r="U580" s="319">
        <f t="shared" si="234"/>
        <v>108400</v>
      </c>
      <c r="V580" s="319">
        <f t="shared" si="235"/>
        <v>11750560000</v>
      </c>
      <c r="X580" s="345">
        <f t="shared" si="229"/>
        <v>23.317404797128511</v>
      </c>
      <c r="Y580" s="346">
        <f t="shared" si="230"/>
        <v>-48.70650750346605</v>
      </c>
      <c r="AA580" s="345">
        <f t="shared" si="231"/>
        <v>22.802468745763083</v>
      </c>
      <c r="AB580" s="346">
        <f t="shared" si="232"/>
        <v>-162.18524636186126</v>
      </c>
      <c r="AD580">
        <f t="shared" si="236"/>
        <v>0</v>
      </c>
      <c r="AE580">
        <f t="shared" si="239"/>
        <v>0</v>
      </c>
    </row>
    <row r="581" spans="1:31" x14ac:dyDescent="0.25">
      <c r="A581" s="347">
        <v>109650</v>
      </c>
      <c r="B581" s="364">
        <f t="shared" si="233"/>
        <v>109.65</v>
      </c>
      <c r="C581" s="337">
        <f t="shared" si="214"/>
        <v>47.561700363892179</v>
      </c>
      <c r="D581" s="338">
        <f t="shared" si="215"/>
        <v>1.5497694567637543</v>
      </c>
      <c r="E581" s="338">
        <f t="shared" si="216"/>
        <v>1.0387553987663274</v>
      </c>
      <c r="F581" s="339">
        <f t="shared" si="217"/>
        <v>0.27402113579749082</v>
      </c>
      <c r="G581" s="338">
        <f t="shared" si="218"/>
        <v>1</v>
      </c>
      <c r="H581" s="339">
        <f t="shared" si="219"/>
        <v>0</v>
      </c>
      <c r="I581" s="337">
        <f t="shared" si="220"/>
        <v>145547.43154098716</v>
      </c>
      <c r="J581" s="340">
        <f t="shared" si="221"/>
        <v>1.5707894561824136</v>
      </c>
      <c r="K581" s="348">
        <f t="shared" si="237"/>
        <v>40.93592136202227</v>
      </c>
      <c r="L581" s="349">
        <f t="shared" si="238"/>
        <v>1.5463654736122472</v>
      </c>
      <c r="M581" s="337">
        <f t="shared" si="222"/>
        <v>1.4835314162238771</v>
      </c>
      <c r="N581" s="340">
        <f t="shared" si="223"/>
        <v>0.83109504292081826</v>
      </c>
      <c r="O581" s="341">
        <f t="shared" si="224"/>
        <v>1.5697170850042688</v>
      </c>
      <c r="P581" s="342">
        <f t="shared" si="225"/>
        <v>1.5667487631890424</v>
      </c>
      <c r="Q581" s="343">
        <f t="shared" si="226"/>
        <v>-17.733844062693287</v>
      </c>
      <c r="R581" s="344">
        <f t="shared" si="227"/>
        <v>-211.88071589622936</v>
      </c>
      <c r="S581" s="346">
        <f t="shared" si="228"/>
        <v>-31.880715896229361</v>
      </c>
      <c r="U581" s="319">
        <f t="shared" si="234"/>
        <v>109650</v>
      </c>
      <c r="V581" s="319">
        <f t="shared" si="235"/>
        <v>12023122500</v>
      </c>
      <c r="X581" s="345">
        <f t="shared" si="229"/>
        <v>23.263289923338345</v>
      </c>
      <c r="Y581" s="346">
        <f t="shared" si="230"/>
        <v>-49.017629509789323</v>
      </c>
      <c r="AA581" s="345">
        <f t="shared" si="231"/>
        <v>22.611987303131002</v>
      </c>
      <c r="AB581" s="346">
        <f t="shared" si="232"/>
        <v>-162.86308638643999</v>
      </c>
      <c r="AD581">
        <f t="shared" si="236"/>
        <v>0</v>
      </c>
      <c r="AE581">
        <f t="shared" si="239"/>
        <v>0</v>
      </c>
    </row>
    <row r="582" spans="1:31" x14ac:dyDescent="0.25">
      <c r="A582" s="347">
        <v>110925</v>
      </c>
      <c r="B582" s="364">
        <f t="shared" si="233"/>
        <v>110.925</v>
      </c>
      <c r="C582" s="337">
        <f t="shared" si="214"/>
        <v>48.114500315352991</v>
      </c>
      <c r="D582" s="338">
        <f t="shared" si="215"/>
        <v>1.5500110749160658</v>
      </c>
      <c r="E582" s="338">
        <f t="shared" si="216"/>
        <v>1.0396446354977915</v>
      </c>
      <c r="F582" s="339">
        <f t="shared" si="217"/>
        <v>0.27704771935118128</v>
      </c>
      <c r="G582" s="338">
        <f t="shared" si="218"/>
        <v>1</v>
      </c>
      <c r="H582" s="339">
        <f t="shared" si="219"/>
        <v>0</v>
      </c>
      <c r="I582" s="337">
        <f t="shared" si="220"/>
        <v>147239.84353557034</v>
      </c>
      <c r="J582" s="340">
        <f t="shared" si="221"/>
        <v>1.570789535154971</v>
      </c>
      <c r="K582" s="348">
        <f t="shared" si="237"/>
        <v>41.41163802771424</v>
      </c>
      <c r="L582" s="349">
        <f t="shared" si="238"/>
        <v>1.5466461782088545</v>
      </c>
      <c r="M582" s="337">
        <f t="shared" si="222"/>
        <v>1.4929684971876094</v>
      </c>
      <c r="N582" s="340">
        <f t="shared" si="223"/>
        <v>0.83684816686258712</v>
      </c>
      <c r="O582" s="341">
        <f t="shared" si="224"/>
        <v>1.5880464109435335</v>
      </c>
      <c r="P582" s="342">
        <f t="shared" si="225"/>
        <v>1.5814315405351576</v>
      </c>
      <c r="Q582" s="343">
        <f t="shared" si="226"/>
        <v>-17.982757017061047</v>
      </c>
      <c r="R582" s="344">
        <f t="shared" si="227"/>
        <v>-212.87596136423807</v>
      </c>
      <c r="S582" s="346">
        <f t="shared" si="228"/>
        <v>-32.875961364238066</v>
      </c>
      <c r="U582" s="319">
        <f t="shared" si="234"/>
        <v>110925</v>
      </c>
      <c r="V582" s="319">
        <f t="shared" si="235"/>
        <v>12304355625</v>
      </c>
      <c r="X582" s="345">
        <f t="shared" si="229"/>
        <v>23.208152763067229</v>
      </c>
      <c r="Y582" s="346">
        <f t="shared" si="230"/>
        <v>-49.331180567145339</v>
      </c>
      <c r="AA582" s="345">
        <f t="shared" si="231"/>
        <v>22.41821150903435</v>
      </c>
      <c r="AB582" s="346">
        <f t="shared" si="232"/>
        <v>-163.54478079709267</v>
      </c>
      <c r="AD582">
        <f t="shared" si="236"/>
        <v>0</v>
      </c>
      <c r="AE582">
        <f t="shared" si="239"/>
        <v>0</v>
      </c>
    </row>
    <row r="583" spans="1:31" x14ac:dyDescent="0.25">
      <c r="A583" s="347">
        <v>112200</v>
      </c>
      <c r="B583" s="364">
        <f t="shared" si="233"/>
        <v>112.2</v>
      </c>
      <c r="C583" s="337">
        <f t="shared" si="214"/>
        <v>48.667303011895044</v>
      </c>
      <c r="D583" s="338">
        <f t="shared" si="215"/>
        <v>1.5502472040920527</v>
      </c>
      <c r="E583" s="338">
        <f t="shared" si="216"/>
        <v>1.0405433792624175</v>
      </c>
      <c r="F583" s="339">
        <f t="shared" si="217"/>
        <v>0.28006910226744275</v>
      </c>
      <c r="G583" s="338">
        <f t="shared" si="218"/>
        <v>1</v>
      </c>
      <c r="H583" s="339">
        <f t="shared" si="219"/>
        <v>0</v>
      </c>
      <c r="I583" s="337">
        <f t="shared" si="220"/>
        <v>148932.25553015448</v>
      </c>
      <c r="J583" s="340">
        <f t="shared" si="221"/>
        <v>1.5707896123326974</v>
      </c>
      <c r="K583" s="348">
        <f t="shared" si="237"/>
        <v>41.887357882322164</v>
      </c>
      <c r="L583" s="349">
        <f t="shared" si="238"/>
        <v>1.5469205068336913</v>
      </c>
      <c r="M583" s="337">
        <f t="shared" si="222"/>
        <v>1.5024543713640763</v>
      </c>
      <c r="N583" s="340">
        <f t="shared" si="223"/>
        <v>0.84252883117639021</v>
      </c>
      <c r="O583" s="341">
        <f t="shared" si="224"/>
        <v>1.6067169743392502</v>
      </c>
      <c r="P583" s="342">
        <f t="shared" si="225"/>
        <v>1.5959434180120691</v>
      </c>
      <c r="Q583" s="343">
        <f t="shared" si="226"/>
        <v>-18.231071556754877</v>
      </c>
      <c r="R583" s="344">
        <f t="shared" si="227"/>
        <v>-213.85761205297371</v>
      </c>
      <c r="S583" s="346">
        <f t="shared" si="228"/>
        <v>-33.857612052973707</v>
      </c>
      <c r="U583" s="319">
        <f t="shared" si="234"/>
        <v>112200</v>
      </c>
      <c r="V583" s="319">
        <f t="shared" si="235"/>
        <v>12588840000</v>
      </c>
      <c r="X583" s="345">
        <f t="shared" si="229"/>
        <v>23.153082579276152</v>
      </c>
      <c r="Y583" s="346">
        <f t="shared" si="230"/>
        <v>-49.640945207066011</v>
      </c>
      <c r="AA583" s="345">
        <f t="shared" si="231"/>
        <v>22.224967153131598</v>
      </c>
      <c r="AB583" s="346">
        <f t="shared" si="232"/>
        <v>-164.21666684590767</v>
      </c>
      <c r="AD583">
        <f t="shared" si="236"/>
        <v>0</v>
      </c>
      <c r="AE583">
        <f t="shared" si="239"/>
        <v>0</v>
      </c>
    </row>
    <row r="584" spans="1:31" x14ac:dyDescent="0.25">
      <c r="A584" s="347">
        <v>113510</v>
      </c>
      <c r="B584" s="364">
        <f t="shared" si="233"/>
        <v>113.51</v>
      </c>
      <c r="C584" s="337">
        <f t="shared" si="214"/>
        <v>49.23528344638202</v>
      </c>
      <c r="D584" s="338">
        <f t="shared" si="215"/>
        <v>1.5504842924888074</v>
      </c>
      <c r="E584" s="338">
        <f t="shared" si="216"/>
        <v>1.0414766706342875</v>
      </c>
      <c r="F584" s="339">
        <f t="shared" si="217"/>
        <v>0.28316796461641219</v>
      </c>
      <c r="G584" s="338">
        <f t="shared" si="218"/>
        <v>1</v>
      </c>
      <c r="H584" s="339">
        <f t="shared" si="219"/>
        <v>0</v>
      </c>
      <c r="I584" s="337">
        <f t="shared" si="220"/>
        <v>150671.12589321824</v>
      </c>
      <c r="J584" s="340">
        <f t="shared" si="221"/>
        <v>1.570789689823187</v>
      </c>
      <c r="K584" s="348">
        <f t="shared" si="237"/>
        <v>42.376139921873083</v>
      </c>
      <c r="L584" s="349">
        <f t="shared" si="238"/>
        <v>1.5471959507931918</v>
      </c>
      <c r="M584" s="337">
        <f t="shared" si="222"/>
        <v>1.5122504976835547</v>
      </c>
      <c r="N584" s="340">
        <f t="shared" si="223"/>
        <v>0.84829101637492799</v>
      </c>
      <c r="O584" s="341">
        <f t="shared" si="224"/>
        <v>1.6262553752740878</v>
      </c>
      <c r="P584" s="342">
        <f t="shared" si="225"/>
        <v>1.6106754019976524</v>
      </c>
      <c r="Q584" s="343">
        <f t="shared" si="226"/>
        <v>-18.485560653378869</v>
      </c>
      <c r="R584" s="344">
        <f t="shared" si="227"/>
        <v>-214.85209654711107</v>
      </c>
      <c r="S584" s="346">
        <f t="shared" si="228"/>
        <v>-34.852096547111074</v>
      </c>
      <c r="U584" s="319">
        <f t="shared" si="234"/>
        <v>113510</v>
      </c>
      <c r="V584" s="319">
        <f t="shared" si="235"/>
        <v>12884520100</v>
      </c>
      <c r="X584" s="345">
        <f t="shared" si="229"/>
        <v>23.096576885914022</v>
      </c>
      <c r="Y584" s="346">
        <f t="shared" si="230"/>
        <v>-49.95531676358047</v>
      </c>
      <c r="AA584" s="345">
        <f t="shared" si="231"/>
        <v>22.026983749869743</v>
      </c>
      <c r="AB584" s="346">
        <f t="shared" si="232"/>
        <v>-164.89677978353066</v>
      </c>
      <c r="AD584">
        <f t="shared" si="236"/>
        <v>0</v>
      </c>
      <c r="AE584">
        <f t="shared" si="239"/>
        <v>0</v>
      </c>
    </row>
    <row r="585" spans="1:31" x14ac:dyDescent="0.25">
      <c r="A585" s="347">
        <v>114820</v>
      </c>
      <c r="B585" s="364">
        <f t="shared" si="233"/>
        <v>114.82</v>
      </c>
      <c r="C585" s="337">
        <f t="shared" si="214"/>
        <v>49.803266585303724</v>
      </c>
      <c r="D585" s="338">
        <f t="shared" si="215"/>
        <v>1.5507159731321005</v>
      </c>
      <c r="E585" s="338">
        <f t="shared" si="216"/>
        <v>1.042419945287878</v>
      </c>
      <c r="F585" s="339">
        <f t="shared" si="217"/>
        <v>0.286261248370697</v>
      </c>
      <c r="G585" s="338">
        <f t="shared" si="218"/>
        <v>1</v>
      </c>
      <c r="H585" s="339">
        <f t="shared" si="219"/>
        <v>0</v>
      </c>
      <c r="I585" s="337">
        <f t="shared" si="220"/>
        <v>152409.99625628293</v>
      </c>
      <c r="J585" s="340">
        <f t="shared" si="221"/>
        <v>1.5707897655454734</v>
      </c>
      <c r="K585" s="348">
        <f t="shared" si="237"/>
        <v>42.864925103153652</v>
      </c>
      <c r="L585" s="349">
        <f t="shared" si="238"/>
        <v>1.5474651130435344</v>
      </c>
      <c r="M585" s="337">
        <f t="shared" si="222"/>
        <v>1.5220961876464627</v>
      </c>
      <c r="N585" s="340">
        <f t="shared" si="223"/>
        <v>0.8539788429274916</v>
      </c>
      <c r="O585" s="341">
        <f t="shared" si="224"/>
        <v>1.6461537094326781</v>
      </c>
      <c r="P585" s="342">
        <f t="shared" si="225"/>
        <v>1.6252266222681759</v>
      </c>
      <c r="Q585" s="343">
        <f t="shared" si="226"/>
        <v>-18.739379967552402</v>
      </c>
      <c r="R585" s="344">
        <f t="shared" si="227"/>
        <v>-215.83233320927903</v>
      </c>
      <c r="S585" s="346">
        <f t="shared" si="228"/>
        <v>-35.832333209279028</v>
      </c>
      <c r="U585" s="319">
        <f t="shared" si="234"/>
        <v>114820</v>
      </c>
      <c r="V585" s="319">
        <f t="shared" si="235"/>
        <v>13183632400</v>
      </c>
      <c r="X585" s="345">
        <f t="shared" si="229"/>
        <v>23.040154773113684</v>
      </c>
      <c r="Y585" s="346">
        <f t="shared" si="230"/>
        <v>-50.265787697618123</v>
      </c>
      <c r="AA585" s="345">
        <f t="shared" si="231"/>
        <v>21.829586548496543</v>
      </c>
      <c r="AB585" s="346">
        <f t="shared" si="232"/>
        <v>-165.56654551166088</v>
      </c>
      <c r="AD585">
        <f t="shared" si="236"/>
        <v>0</v>
      </c>
      <c r="AE585">
        <f t="shared" si="239"/>
        <v>0</v>
      </c>
    </row>
    <row r="586" spans="1:31" x14ac:dyDescent="0.25">
      <c r="A586" s="347">
        <v>116155</v>
      </c>
      <c r="B586" s="364">
        <f t="shared" si="233"/>
        <v>116.155</v>
      </c>
      <c r="C586" s="337">
        <f t="shared" si="214"/>
        <v>50.382091784750848</v>
      </c>
      <c r="D586" s="338">
        <f t="shared" si="215"/>
        <v>1.5509467009549784</v>
      </c>
      <c r="E586" s="338">
        <f t="shared" si="216"/>
        <v>1.0433914642121007</v>
      </c>
      <c r="F586" s="339">
        <f t="shared" si="217"/>
        <v>0.28940777941794993</v>
      </c>
      <c r="G586" s="338">
        <f t="shared" si="218"/>
        <v>1</v>
      </c>
      <c r="H586" s="339">
        <f t="shared" si="219"/>
        <v>0</v>
      </c>
      <c r="I586" s="337">
        <f t="shared" si="220"/>
        <v>154182.05116826194</v>
      </c>
      <c r="J586" s="340">
        <f t="shared" si="221"/>
        <v>1.5707898409556409</v>
      </c>
      <c r="K586" s="348">
        <f t="shared" si="237"/>
        <v>43.363041368149865</v>
      </c>
      <c r="L586" s="349">
        <f t="shared" si="238"/>
        <v>1.547733169195993</v>
      </c>
      <c r="M586" s="337">
        <f t="shared" si="222"/>
        <v>1.5321797746508958</v>
      </c>
      <c r="N586" s="340">
        <f t="shared" si="223"/>
        <v>0.85969982191515459</v>
      </c>
      <c r="O586" s="341">
        <f t="shared" si="224"/>
        <v>1.6668018047254463</v>
      </c>
      <c r="P586" s="342">
        <f t="shared" si="225"/>
        <v>1.6398696449444778</v>
      </c>
      <c r="Q586" s="343">
        <f t="shared" si="226"/>
        <v>-18.997334041867099</v>
      </c>
      <c r="R586" s="344">
        <f t="shared" si="227"/>
        <v>-216.81668717557497</v>
      </c>
      <c r="S586" s="346">
        <f t="shared" si="228"/>
        <v>-36.81668717557497</v>
      </c>
      <c r="U586" s="319">
        <f t="shared" si="234"/>
        <v>116155</v>
      </c>
      <c r="V586" s="319">
        <f t="shared" si="235"/>
        <v>13491984025</v>
      </c>
      <c r="X586" s="345">
        <f t="shared" si="229"/>
        <v>22.982748213313666</v>
      </c>
      <c r="Y586" s="346">
        <f t="shared" si="230"/>
        <v>-50.578221483127159</v>
      </c>
      <c r="AA586" s="345">
        <f t="shared" si="231"/>
        <v>21.629039033981865</v>
      </c>
      <c r="AB586" s="346">
        <f t="shared" si="232"/>
        <v>-166.23846569244779</v>
      </c>
      <c r="AD586">
        <f t="shared" si="236"/>
        <v>0</v>
      </c>
      <c r="AE586">
        <f t="shared" si="239"/>
        <v>0</v>
      </c>
    </row>
    <row r="587" spans="1:31" x14ac:dyDescent="0.25">
      <c r="A587" s="347">
        <v>117490</v>
      </c>
      <c r="B587" s="364">
        <f t="shared" si="233"/>
        <v>117.49</v>
      </c>
      <c r="C587" s="337">
        <f t="shared" si="214"/>
        <v>50.960919605377164</v>
      </c>
      <c r="D587" s="338">
        <f t="shared" si="215"/>
        <v>1.5511721874523934</v>
      </c>
      <c r="E587" s="338">
        <f t="shared" si="216"/>
        <v>1.0443732941191219</v>
      </c>
      <c r="F587" s="339">
        <f t="shared" si="217"/>
        <v>0.29254842531570169</v>
      </c>
      <c r="G587" s="338">
        <f t="shared" si="218"/>
        <v>1</v>
      </c>
      <c r="H587" s="339">
        <f t="shared" si="219"/>
        <v>0</v>
      </c>
      <c r="I587" s="337">
        <f t="shared" si="220"/>
        <v>155954.10608024179</v>
      </c>
      <c r="J587" s="340">
        <f t="shared" si="221"/>
        <v>1.5707899146520865</v>
      </c>
      <c r="K587" s="348">
        <f t="shared" si="237"/>
        <v>43.861160678187851</v>
      </c>
      <c r="L587" s="349">
        <f t="shared" si="238"/>
        <v>1.5479951368848262</v>
      </c>
      <c r="M587" s="337">
        <f t="shared" si="222"/>
        <v>1.5423128526103611</v>
      </c>
      <c r="N587" s="340">
        <f t="shared" si="223"/>
        <v>0.86534580940391193</v>
      </c>
      <c r="O587" s="341">
        <f t="shared" si="224"/>
        <v>1.687823056019228</v>
      </c>
      <c r="P587" s="342">
        <f t="shared" si="225"/>
        <v>1.6543252684267564</v>
      </c>
      <c r="Q587" s="343">
        <f t="shared" si="226"/>
        <v>-19.254552010132652</v>
      </c>
      <c r="R587" s="344">
        <f t="shared" si="227"/>
        <v>-217.78639289604641</v>
      </c>
      <c r="S587" s="346">
        <f t="shared" si="228"/>
        <v>-37.786392896046408</v>
      </c>
      <c r="U587" s="319">
        <f t="shared" si="234"/>
        <v>117490</v>
      </c>
      <c r="V587" s="319">
        <f t="shared" si="235"/>
        <v>13803900100</v>
      </c>
      <c r="X587" s="345">
        <f t="shared" si="229"/>
        <v>22.925440973139366</v>
      </c>
      <c r="Y587" s="346">
        <f t="shared" si="230"/>
        <v>-50.886707317325495</v>
      </c>
      <c r="AA587" s="345">
        <f t="shared" si="231"/>
        <v>21.429128305890607</v>
      </c>
      <c r="AB587" s="346">
        <f t="shared" si="232"/>
        <v>-166.89968557872089</v>
      </c>
      <c r="AD587">
        <f t="shared" si="236"/>
        <v>0</v>
      </c>
      <c r="AE587">
        <f t="shared" si="239"/>
        <v>0</v>
      </c>
    </row>
    <row r="588" spans="1:31" x14ac:dyDescent="0.25">
      <c r="A588" s="347">
        <v>118860</v>
      </c>
      <c r="B588" s="364">
        <f t="shared" si="233"/>
        <v>118.86</v>
      </c>
      <c r="C588" s="337">
        <f t="shared" si="214"/>
        <v>51.55492531978696</v>
      </c>
      <c r="D588" s="338">
        <f t="shared" si="215"/>
        <v>1.5513983214575113</v>
      </c>
      <c r="E588" s="338">
        <f t="shared" si="216"/>
        <v>1.0453915544288921</v>
      </c>
      <c r="F588" s="339">
        <f t="shared" si="217"/>
        <v>0.29576524414415278</v>
      </c>
      <c r="G588" s="338">
        <f t="shared" si="218"/>
        <v>1</v>
      </c>
      <c r="H588" s="339">
        <f t="shared" si="219"/>
        <v>0</v>
      </c>
      <c r="I588" s="337">
        <f t="shared" si="220"/>
        <v>157772.61936070138</v>
      </c>
      <c r="J588" s="340">
        <f t="shared" si="221"/>
        <v>1.570789988559504</v>
      </c>
      <c r="K588" s="348">
        <f t="shared" si="237"/>
        <v>44.372342354266927</v>
      </c>
      <c r="L588" s="349">
        <f t="shared" si="238"/>
        <v>1.548257857655756</v>
      </c>
      <c r="M588" s="337">
        <f t="shared" si="222"/>
        <v>1.5527620298449447</v>
      </c>
      <c r="N588" s="340">
        <f t="shared" si="223"/>
        <v>0.87106301873805103</v>
      </c>
      <c r="O588" s="341">
        <f t="shared" si="224"/>
        <v>1.709782923772863</v>
      </c>
      <c r="P588" s="342">
        <f t="shared" si="225"/>
        <v>1.6689654826729117</v>
      </c>
      <c r="Q588" s="343">
        <f t="shared" si="226"/>
        <v>-19.517726979251467</v>
      </c>
      <c r="R588" s="344">
        <f t="shared" si="227"/>
        <v>-218.76638517506476</v>
      </c>
      <c r="S588" s="346">
        <f t="shared" si="228"/>
        <v>-38.766385175064755</v>
      </c>
      <c r="U588" s="319">
        <f t="shared" si="234"/>
        <v>118860</v>
      </c>
      <c r="V588" s="319">
        <f t="shared" si="235"/>
        <v>14127699600</v>
      </c>
      <c r="X588" s="345">
        <f t="shared" si="229"/>
        <v>22.866740735478771</v>
      </c>
      <c r="Y588" s="346">
        <f t="shared" si="230"/>
        <v>-51.19923072633997</v>
      </c>
      <c r="AA588" s="345">
        <f t="shared" si="231"/>
        <v>21.224653574432388</v>
      </c>
      <c r="AB588" s="346">
        <f t="shared" si="232"/>
        <v>-167.56715444872478</v>
      </c>
      <c r="AD588">
        <f t="shared" si="236"/>
        <v>0</v>
      </c>
      <c r="AE588">
        <f t="shared" si="239"/>
        <v>0</v>
      </c>
    </row>
    <row r="589" spans="1:31" x14ac:dyDescent="0.25">
      <c r="A589" s="347">
        <v>120230</v>
      </c>
      <c r="B589" s="364">
        <f t="shared" si="233"/>
        <v>120.23</v>
      </c>
      <c r="C589" s="337">
        <f t="shared" ref="C589:C613" si="240">SQRT(1+(A589/pole1)^2)</f>
        <v>52.148933610480796</v>
      </c>
      <c r="D589" s="338">
        <f t="shared" ref="D589:D613" si="241">ATAN(A589/pole1)</f>
        <v>1.5516193038641029</v>
      </c>
      <c r="E589" s="338">
        <f t="shared" ref="E589:E613" si="242">SQRT(1+(A589/Zero1)^2)</f>
        <v>1.0464206112521046</v>
      </c>
      <c r="F589" s="339">
        <f t="shared" ref="F589:F613" si="243">ATAN(A589/Zero1)</f>
        <v>0.29897576925965474</v>
      </c>
      <c r="G589" s="338">
        <f t="shared" ref="G589:G613" si="244">IF(VIN_nom&gt;Vout, 1, SQRT(1+(A589/z_RHP)^2))</f>
        <v>1</v>
      </c>
      <c r="H589" s="339">
        <f t="shared" ref="H589:H613" si="245">IF(VIN_nom&gt;Vout, 0, -ATAN(A589/z_RHP))</f>
        <v>0</v>
      </c>
      <c r="I589" s="337">
        <f t="shared" ref="I589:I613" si="246">SQRT(1+(A589/Pole2)^2)</f>
        <v>159591.13264116182</v>
      </c>
      <c r="J589" s="340">
        <f t="shared" ref="J589:J613" si="247">ATAN(A589/Pole2)</f>
        <v>1.5707900607825973</v>
      </c>
      <c r="K589" s="348">
        <f t="shared" si="237"/>
        <v>44.88352702326064</v>
      </c>
      <c r="L589" s="349">
        <f t="shared" si="238"/>
        <v>1.5485145941180067</v>
      </c>
      <c r="M589" s="337">
        <f t="shared" ref="M589:M613" si="248">SQRT(1+(A589/pole4)^2)</f>
        <v>1.5632612819425138</v>
      </c>
      <c r="N589" s="340">
        <f t="shared" ref="N589:N613" si="249">ATAN(A589/pole4)</f>
        <v>0.87670361398603813</v>
      </c>
      <c r="O589" s="341">
        <f t="shared" ref="O589:O613" si="250">SQRT((1-(V589/pterm2))^2+(A589/pterm1)^2)</f>
        <v>1.732134756821311</v>
      </c>
      <c r="P589" s="342">
        <f t="shared" ref="P589:P613" si="251">IF((ATAN((A589/pterm1)/(1-A589^2/pterm2))&gt;0),ATAN((A589/pterm1)/(1-A589^2/pterm2)),PI()+ATAN((A589/pterm1)/(1-A589^2/pterm2)))</f>
        <v>1.6834094028131523</v>
      </c>
      <c r="Q589" s="343">
        <f t="shared" ref="Q589:Q613" si="252">20*LOG10(((E589*K589*G589)/(C589*I589*O589*M589))*Adc)</f>
        <v>-19.780083797629651</v>
      </c>
      <c r="R589" s="344">
        <f t="shared" ref="R589:R613" si="253">((F589+L589+H589)-(D589+J589+P589+N589))*radconv</f>
        <v>-219.73114918392784</v>
      </c>
      <c r="S589" s="346">
        <f t="shared" ref="S589:S613" si="254">IF(R589&gt;0,R589,R589+180)</f>
        <v>-39.73114918392784</v>
      </c>
      <c r="U589" s="319">
        <f t="shared" si="234"/>
        <v>120230</v>
      </c>
      <c r="V589" s="319">
        <f t="shared" si="235"/>
        <v>14455252900</v>
      </c>
      <c r="X589" s="345">
        <f t="shared" ref="X589:X613" si="255">20*LOG10((K589/(I589*M589))*AEA)</f>
        <v>22.808157371765713</v>
      </c>
      <c r="Y589" s="346">
        <f t="shared" ref="Y589:Y613" si="256">(L589-(J589+N589))*radconv</f>
        <v>-51.507707250688</v>
      </c>
      <c r="AA589" s="345">
        <f t="shared" ref="AA589:AA613" si="257">20*LOG10((E589*G589/(C589*O589))*Acs*Am)</f>
        <v>21.020880119767259</v>
      </c>
      <c r="AB589" s="346">
        <f t="shared" ref="AB589:AB613" si="258">(F589+H589-(D589+P589))*radconv</f>
        <v>-168.22344193323983</v>
      </c>
      <c r="AD589">
        <f t="shared" si="236"/>
        <v>0</v>
      </c>
      <c r="AE589">
        <f t="shared" si="239"/>
        <v>0</v>
      </c>
    </row>
    <row r="590" spans="1:31" x14ac:dyDescent="0.25">
      <c r="A590" s="347">
        <v>126030</v>
      </c>
      <c r="B590" s="364">
        <f t="shared" ref="B590:B613" si="259">A590/1000</f>
        <v>126.03</v>
      </c>
      <c r="C590" s="337">
        <f t="shared" si="240"/>
        <v>54.663739843042947</v>
      </c>
      <c r="D590" s="338">
        <f t="shared" si="241"/>
        <v>1.5525016439279735</v>
      </c>
      <c r="E590" s="338">
        <f t="shared" si="242"/>
        <v>1.0508960737133843</v>
      </c>
      <c r="F590" s="339">
        <f t="shared" si="243"/>
        <v>0.3124969682081899</v>
      </c>
      <c r="G590" s="338">
        <f t="shared" si="244"/>
        <v>1</v>
      </c>
      <c r="H590" s="339">
        <f t="shared" si="245"/>
        <v>0</v>
      </c>
      <c r="I590" s="337">
        <f t="shared" si="246"/>
        <v>167289.94798910519</v>
      </c>
      <c r="J590" s="340">
        <f t="shared" si="247"/>
        <v>1.5707903491494253</v>
      </c>
      <c r="K590" s="348">
        <f t="shared" si="237"/>
        <v>47.047697408773388</v>
      </c>
      <c r="L590" s="349">
        <f t="shared" si="238"/>
        <v>1.5495397007237088</v>
      </c>
      <c r="M590" s="337">
        <f t="shared" si="248"/>
        <v>1.608242755930581</v>
      </c>
      <c r="N590" s="340">
        <f t="shared" si="249"/>
        <v>0.89976162507652391</v>
      </c>
      <c r="O590" s="341">
        <f t="shared" si="250"/>
        <v>1.8310898526302601</v>
      </c>
      <c r="P590" s="342">
        <f t="shared" si="251"/>
        <v>1.7424050773937518</v>
      </c>
      <c r="Q590" s="343">
        <f t="shared" si="252"/>
        <v>-20.881246390791585</v>
      </c>
      <c r="R590" s="344">
        <f t="shared" si="253"/>
        <v>-223.64960803904333</v>
      </c>
      <c r="S590" s="346">
        <f t="shared" si="254"/>
        <v>-43.649608039043329</v>
      </c>
      <c r="U590" s="319">
        <f t="shared" ref="U590:U613" si="260">IF(Q590&lt;0,A590,1000000000)</f>
        <v>126030</v>
      </c>
      <c r="V590" s="319">
        <f t="shared" ref="V590:V613" si="261">A590^2</f>
        <v>15883560900</v>
      </c>
      <c r="X590" s="345">
        <f t="shared" si="255"/>
        <v>22.561562864535723</v>
      </c>
      <c r="Y590" s="346">
        <f t="shared" si="256"/>
        <v>-52.770116211725679</v>
      </c>
      <c r="AA590" s="345">
        <f t="shared" si="257"/>
        <v>20.166312033835322</v>
      </c>
      <c r="AB590" s="346">
        <f t="shared" si="258"/>
        <v>-170.87949182731768</v>
      </c>
      <c r="AD590">
        <f t="shared" ref="AD590:AD613" si="262">SUM((Q591&lt;0)*(Q590&gt;0))*A590</f>
        <v>0</v>
      </c>
      <c r="AE590">
        <f t="shared" si="239"/>
        <v>0</v>
      </c>
    </row>
    <row r="591" spans="1:31" x14ac:dyDescent="0.25">
      <c r="A591" s="347">
        <v>131830</v>
      </c>
      <c r="B591" s="364">
        <f t="shared" si="259"/>
        <v>131.83000000000001</v>
      </c>
      <c r="C591" s="337">
        <f t="shared" si="240"/>
        <v>57.178584889165961</v>
      </c>
      <c r="D591" s="338">
        <f t="shared" si="241"/>
        <v>1.553306369901827</v>
      </c>
      <c r="E591" s="338">
        <f t="shared" si="242"/>
        <v>1.0555620143741926</v>
      </c>
      <c r="F591" s="339">
        <f t="shared" si="243"/>
        <v>0.32590106350574838</v>
      </c>
      <c r="G591" s="338">
        <f t="shared" si="244"/>
        <v>1</v>
      </c>
      <c r="H591" s="339">
        <f t="shared" si="245"/>
        <v>0</v>
      </c>
      <c r="I591" s="337">
        <f t="shared" si="246"/>
        <v>174988.76333706125</v>
      </c>
      <c r="J591" s="340">
        <f t="shared" si="247"/>
        <v>1.5707906121422472</v>
      </c>
      <c r="K591" s="348">
        <f t="shared" si="237"/>
        <v>49.211912885645567</v>
      </c>
      <c r="L591" s="349">
        <f t="shared" si="238"/>
        <v>1.5504746450488867</v>
      </c>
      <c r="M591" s="337">
        <f t="shared" si="248"/>
        <v>1.6540325245692822</v>
      </c>
      <c r="N591" s="340">
        <f t="shared" si="249"/>
        <v>0.92155403509407396</v>
      </c>
      <c r="O591" s="341">
        <f t="shared" si="250"/>
        <v>1.9369992647252126</v>
      </c>
      <c r="P591" s="342">
        <f t="shared" si="251"/>
        <v>1.7979875844506059</v>
      </c>
      <c r="Q591" s="343">
        <f t="shared" si="252"/>
        <v>-21.965861630060537</v>
      </c>
      <c r="R591" s="344">
        <f t="shared" si="253"/>
        <v>-227.30742024945258</v>
      </c>
      <c r="S591" s="346">
        <f t="shared" si="254"/>
        <v>-47.307420249452576</v>
      </c>
      <c r="U591" s="319">
        <f t="shared" si="260"/>
        <v>131830</v>
      </c>
      <c r="V591" s="319">
        <f t="shared" si="261"/>
        <v>17379148900</v>
      </c>
      <c r="X591" s="345">
        <f t="shared" si="255"/>
        <v>22.317545188887919</v>
      </c>
      <c r="Y591" s="346">
        <f t="shared" si="256"/>
        <v>-53.965176036981809</v>
      </c>
      <c r="AA591" s="345">
        <f t="shared" si="257"/>
        <v>19.325714470214166</v>
      </c>
      <c r="AB591" s="346">
        <f t="shared" si="258"/>
        <v>-173.34224421247075</v>
      </c>
      <c r="AD591">
        <f t="shared" si="262"/>
        <v>0</v>
      </c>
      <c r="AE591">
        <f t="shared" si="239"/>
        <v>0</v>
      </c>
    </row>
    <row r="592" spans="1:31" x14ac:dyDescent="0.25">
      <c r="A592" s="347">
        <v>144540</v>
      </c>
      <c r="B592" s="364">
        <f t="shared" si="259"/>
        <v>144.54</v>
      </c>
      <c r="C592" s="337">
        <f t="shared" si="240"/>
        <v>62.689677193304703</v>
      </c>
      <c r="D592" s="338">
        <f t="shared" si="241"/>
        <v>1.554844060672337</v>
      </c>
      <c r="E592" s="338">
        <f t="shared" si="242"/>
        <v>1.066440554193226</v>
      </c>
      <c r="F592" s="339">
        <f t="shared" si="243"/>
        <v>0.35484954820239639</v>
      </c>
      <c r="G592" s="338">
        <f t="shared" si="244"/>
        <v>1</v>
      </c>
      <c r="H592" s="339">
        <f t="shared" si="245"/>
        <v>0</v>
      </c>
      <c r="I592" s="337">
        <f t="shared" si="246"/>
        <v>191859.78800477428</v>
      </c>
      <c r="J592" s="340">
        <f t="shared" si="247"/>
        <v>1.5707911146552898</v>
      </c>
      <c r="K592" s="348">
        <f t="shared" si="237"/>
        <v>53.954661069691682</v>
      </c>
      <c r="L592" s="349">
        <f t="shared" si="238"/>
        <v>1.5522611856032984</v>
      </c>
      <c r="M592" s="337">
        <f t="shared" si="248"/>
        <v>1.7568913371513035</v>
      </c>
      <c r="N592" s="340">
        <f t="shared" si="249"/>
        <v>0.96527941007617868</v>
      </c>
      <c r="O592" s="341">
        <f t="shared" si="250"/>
        <v>2.1930406546250572</v>
      </c>
      <c r="P592" s="342">
        <f t="shared" si="251"/>
        <v>1.9084975001038564</v>
      </c>
      <c r="Q592" s="343">
        <f t="shared" si="252"/>
        <v>-24.278719455287753</v>
      </c>
      <c r="R592" s="344">
        <f t="shared" si="253"/>
        <v>-234.47159621612755</v>
      </c>
      <c r="S592" s="346">
        <f t="shared" si="254"/>
        <v>-54.471596216127551</v>
      </c>
      <c r="U592" s="319">
        <f t="shared" si="260"/>
        <v>144540</v>
      </c>
      <c r="V592" s="319">
        <f t="shared" si="261"/>
        <v>20891811600</v>
      </c>
      <c r="X592" s="345">
        <f t="shared" si="255"/>
        <v>21.793226541779653</v>
      </c>
      <c r="Y592" s="346">
        <f t="shared" si="256"/>
        <v>-56.36812304200884</v>
      </c>
      <c r="AA592" s="345">
        <f t="shared" si="257"/>
        <v>17.537175292095228</v>
      </c>
      <c r="AB592" s="346">
        <f t="shared" si="258"/>
        <v>-178.10347317411865</v>
      </c>
      <c r="AD592">
        <f t="shared" si="262"/>
        <v>0</v>
      </c>
      <c r="AE592">
        <f t="shared" si="239"/>
        <v>0</v>
      </c>
    </row>
    <row r="593" spans="1:31" x14ac:dyDescent="0.25">
      <c r="A593" s="347">
        <v>158490</v>
      </c>
      <c r="B593" s="364">
        <f t="shared" si="259"/>
        <v>158.49</v>
      </c>
      <c r="C593" s="337">
        <f t="shared" si="240"/>
        <v>68.738578971375347</v>
      </c>
      <c r="D593" s="338">
        <f t="shared" si="241"/>
        <v>1.5562479422959563</v>
      </c>
      <c r="E593" s="338">
        <f t="shared" si="242"/>
        <v>1.0793868376178679</v>
      </c>
      <c r="F593" s="339">
        <f t="shared" si="243"/>
        <v>0.38592163020837089</v>
      </c>
      <c r="G593" s="338">
        <f t="shared" si="244"/>
        <v>1</v>
      </c>
      <c r="H593" s="339">
        <f t="shared" si="245"/>
        <v>0</v>
      </c>
      <c r="I593" s="337">
        <f t="shared" si="246"/>
        <v>210376.76629865204</v>
      </c>
      <c r="J593" s="340">
        <f t="shared" si="247"/>
        <v>1.5707915734182876</v>
      </c>
      <c r="K593" s="348">
        <f t="shared" si="237"/>
        <v>59.160281289025143</v>
      </c>
      <c r="L593" s="349">
        <f t="shared" si="238"/>
        <v>1.5538922890822093</v>
      </c>
      <c r="M593" s="337">
        <f t="shared" si="248"/>
        <v>1.8732018945127353</v>
      </c>
      <c r="N593" s="340">
        <f t="shared" si="249"/>
        <v>1.0076547545673609</v>
      </c>
      <c r="O593" s="341">
        <f t="shared" si="250"/>
        <v>2.5110732477559878</v>
      </c>
      <c r="P593" s="342">
        <f t="shared" si="251"/>
        <v>2.0136116314963193</v>
      </c>
      <c r="Q593" s="343">
        <f t="shared" si="252"/>
        <v>-26.707299239470341</v>
      </c>
      <c r="R593" s="344">
        <f t="shared" si="253"/>
        <v>-241.12882898669938</v>
      </c>
      <c r="S593" s="346">
        <f t="shared" si="254"/>
        <v>-61.128828986699375</v>
      </c>
      <c r="U593" s="319">
        <f t="shared" si="260"/>
        <v>158490</v>
      </c>
      <c r="V593" s="319">
        <f t="shared" si="261"/>
        <v>25119080100</v>
      </c>
      <c r="X593" s="345">
        <f t="shared" si="255"/>
        <v>21.236181733365612</v>
      </c>
      <c r="Y593" s="346">
        <f t="shared" si="256"/>
        <v>-58.702622379326939</v>
      </c>
      <c r="AA593" s="345">
        <f t="shared" si="257"/>
        <v>15.665640316326677</v>
      </c>
      <c r="AB593" s="346">
        <f t="shared" si="258"/>
        <v>-182.42620660737245</v>
      </c>
      <c r="AD593">
        <f t="shared" si="262"/>
        <v>0</v>
      </c>
      <c r="AE593">
        <f t="shared" si="239"/>
        <v>0</v>
      </c>
    </row>
    <row r="594" spans="1:31" x14ac:dyDescent="0.25">
      <c r="A594" s="347">
        <v>173780</v>
      </c>
      <c r="B594" s="364">
        <f t="shared" si="259"/>
        <v>173.78</v>
      </c>
      <c r="C594" s="337">
        <f t="shared" si="240"/>
        <v>75.368651652072344</v>
      </c>
      <c r="D594" s="338">
        <f t="shared" si="241"/>
        <v>1.5575278216420647</v>
      </c>
      <c r="E594" s="338">
        <f t="shared" si="242"/>
        <v>1.0947433689002337</v>
      </c>
      <c r="F594" s="339">
        <f t="shared" si="243"/>
        <v>0.41909867894204728</v>
      </c>
      <c r="G594" s="338">
        <f t="shared" si="244"/>
        <v>1</v>
      </c>
      <c r="H594" s="339">
        <f t="shared" si="245"/>
        <v>0</v>
      </c>
      <c r="I594" s="337">
        <f t="shared" si="246"/>
        <v>230672.43641434959</v>
      </c>
      <c r="J594" s="340">
        <f t="shared" si="247"/>
        <v>1.5707919916432176</v>
      </c>
      <c r="K594" s="348">
        <f t="shared" si="237"/>
        <v>64.866089966973817</v>
      </c>
      <c r="L594" s="349">
        <f t="shared" si="238"/>
        <v>1.555379340577316</v>
      </c>
      <c r="M594" s="337">
        <f t="shared" si="248"/>
        <v>2.0040745552917061</v>
      </c>
      <c r="N594" s="340">
        <f t="shared" si="249"/>
        <v>1.0483709853521919</v>
      </c>
      <c r="O594" s="341">
        <f t="shared" si="250"/>
        <v>2.9028362114682777</v>
      </c>
      <c r="P594" s="342">
        <f t="shared" si="251"/>
        <v>2.1121515768351089</v>
      </c>
      <c r="Q594" s="343">
        <f t="shared" si="252"/>
        <v>-29.230456536178309</v>
      </c>
      <c r="R594" s="344">
        <f t="shared" si="253"/>
        <v>-247.19486916025838</v>
      </c>
      <c r="S594" s="346">
        <f t="shared" si="254"/>
        <v>-67.194869160258378</v>
      </c>
      <c r="U594" s="319">
        <f t="shared" si="260"/>
        <v>173780</v>
      </c>
      <c r="V594" s="319">
        <f t="shared" si="261"/>
        <v>30199488400</v>
      </c>
      <c r="X594" s="345">
        <f t="shared" si="255"/>
        <v>20.649387265883501</v>
      </c>
      <c r="Y594" s="346">
        <f t="shared" si="256"/>
        <v>-60.950312751481881</v>
      </c>
      <c r="AA594" s="345">
        <f t="shared" si="257"/>
        <v>13.72927748710082</v>
      </c>
      <c r="AB594" s="346">
        <f t="shared" si="258"/>
        <v>-186.24455640877648</v>
      </c>
      <c r="AD594">
        <f t="shared" si="262"/>
        <v>0</v>
      </c>
      <c r="AE594">
        <f t="shared" si="239"/>
        <v>0</v>
      </c>
    </row>
    <row r="595" spans="1:31" x14ac:dyDescent="0.25">
      <c r="A595" s="347">
        <v>190550</v>
      </c>
      <c r="B595" s="364">
        <f t="shared" si="259"/>
        <v>190.55</v>
      </c>
      <c r="C595" s="337">
        <f t="shared" si="240"/>
        <v>82.640602230613808</v>
      </c>
      <c r="D595" s="338">
        <f t="shared" si="241"/>
        <v>1.5586954420159871</v>
      </c>
      <c r="E595" s="338">
        <f t="shared" si="242"/>
        <v>1.1129308714857897</v>
      </c>
      <c r="F595" s="339">
        <f t="shared" si="243"/>
        <v>0.45439120478708389</v>
      </c>
      <c r="G595" s="338">
        <f t="shared" si="244"/>
        <v>1</v>
      </c>
      <c r="H595" s="339">
        <f t="shared" si="245"/>
        <v>0</v>
      </c>
      <c r="I595" s="337">
        <f t="shared" si="246"/>
        <v>252932.63182578443</v>
      </c>
      <c r="J595" s="340">
        <f t="shared" si="247"/>
        <v>1.5707923731729667</v>
      </c>
      <c r="K595" s="348">
        <f t="shared" si="237"/>
        <v>71.124331250081752</v>
      </c>
      <c r="L595" s="349">
        <f t="shared" si="238"/>
        <v>1.5567359773745553</v>
      </c>
      <c r="M595" s="337">
        <f t="shared" si="248"/>
        <v>2.1509442151060436</v>
      </c>
      <c r="N595" s="340">
        <f t="shared" si="249"/>
        <v>1.0872609959808903</v>
      </c>
      <c r="O595" s="341">
        <f t="shared" si="250"/>
        <v>3.3829219930176797</v>
      </c>
      <c r="P595" s="342">
        <f t="shared" si="251"/>
        <v>2.2036300829365372</v>
      </c>
      <c r="Q595" s="343">
        <f t="shared" si="252"/>
        <v>-31.831261940254286</v>
      </c>
      <c r="R595" s="344">
        <f t="shared" si="253"/>
        <v>-252.63151419394032</v>
      </c>
      <c r="S595" s="346">
        <f t="shared" si="254"/>
        <v>-72.631514193940319</v>
      </c>
      <c r="U595" s="319">
        <f t="shared" si="260"/>
        <v>190550</v>
      </c>
      <c r="V595" s="319">
        <f t="shared" si="261"/>
        <v>36309302500</v>
      </c>
      <c r="X595" s="345">
        <f t="shared" si="255"/>
        <v>20.034908118395542</v>
      </c>
      <c r="Y595" s="346">
        <f t="shared" si="256"/>
        <v>-63.100838525412989</v>
      </c>
      <c r="AA595" s="345">
        <f t="shared" si="257"/>
        <v>11.742951230512803</v>
      </c>
      <c r="AB595" s="346">
        <f t="shared" si="258"/>
        <v>-189.53067566852729</v>
      </c>
      <c r="AD595">
        <f t="shared" si="262"/>
        <v>0</v>
      </c>
      <c r="AE595">
        <f t="shared" si="239"/>
        <v>0</v>
      </c>
    </row>
    <row r="596" spans="1:31" x14ac:dyDescent="0.25">
      <c r="A596" s="347">
        <v>208930</v>
      </c>
      <c r="B596" s="364">
        <f t="shared" si="259"/>
        <v>208.93</v>
      </c>
      <c r="C596" s="337">
        <f t="shared" si="240"/>
        <v>90.610802397161066</v>
      </c>
      <c r="D596" s="338">
        <f t="shared" si="241"/>
        <v>1.5597598910243471</v>
      </c>
      <c r="E596" s="338">
        <f t="shared" si="242"/>
        <v>1.134401918441412</v>
      </c>
      <c r="F596" s="339">
        <f t="shared" si="243"/>
        <v>0.49172062673159689</v>
      </c>
      <c r="G596" s="338">
        <f t="shared" si="244"/>
        <v>1</v>
      </c>
      <c r="H596" s="339">
        <f t="shared" si="245"/>
        <v>0</v>
      </c>
      <c r="I596" s="337">
        <f t="shared" si="246"/>
        <v>277329.91218730871</v>
      </c>
      <c r="J596" s="340">
        <f t="shared" si="247"/>
        <v>1.5707927209811849</v>
      </c>
      <c r="K596" s="348">
        <f t="shared" si="237"/>
        <v>77.983518615680083</v>
      </c>
      <c r="L596" s="349">
        <f t="shared" si="238"/>
        <v>1.5579727529729059</v>
      </c>
      <c r="M596" s="337">
        <f t="shared" si="248"/>
        <v>2.3151504730962644</v>
      </c>
      <c r="N596" s="340">
        <f t="shared" si="249"/>
        <v>1.1241565652439582</v>
      </c>
      <c r="O596" s="341">
        <f t="shared" si="250"/>
        <v>3.9680349901910672</v>
      </c>
      <c r="P596" s="342">
        <f t="shared" si="251"/>
        <v>2.2878237784676565</v>
      </c>
      <c r="Q596" s="343">
        <f t="shared" si="252"/>
        <v>-34.489832865623306</v>
      </c>
      <c r="R596" s="344">
        <f t="shared" si="253"/>
        <v>-257.42074602901675</v>
      </c>
      <c r="S596" s="346">
        <f t="shared" si="254"/>
        <v>-77.420746029016755</v>
      </c>
      <c r="U596" s="319">
        <f t="shared" si="260"/>
        <v>208930</v>
      </c>
      <c r="V596" s="319">
        <f t="shared" si="261"/>
        <v>43651744900</v>
      </c>
      <c r="X596" s="345">
        <f t="shared" si="255"/>
        <v>19.395762186545479</v>
      </c>
      <c r="Y596" s="346">
        <f t="shared" si="256"/>
        <v>-65.143956835206723</v>
      </c>
      <c r="AA596" s="345">
        <f t="shared" si="257"/>
        <v>9.7235262369938429</v>
      </c>
      <c r="AB596" s="346">
        <f t="shared" si="258"/>
        <v>-192.27678919381006</v>
      </c>
      <c r="AD596">
        <f t="shared" si="262"/>
        <v>0</v>
      </c>
      <c r="AE596">
        <f t="shared" si="239"/>
        <v>0</v>
      </c>
    </row>
    <row r="597" spans="1:31" x14ac:dyDescent="0.25">
      <c r="A597" s="347">
        <v>229090</v>
      </c>
      <c r="B597" s="364">
        <f t="shared" si="259"/>
        <v>229.09</v>
      </c>
      <c r="C597" s="337">
        <f t="shared" si="240"/>
        <v>99.352969988261933</v>
      </c>
      <c r="D597" s="338">
        <f t="shared" si="241"/>
        <v>1.5607310324675836</v>
      </c>
      <c r="E597" s="338">
        <f t="shared" si="242"/>
        <v>1.1596979394065876</v>
      </c>
      <c r="F597" s="339">
        <f t="shared" si="243"/>
        <v>0.53101501106900861</v>
      </c>
      <c r="G597" s="338">
        <f t="shared" si="244"/>
        <v>1</v>
      </c>
      <c r="H597" s="339">
        <f t="shared" si="245"/>
        <v>0</v>
      </c>
      <c r="I597" s="337">
        <f t="shared" si="246"/>
        <v>304089.93243153713</v>
      </c>
      <c r="J597" s="340">
        <f t="shared" si="247"/>
        <v>1.5707930382940509</v>
      </c>
      <c r="K597" s="348">
        <f t="shared" si="237"/>
        <v>85.507093938400999</v>
      </c>
      <c r="L597" s="349">
        <f t="shared" si="238"/>
        <v>1.5591011240860011</v>
      </c>
      <c r="M597" s="337">
        <f t="shared" si="248"/>
        <v>2.4983809613768009</v>
      </c>
      <c r="N597" s="340">
        <f t="shared" si="249"/>
        <v>1.1589966375497933</v>
      </c>
      <c r="O597" s="341">
        <f t="shared" si="250"/>
        <v>4.6790562913240912</v>
      </c>
      <c r="P597" s="342">
        <f t="shared" si="251"/>
        <v>2.3649318761747944</v>
      </c>
      <c r="Q597" s="343">
        <f t="shared" si="252"/>
        <v>-37.191656225994961</v>
      </c>
      <c r="R597" s="344">
        <f t="shared" si="253"/>
        <v>-261.57451090281171</v>
      </c>
      <c r="S597" s="346">
        <f t="shared" si="254"/>
        <v>-81.57451090281171</v>
      </c>
      <c r="U597" s="319">
        <f t="shared" si="260"/>
        <v>229090</v>
      </c>
      <c r="V597" s="319">
        <f t="shared" si="261"/>
        <v>52482228100</v>
      </c>
      <c r="X597" s="345">
        <f t="shared" si="255"/>
        <v>18.73405325693663</v>
      </c>
      <c r="Y597" s="346">
        <f t="shared" si="256"/>
        <v>-67.075513216651984</v>
      </c>
      <c r="AA597" s="345">
        <f t="shared" si="257"/>
        <v>7.6834118062310424</v>
      </c>
      <c r="AB597" s="346">
        <f t="shared" si="258"/>
        <v>-194.49899768615973</v>
      </c>
      <c r="AD597">
        <f t="shared" si="262"/>
        <v>0</v>
      </c>
      <c r="AE597">
        <f t="shared" si="239"/>
        <v>0</v>
      </c>
    </row>
    <row r="598" spans="1:31" x14ac:dyDescent="0.25">
      <c r="A598" s="347">
        <v>251190</v>
      </c>
      <c r="B598" s="364">
        <f t="shared" si="259"/>
        <v>251.19</v>
      </c>
      <c r="C598" s="337">
        <f t="shared" si="240"/>
        <v>108.93648730382759</v>
      </c>
      <c r="D598" s="338">
        <f t="shared" si="241"/>
        <v>1.5616165370876562</v>
      </c>
      <c r="E598" s="338">
        <f t="shared" si="242"/>
        <v>1.1893918381050035</v>
      </c>
      <c r="F598" s="339">
        <f t="shared" si="243"/>
        <v>0.57210013986018171</v>
      </c>
      <c r="G598" s="338">
        <f t="shared" si="244"/>
        <v>1</v>
      </c>
      <c r="H598" s="339">
        <f t="shared" si="245"/>
        <v>0</v>
      </c>
      <c r="I598" s="337">
        <f t="shared" si="246"/>
        <v>333425.07367151923</v>
      </c>
      <c r="J598" s="340">
        <f t="shared" si="247"/>
        <v>1.5707933276203325</v>
      </c>
      <c r="K598" s="348">
        <f t="shared" si="237"/>
        <v>93.754768154897107</v>
      </c>
      <c r="L598" s="349">
        <f t="shared" si="238"/>
        <v>1.5601300003596077</v>
      </c>
      <c r="M598" s="337">
        <f t="shared" si="248"/>
        <v>2.7022303720122185</v>
      </c>
      <c r="N598" s="340">
        <f t="shared" si="249"/>
        <v>1.1917176913949077</v>
      </c>
      <c r="O598" s="341">
        <f t="shared" si="250"/>
        <v>5.5401637339376641</v>
      </c>
      <c r="P598" s="342">
        <f t="shared" si="251"/>
        <v>2.4352364733379108</v>
      </c>
      <c r="Q598" s="343">
        <f t="shared" si="252"/>
        <v>-39.920565827027893</v>
      </c>
      <c r="R598" s="344">
        <f t="shared" si="253"/>
        <v>-265.11524339725679</v>
      </c>
      <c r="S598" s="346">
        <f t="shared" si="254"/>
        <v>-85.115243397256791</v>
      </c>
      <c r="U598" s="319">
        <f t="shared" si="260"/>
        <v>251190</v>
      </c>
      <c r="V598" s="319">
        <f t="shared" si="261"/>
        <v>63096416100</v>
      </c>
      <c r="X598" s="345">
        <f t="shared" si="255"/>
        <v>18.052679148975837</v>
      </c>
      <c r="Y598" s="346">
        <f t="shared" si="256"/>
        <v>-68.891357814328273</v>
      </c>
      <c r="AA598" s="345">
        <f t="shared" si="257"/>
        <v>5.6358763131588958</v>
      </c>
      <c r="AB598" s="346">
        <f t="shared" si="258"/>
        <v>-196.22388558292852</v>
      </c>
      <c r="AD598">
        <f t="shared" si="262"/>
        <v>0</v>
      </c>
      <c r="AE598">
        <f t="shared" si="239"/>
        <v>0</v>
      </c>
    </row>
    <row r="599" spans="1:31" x14ac:dyDescent="0.25">
      <c r="A599" s="347">
        <v>275420</v>
      </c>
      <c r="B599" s="364">
        <f t="shared" si="259"/>
        <v>275.42</v>
      </c>
      <c r="C599" s="337">
        <f t="shared" si="240"/>
        <v>119.44374653885728</v>
      </c>
      <c r="D599" s="338">
        <f t="shared" si="241"/>
        <v>1.5624240870462887</v>
      </c>
      <c r="E599" s="338">
        <f t="shared" si="242"/>
        <v>1.2241350871719439</v>
      </c>
      <c r="F599" s="339">
        <f t="shared" si="243"/>
        <v>0.61477488842905548</v>
      </c>
      <c r="G599" s="338">
        <f t="shared" si="244"/>
        <v>1</v>
      </c>
      <c r="H599" s="339">
        <f t="shared" si="245"/>
        <v>0</v>
      </c>
      <c r="I599" s="337">
        <f t="shared" si="246"/>
        <v>365587.53847900132</v>
      </c>
      <c r="J599" s="340">
        <f t="shared" si="247"/>
        <v>1.5707935914719036</v>
      </c>
      <c r="K599" s="348">
        <f t="shared" ref="K599:K613" si="263">SQRT(1+(A599/Zero2)^2)</f>
        <v>102.79744883137703</v>
      </c>
      <c r="L599" s="349">
        <f t="shared" ref="L599:L613" si="264">ATAN(A599/Zero2)</f>
        <v>1.5610683054875365</v>
      </c>
      <c r="M599" s="337">
        <f t="shared" si="248"/>
        <v>2.9285644237374227</v>
      </c>
      <c r="N599" s="340">
        <f t="shared" si="249"/>
        <v>1.2223220018889187</v>
      </c>
      <c r="O599" s="341">
        <f t="shared" si="250"/>
        <v>6.5809679070851459</v>
      </c>
      <c r="P599" s="342">
        <f t="shared" si="251"/>
        <v>2.4991892391164994</v>
      </c>
      <c r="Q599" s="343">
        <f t="shared" si="252"/>
        <v>-42.664353775638403</v>
      </c>
      <c r="R599" s="344">
        <f t="shared" si="253"/>
        <v>-268.08040520761438</v>
      </c>
      <c r="S599" s="346">
        <f t="shared" si="254"/>
        <v>-88.080405207614376</v>
      </c>
      <c r="U599" s="319">
        <f t="shared" si="260"/>
        <v>275420</v>
      </c>
      <c r="V599" s="319">
        <f t="shared" si="261"/>
        <v>75856176400</v>
      </c>
      <c r="X599" s="345">
        <f t="shared" si="255"/>
        <v>17.353947813375033</v>
      </c>
      <c r="Y599" s="346">
        <f t="shared" si="256"/>
        <v>-70.591109836340934</v>
      </c>
      <c r="AA599" s="345">
        <f t="shared" si="257"/>
        <v>3.5908197001491953</v>
      </c>
      <c r="AB599" s="346">
        <f t="shared" si="258"/>
        <v>-197.48929537127347</v>
      </c>
      <c r="AD599">
        <f t="shared" si="262"/>
        <v>0</v>
      </c>
      <c r="AE599">
        <f t="shared" si="239"/>
        <v>0</v>
      </c>
    </row>
    <row r="600" spans="1:31" x14ac:dyDescent="0.25">
      <c r="A600" s="347">
        <v>302000</v>
      </c>
      <c r="B600" s="364">
        <f t="shared" si="259"/>
        <v>302</v>
      </c>
      <c r="C600" s="337">
        <f t="shared" si="240"/>
        <v>130.97015000884446</v>
      </c>
      <c r="D600" s="338">
        <f t="shared" si="241"/>
        <v>1.5631609250139671</v>
      </c>
      <c r="E600" s="338">
        <f t="shared" si="242"/>
        <v>1.2646614351949867</v>
      </c>
      <c r="F600" s="339">
        <f t="shared" si="243"/>
        <v>0.65880316720266752</v>
      </c>
      <c r="G600" s="338">
        <f t="shared" si="244"/>
        <v>1</v>
      </c>
      <c r="H600" s="339">
        <f t="shared" si="245"/>
        <v>0</v>
      </c>
      <c r="I600" s="337">
        <f t="shared" si="246"/>
        <v>400869.35088442703</v>
      </c>
      <c r="J600" s="340">
        <f t="shared" si="247"/>
        <v>1.5707938322165564</v>
      </c>
      <c r="K600" s="348">
        <f t="shared" si="263"/>
        <v>112.71724042557577</v>
      </c>
      <c r="L600" s="349">
        <f t="shared" si="264"/>
        <v>1.5619244531161063</v>
      </c>
      <c r="M600" s="337">
        <f t="shared" si="248"/>
        <v>3.1795322113868973</v>
      </c>
      <c r="N600" s="340">
        <f t="shared" si="249"/>
        <v>1.2508541476128352</v>
      </c>
      <c r="O600" s="341">
        <f t="shared" si="250"/>
        <v>7.8377397797576087</v>
      </c>
      <c r="P600" s="342">
        <f t="shared" si="251"/>
        <v>2.5573098358982942</v>
      </c>
      <c r="Q600" s="343">
        <f t="shared" si="252"/>
        <v>-45.413892794838333</v>
      </c>
      <c r="R600" s="344">
        <f t="shared" si="253"/>
        <v>-270.51578493988336</v>
      </c>
      <c r="S600" s="346">
        <f t="shared" si="254"/>
        <v>-90.51578493988336</v>
      </c>
      <c r="U600" s="319">
        <f t="shared" si="260"/>
        <v>302000</v>
      </c>
      <c r="V600" s="319">
        <f t="shared" si="261"/>
        <v>91204000000</v>
      </c>
      <c r="X600" s="345">
        <f t="shared" si="255"/>
        <v>16.639709715944257</v>
      </c>
      <c r="Y600" s="346">
        <f t="shared" si="256"/>
        <v>-72.17684151648092</v>
      </c>
      <c r="AA600" s="345">
        <f t="shared" si="257"/>
        <v>1.555518778380041</v>
      </c>
      <c r="AB600" s="346">
        <f t="shared" si="258"/>
        <v>-198.33894342340238</v>
      </c>
      <c r="AD600">
        <f t="shared" si="262"/>
        <v>0</v>
      </c>
      <c r="AE600">
        <f t="shared" si="239"/>
        <v>0</v>
      </c>
    </row>
    <row r="601" spans="1:31" x14ac:dyDescent="0.25">
      <c r="A601" s="347">
        <v>331130</v>
      </c>
      <c r="B601" s="364">
        <f t="shared" si="259"/>
        <v>331.13</v>
      </c>
      <c r="C601" s="337">
        <f t="shared" si="240"/>
        <v>143.60242760925942</v>
      </c>
      <c r="D601" s="338">
        <f t="shared" si="241"/>
        <v>1.5638325999349625</v>
      </c>
      <c r="E601" s="338">
        <f t="shared" si="242"/>
        <v>1.3117055938914173</v>
      </c>
      <c r="F601" s="339">
        <f t="shared" si="243"/>
        <v>0.70383469269205168</v>
      </c>
      <c r="G601" s="338">
        <f t="shared" si="244"/>
        <v>1</v>
      </c>
      <c r="H601" s="339">
        <f t="shared" si="245"/>
        <v>0</v>
      </c>
      <c r="I601" s="337">
        <f t="shared" si="246"/>
        <v>439535.98727910878</v>
      </c>
      <c r="J601" s="340">
        <f t="shared" si="247"/>
        <v>1.5707940516683336</v>
      </c>
      <c r="K601" s="348">
        <f t="shared" si="263"/>
        <v>123.58878395509321</v>
      </c>
      <c r="L601" s="349">
        <f t="shared" si="264"/>
        <v>1.5627048893685038</v>
      </c>
      <c r="M601" s="337">
        <f t="shared" si="248"/>
        <v>3.4570961006550043</v>
      </c>
      <c r="N601" s="340">
        <f t="shared" si="249"/>
        <v>1.2773425113593497</v>
      </c>
      <c r="O601" s="341">
        <f t="shared" si="250"/>
        <v>9.3521292936672502</v>
      </c>
      <c r="P601" s="342">
        <f t="shared" si="251"/>
        <v>2.6100418971172723</v>
      </c>
      <c r="Q601" s="343">
        <f t="shared" si="252"/>
        <v>-48.157855222803299</v>
      </c>
      <c r="R601" s="344">
        <f t="shared" si="253"/>
        <v>-272.46844559668966</v>
      </c>
      <c r="S601" s="346">
        <f t="shared" si="254"/>
        <v>-92.468445596689662</v>
      </c>
      <c r="U601" s="319">
        <f t="shared" si="260"/>
        <v>331130</v>
      </c>
      <c r="V601" s="319">
        <f t="shared" si="261"/>
        <v>109647076900</v>
      </c>
      <c r="X601" s="345">
        <f t="shared" si="255"/>
        <v>15.912687756297553</v>
      </c>
      <c r="Y601" s="346">
        <f t="shared" si="256"/>
        <v>-73.64980983726592</v>
      </c>
      <c r="AA601" s="345">
        <f t="shared" si="257"/>
        <v>-0.4614216899382218</v>
      </c>
      <c r="AB601" s="346">
        <f t="shared" si="258"/>
        <v>-198.81863575942376</v>
      </c>
      <c r="AD601">
        <f t="shared" si="262"/>
        <v>0</v>
      </c>
      <c r="AE601">
        <f t="shared" si="239"/>
        <v>0</v>
      </c>
    </row>
    <row r="602" spans="1:31" x14ac:dyDescent="0.25">
      <c r="A602" s="347">
        <v>363080</v>
      </c>
      <c r="B602" s="364">
        <f t="shared" si="259"/>
        <v>363.08</v>
      </c>
      <c r="C602" s="337">
        <f t="shared" si="240"/>
        <v>157.45766531534616</v>
      </c>
      <c r="D602" s="338">
        <f t="shared" si="241"/>
        <v>1.5644453706793624</v>
      </c>
      <c r="E602" s="338">
        <f t="shared" si="242"/>
        <v>1.366137883333115</v>
      </c>
      <c r="F602" s="339">
        <f t="shared" si="243"/>
        <v>0.74955733481551567</v>
      </c>
      <c r="G602" s="338">
        <f t="shared" si="244"/>
        <v>1</v>
      </c>
      <c r="H602" s="339">
        <f t="shared" si="245"/>
        <v>0</v>
      </c>
      <c r="I602" s="337">
        <f t="shared" si="246"/>
        <v>481945.84079131857</v>
      </c>
      <c r="J602" s="340">
        <f t="shared" si="247"/>
        <v>1.5707942518729545</v>
      </c>
      <c r="K602" s="348">
        <f t="shared" si="263"/>
        <v>135.5128455095527</v>
      </c>
      <c r="L602" s="349">
        <f t="shared" si="264"/>
        <v>1.5634168855889883</v>
      </c>
      <c r="M602" s="337">
        <f t="shared" si="248"/>
        <v>3.7638870062840284</v>
      </c>
      <c r="N602" s="340">
        <f t="shared" si="249"/>
        <v>1.3018842298871081</v>
      </c>
      <c r="O602" s="341">
        <f t="shared" si="250"/>
        <v>11.176904815680215</v>
      </c>
      <c r="P602" s="342">
        <f t="shared" si="251"/>
        <v>2.6579132758944852</v>
      </c>
      <c r="Q602" s="343">
        <f t="shared" si="252"/>
        <v>-50.891503803016576</v>
      </c>
      <c r="R602" s="344">
        <f t="shared" si="253"/>
        <v>-273.99202230349408</v>
      </c>
      <c r="S602" s="346">
        <f t="shared" si="254"/>
        <v>-93.992022303494082</v>
      </c>
      <c r="U602" s="319">
        <f t="shared" si="260"/>
        <v>363080</v>
      </c>
      <c r="V602" s="319">
        <f t="shared" si="261"/>
        <v>131827086400</v>
      </c>
      <c r="X602" s="345">
        <f t="shared" si="255"/>
        <v>15.174137417827659</v>
      </c>
      <c r="Y602" s="346">
        <f t="shared" si="256"/>
        <v>-75.015163824881412</v>
      </c>
      <c r="AA602" s="345">
        <f t="shared" si="257"/>
        <v>-2.4565199316816124</v>
      </c>
      <c r="AB602" s="346">
        <f t="shared" si="258"/>
        <v>-198.97685847861266</v>
      </c>
      <c r="AD602">
        <f t="shared" si="262"/>
        <v>0</v>
      </c>
      <c r="AE602">
        <f t="shared" ref="AE602:AE613" si="265">IF(AD602&gt;0,S602,0)</f>
        <v>0</v>
      </c>
    </row>
    <row r="603" spans="1:31" x14ac:dyDescent="0.25">
      <c r="A603" s="347">
        <v>398110</v>
      </c>
      <c r="B603" s="364">
        <f t="shared" si="259"/>
        <v>398.11</v>
      </c>
      <c r="C603" s="337">
        <f t="shared" si="240"/>
        <v>172.64861312547131</v>
      </c>
      <c r="D603" s="338">
        <f t="shared" si="241"/>
        <v>1.5650041830098584</v>
      </c>
      <c r="E603" s="338">
        <f t="shared" si="242"/>
        <v>1.4288333205885906</v>
      </c>
      <c r="F603" s="339">
        <f t="shared" si="243"/>
        <v>0.79557847529839298</v>
      </c>
      <c r="G603" s="338">
        <f t="shared" si="244"/>
        <v>1</v>
      </c>
      <c r="H603" s="339">
        <f t="shared" si="245"/>
        <v>0</v>
      </c>
      <c r="I603" s="337">
        <f t="shared" si="246"/>
        <v>528444.03072976309</v>
      </c>
      <c r="J603" s="340">
        <f t="shared" si="247"/>
        <v>1.5707944344469054</v>
      </c>
      <c r="K603" s="348">
        <f t="shared" si="263"/>
        <v>148.5864597293849</v>
      </c>
      <c r="L603" s="349">
        <f t="shared" si="264"/>
        <v>1.5640661876490418</v>
      </c>
      <c r="M603" s="337">
        <f t="shared" si="248"/>
        <v>4.1024486991640092</v>
      </c>
      <c r="N603" s="340">
        <f t="shared" si="249"/>
        <v>1.3245586483297334</v>
      </c>
      <c r="O603" s="341">
        <f t="shared" si="250"/>
        <v>13.373622730027046</v>
      </c>
      <c r="P603" s="342">
        <f t="shared" si="251"/>
        <v>2.7013591629285965</v>
      </c>
      <c r="Q603" s="343">
        <f t="shared" si="252"/>
        <v>-53.608470557841557</v>
      </c>
      <c r="R603" s="344">
        <f t="shared" si="253"/>
        <v>-275.13844541181317</v>
      </c>
      <c r="S603" s="346">
        <f t="shared" si="254"/>
        <v>-95.138445411813166</v>
      </c>
      <c r="U603" s="319">
        <f t="shared" si="260"/>
        <v>398110</v>
      </c>
      <c r="V603" s="319">
        <f t="shared" si="261"/>
        <v>158491572100</v>
      </c>
      <c r="X603" s="345">
        <f t="shared" si="255"/>
        <v>14.425965995460896</v>
      </c>
      <c r="Y603" s="346">
        <f t="shared" si="256"/>
        <v>-76.277120499046063</v>
      </c>
      <c r="AA603" s="345">
        <f t="shared" si="257"/>
        <v>-4.4253152641398232</v>
      </c>
      <c r="AB603" s="346">
        <f t="shared" si="258"/>
        <v>-198.86132491276712</v>
      </c>
      <c r="AD603">
        <f t="shared" si="262"/>
        <v>0</v>
      </c>
      <c r="AE603">
        <f t="shared" si="265"/>
        <v>0</v>
      </c>
    </row>
    <row r="604" spans="1:31" x14ac:dyDescent="0.25">
      <c r="A604" s="347">
        <v>436520</v>
      </c>
      <c r="B604" s="364">
        <f t="shared" si="259"/>
        <v>436.52</v>
      </c>
      <c r="C604" s="337">
        <f t="shared" si="240"/>
        <v>189.30536764756877</v>
      </c>
      <c r="D604" s="338">
        <f t="shared" si="241"/>
        <v>1.5655138318332691</v>
      </c>
      <c r="E604" s="338">
        <f t="shared" si="242"/>
        <v>1.5007472328545364</v>
      </c>
      <c r="F604" s="339">
        <f t="shared" si="243"/>
        <v>0.84151392366182409</v>
      </c>
      <c r="G604" s="338">
        <f t="shared" si="244"/>
        <v>1</v>
      </c>
      <c r="H604" s="339">
        <f t="shared" si="245"/>
        <v>0</v>
      </c>
      <c r="I604" s="337">
        <f t="shared" si="246"/>
        <v>579428.77168141131</v>
      </c>
      <c r="J604" s="340">
        <f t="shared" si="247"/>
        <v>1.5707946009572287</v>
      </c>
      <c r="K604" s="348">
        <f t="shared" si="263"/>
        <v>162.92159019093307</v>
      </c>
      <c r="L604" s="349">
        <f t="shared" si="264"/>
        <v>1.5646583663321441</v>
      </c>
      <c r="M604" s="337">
        <f t="shared" si="248"/>
        <v>4.4757168681877477</v>
      </c>
      <c r="N604" s="340">
        <f t="shared" si="249"/>
        <v>1.345466467032451</v>
      </c>
      <c r="O604" s="341">
        <f t="shared" si="250"/>
        <v>16.01722057289382</v>
      </c>
      <c r="P604" s="342">
        <f t="shared" si="251"/>
        <v>2.7408034532450012</v>
      </c>
      <c r="Q604" s="343">
        <f t="shared" si="252"/>
        <v>-56.305131406414716</v>
      </c>
      <c r="R604" s="344">
        <f t="shared" si="253"/>
        <v>-275.95974015068964</v>
      </c>
      <c r="S604" s="346">
        <f t="shared" si="254"/>
        <v>-95.95974015068964</v>
      </c>
      <c r="U604" s="319">
        <f t="shared" si="260"/>
        <v>436520</v>
      </c>
      <c r="V604" s="319">
        <f t="shared" si="261"/>
        <v>190549710400</v>
      </c>
      <c r="X604" s="345">
        <f t="shared" si="255"/>
        <v>13.669543970491659</v>
      </c>
      <c r="Y604" s="346">
        <f t="shared" si="256"/>
        <v>-77.441130471945939</v>
      </c>
      <c r="AA604" s="345">
        <f t="shared" si="257"/>
        <v>-6.365554087743746</v>
      </c>
      <c r="AB604" s="346">
        <f t="shared" si="258"/>
        <v>-198.51860967874373</v>
      </c>
      <c r="AD604">
        <f t="shared" si="262"/>
        <v>0</v>
      </c>
      <c r="AE604">
        <f t="shared" si="265"/>
        <v>0</v>
      </c>
    </row>
    <row r="605" spans="1:31" x14ac:dyDescent="0.25">
      <c r="A605" s="347">
        <v>478630</v>
      </c>
      <c r="B605" s="364">
        <f t="shared" si="259"/>
        <v>478.63</v>
      </c>
      <c r="C605" s="337">
        <f t="shared" si="240"/>
        <v>207.56669902285532</v>
      </c>
      <c r="D605" s="338">
        <f t="shared" si="241"/>
        <v>1.5659785796651016</v>
      </c>
      <c r="E605" s="338">
        <f t="shared" si="242"/>
        <v>1.5828761795404516</v>
      </c>
      <c r="F605" s="339">
        <f t="shared" si="243"/>
        <v>0.88697297495670024</v>
      </c>
      <c r="G605" s="338">
        <f t="shared" si="244"/>
        <v>1</v>
      </c>
      <c r="H605" s="339">
        <f t="shared" si="245"/>
        <v>0</v>
      </c>
      <c r="I605" s="337">
        <f t="shared" si="246"/>
        <v>635324.82587236422</v>
      </c>
      <c r="J605" s="340">
        <f t="shared" si="247"/>
        <v>1.5707947527969048</v>
      </c>
      <c r="K605" s="348">
        <f t="shared" si="263"/>
        <v>178.63766520397928</v>
      </c>
      <c r="L605" s="349">
        <f t="shared" si="264"/>
        <v>1.5651983739683009</v>
      </c>
      <c r="M605" s="337">
        <f t="shared" si="248"/>
        <v>4.8868293235572171</v>
      </c>
      <c r="N605" s="340">
        <f t="shared" si="249"/>
        <v>1.3647089365659224</v>
      </c>
      <c r="O605" s="341">
        <f t="shared" si="250"/>
        <v>19.197209039451192</v>
      </c>
      <c r="P605" s="342">
        <f t="shared" si="251"/>
        <v>2.7766238997063484</v>
      </c>
      <c r="Q605" s="343">
        <f t="shared" si="252"/>
        <v>-58.978576161551793</v>
      </c>
      <c r="R605" s="344">
        <f t="shared" si="253"/>
        <v>-276.50569769625281</v>
      </c>
      <c r="S605" s="346">
        <f t="shared" si="254"/>
        <v>-96.50569769625281</v>
      </c>
      <c r="U605" s="319">
        <f t="shared" si="260"/>
        <v>478630</v>
      </c>
      <c r="V605" s="319">
        <f t="shared" si="261"/>
        <v>229086676900</v>
      </c>
      <c r="X605" s="345">
        <f t="shared" si="255"/>
        <v>12.906225131736036</v>
      </c>
      <c r="Y605" s="346">
        <f t="shared" si="256"/>
        <v>-78.512711306163354</v>
      </c>
      <c r="AA605" s="345">
        <f t="shared" si="257"/>
        <v>-8.2756800041251992</v>
      </c>
      <c r="AB605" s="346">
        <f t="shared" si="258"/>
        <v>-197.99298639008941</v>
      </c>
      <c r="AD605">
        <f t="shared" si="262"/>
        <v>0</v>
      </c>
      <c r="AE605">
        <f t="shared" si="265"/>
        <v>0</v>
      </c>
    </row>
    <row r="606" spans="1:31" x14ac:dyDescent="0.25">
      <c r="A606" s="347">
        <v>524810</v>
      </c>
      <c r="B606" s="364">
        <f t="shared" si="259"/>
        <v>524.80999999999995</v>
      </c>
      <c r="C606" s="337">
        <f t="shared" si="240"/>
        <v>227.5930606519</v>
      </c>
      <c r="D606" s="338">
        <f t="shared" si="241"/>
        <v>1.566402505582801</v>
      </c>
      <c r="E606" s="338">
        <f t="shared" si="242"/>
        <v>1.6763125353590729</v>
      </c>
      <c r="F606" s="339">
        <f t="shared" si="243"/>
        <v>0.93160393337382996</v>
      </c>
      <c r="G606" s="338">
        <f t="shared" si="244"/>
        <v>1</v>
      </c>
      <c r="H606" s="339">
        <f t="shared" si="245"/>
        <v>0</v>
      </c>
      <c r="I606" s="337">
        <f t="shared" si="246"/>
        <v>696623.32462655066</v>
      </c>
      <c r="J606" s="340">
        <f t="shared" si="247"/>
        <v>1.5707948912988909</v>
      </c>
      <c r="K606" s="348">
        <f t="shared" si="263"/>
        <v>195.87277424521724</v>
      </c>
      <c r="L606" s="349">
        <f t="shared" si="264"/>
        <v>1.5656909498581975</v>
      </c>
      <c r="M606" s="337">
        <f t="shared" si="248"/>
        <v>5.3394204395413762</v>
      </c>
      <c r="N606" s="340">
        <f t="shared" si="249"/>
        <v>1.3823975514574678</v>
      </c>
      <c r="O606" s="341">
        <f t="shared" si="250"/>
        <v>23.022781382855879</v>
      </c>
      <c r="P606" s="342">
        <f t="shared" si="251"/>
        <v>2.8091770201297517</v>
      </c>
      <c r="Q606" s="343">
        <f t="shared" si="252"/>
        <v>-61.628197707574877</v>
      </c>
      <c r="R606" s="344">
        <f t="shared" si="253"/>
        <v>-276.82324611455886</v>
      </c>
      <c r="S606" s="346">
        <f t="shared" si="254"/>
        <v>-96.823246114558856</v>
      </c>
      <c r="U606" s="319">
        <f t="shared" si="260"/>
        <v>524810</v>
      </c>
      <c r="V606" s="319">
        <f t="shared" si="261"/>
        <v>275425536100</v>
      </c>
      <c r="X606" s="345">
        <f t="shared" si="255"/>
        <v>12.136863265695778</v>
      </c>
      <c r="Y606" s="346">
        <f t="shared" si="256"/>
        <v>-79.497979702005281</v>
      </c>
      <c r="AA606" s="345">
        <f t="shared" si="257"/>
        <v>-10.155939684108031</v>
      </c>
      <c r="AB606" s="346">
        <f t="shared" si="258"/>
        <v>-197.32526641255353</v>
      </c>
      <c r="AD606">
        <f t="shared" si="262"/>
        <v>0</v>
      </c>
      <c r="AE606">
        <f t="shared" si="265"/>
        <v>0</v>
      </c>
    </row>
    <row r="607" spans="1:31" x14ac:dyDescent="0.25">
      <c r="A607" s="347">
        <v>575440</v>
      </c>
      <c r="B607" s="364">
        <f t="shared" si="259"/>
        <v>575.44000000000005</v>
      </c>
      <c r="C607" s="337">
        <f t="shared" si="240"/>
        <v>249.54924286768707</v>
      </c>
      <c r="D607" s="338">
        <f t="shared" si="241"/>
        <v>1.5667890909289941</v>
      </c>
      <c r="E607" s="338">
        <f t="shared" si="242"/>
        <v>1.7821634469426642</v>
      </c>
      <c r="F607" s="339">
        <f t="shared" si="243"/>
        <v>0.97506317580416402</v>
      </c>
      <c r="G607" s="338">
        <f t="shared" si="244"/>
        <v>1</v>
      </c>
      <c r="H607" s="339">
        <f t="shared" si="245"/>
        <v>0</v>
      </c>
      <c r="I607" s="337">
        <f t="shared" si="246"/>
        <v>763828.67308746569</v>
      </c>
      <c r="J607" s="340">
        <f t="shared" si="247"/>
        <v>1.5707950176007863</v>
      </c>
      <c r="K607" s="348">
        <f t="shared" si="263"/>
        <v>214.76873935067536</v>
      </c>
      <c r="L607" s="349">
        <f t="shared" si="264"/>
        <v>1.5661401388581411</v>
      </c>
      <c r="M607" s="337">
        <f t="shared" si="248"/>
        <v>5.8372316307566532</v>
      </c>
      <c r="N607" s="340">
        <f t="shared" si="249"/>
        <v>1.3986330078426479</v>
      </c>
      <c r="O607" s="341">
        <f t="shared" si="250"/>
        <v>27.623142133299773</v>
      </c>
      <c r="P607" s="342">
        <f t="shared" si="251"/>
        <v>2.8387658356942627</v>
      </c>
      <c r="Q607" s="343">
        <f t="shared" si="252"/>
        <v>-64.252872693296638</v>
      </c>
      <c r="R607" s="344">
        <f t="shared" si="253"/>
        <v>-276.95517263601607</v>
      </c>
      <c r="S607" s="346">
        <f t="shared" si="254"/>
        <v>-96.955172636016073</v>
      </c>
      <c r="U607" s="319">
        <f t="shared" si="260"/>
        <v>575440</v>
      </c>
      <c r="V607" s="319">
        <f t="shared" si="261"/>
        <v>331131193600</v>
      </c>
      <c r="X607" s="345">
        <f t="shared" si="255"/>
        <v>11.362588072639282</v>
      </c>
      <c r="Y607" s="346">
        <f t="shared" si="256"/>
        <v>-80.402473435043447</v>
      </c>
      <c r="AA607" s="345">
        <f t="shared" si="257"/>
        <v>-12.006339476773295</v>
      </c>
      <c r="AB607" s="346">
        <f t="shared" si="258"/>
        <v>-196.55269920097265</v>
      </c>
      <c r="AD607">
        <f t="shared" si="262"/>
        <v>0</v>
      </c>
      <c r="AE607">
        <f t="shared" si="265"/>
        <v>0</v>
      </c>
    </row>
    <row r="608" spans="1:31" x14ac:dyDescent="0.25">
      <c r="A608" s="347">
        <v>630960</v>
      </c>
      <c r="B608" s="364">
        <f t="shared" si="259"/>
        <v>630.96</v>
      </c>
      <c r="C608" s="337">
        <f t="shared" si="240"/>
        <v>273.62605586489059</v>
      </c>
      <c r="D608" s="338">
        <f t="shared" si="241"/>
        <v>1.5671416959414968</v>
      </c>
      <c r="E608" s="338">
        <f t="shared" si="242"/>
        <v>1.9016511155683844</v>
      </c>
      <c r="F608" s="339">
        <f t="shared" si="243"/>
        <v>1.0170718385376143</v>
      </c>
      <c r="G608" s="338">
        <f t="shared" si="244"/>
        <v>1</v>
      </c>
      <c r="H608" s="339">
        <f t="shared" si="245"/>
        <v>0</v>
      </c>
      <c r="I608" s="337">
        <f t="shared" si="246"/>
        <v>837524.91931599798</v>
      </c>
      <c r="J608" s="340">
        <f t="shared" si="247"/>
        <v>1.5707951328005725</v>
      </c>
      <c r="K608" s="348">
        <f t="shared" si="263"/>
        <v>235.48977589914873</v>
      </c>
      <c r="L608" s="349">
        <f t="shared" si="264"/>
        <v>1.5665498451732531</v>
      </c>
      <c r="M608" s="337">
        <f t="shared" si="248"/>
        <v>6.3846022616362985</v>
      </c>
      <c r="N608" s="340">
        <f t="shared" si="249"/>
        <v>1.4135219303665989</v>
      </c>
      <c r="O608" s="341">
        <f t="shared" si="250"/>
        <v>33.155774905878616</v>
      </c>
      <c r="P608" s="342">
        <f t="shared" si="251"/>
        <v>2.8656770120093249</v>
      </c>
      <c r="Q608" s="343">
        <f t="shared" si="252"/>
        <v>-66.85350669272762</v>
      </c>
      <c r="R608" s="344">
        <f t="shared" si="253"/>
        <v>-276.93995774190603</v>
      </c>
      <c r="S608" s="346">
        <f t="shared" si="254"/>
        <v>-96.939957741906028</v>
      </c>
      <c r="U608" s="319">
        <f t="shared" si="260"/>
        <v>630960</v>
      </c>
      <c r="V608" s="319">
        <f t="shared" si="261"/>
        <v>398110521600</v>
      </c>
      <c r="X608" s="345">
        <f t="shared" si="255"/>
        <v>10.584033826536356</v>
      </c>
      <c r="Y608" s="346">
        <f t="shared" si="256"/>
        <v>-81.232078015876837</v>
      </c>
      <c r="AA608" s="345">
        <f t="shared" si="257"/>
        <v>-13.828419230101339</v>
      </c>
      <c r="AB608" s="346">
        <f t="shared" si="258"/>
        <v>-195.70787972602918</v>
      </c>
      <c r="AD608">
        <f t="shared" si="262"/>
        <v>0</v>
      </c>
      <c r="AE608">
        <f t="shared" si="265"/>
        <v>0</v>
      </c>
    </row>
    <row r="609" spans="1:31" x14ac:dyDescent="0.25">
      <c r="A609" s="347">
        <v>691830</v>
      </c>
      <c r="B609" s="364">
        <f t="shared" si="259"/>
        <v>691.83</v>
      </c>
      <c r="C609" s="337">
        <f t="shared" si="240"/>
        <v>300.02298332434856</v>
      </c>
      <c r="D609" s="338">
        <f t="shared" si="241"/>
        <v>1.5674632426408193</v>
      </c>
      <c r="E609" s="338">
        <f t="shared" si="242"/>
        <v>2.0360308056180236</v>
      </c>
      <c r="F609" s="339">
        <f t="shared" si="243"/>
        <v>1.0573849002735896</v>
      </c>
      <c r="G609" s="338">
        <f t="shared" si="244"/>
        <v>1</v>
      </c>
      <c r="H609" s="339">
        <f t="shared" si="245"/>
        <v>0</v>
      </c>
      <c r="I609" s="337">
        <f t="shared" si="246"/>
        <v>918322.65901216783</v>
      </c>
      <c r="J609" s="340">
        <f t="shared" si="247"/>
        <v>1.5707952378530197</v>
      </c>
      <c r="K609" s="348">
        <f t="shared" si="263"/>
        <v>258.20756394816061</v>
      </c>
      <c r="L609" s="349">
        <f t="shared" si="264"/>
        <v>1.5669234638757852</v>
      </c>
      <c r="M609" s="337">
        <f t="shared" si="248"/>
        <v>6.9860775626481795</v>
      </c>
      <c r="N609" s="340">
        <f t="shared" si="249"/>
        <v>1.4271611039856216</v>
      </c>
      <c r="O609" s="341">
        <f t="shared" si="250"/>
        <v>39.807797578589515</v>
      </c>
      <c r="P609" s="342">
        <f t="shared" si="251"/>
        <v>2.8901574368890732</v>
      </c>
      <c r="Q609" s="343">
        <f t="shared" si="252"/>
        <v>-69.430561787742832</v>
      </c>
      <c r="R609" s="344">
        <f t="shared" si="253"/>
        <v>-276.81130406879726</v>
      </c>
      <c r="S609" s="346">
        <f t="shared" si="254"/>
        <v>-96.811304068797256</v>
      </c>
      <c r="U609" s="319">
        <f t="shared" si="260"/>
        <v>691830</v>
      </c>
      <c r="V609" s="319">
        <f t="shared" si="261"/>
        <v>478628748900</v>
      </c>
      <c r="X609" s="345">
        <f t="shared" si="255"/>
        <v>9.8020295389940593</v>
      </c>
      <c r="Y609" s="346">
        <f t="shared" si="256"/>
        <v>-81.992144345421124</v>
      </c>
      <c r="AA609" s="345">
        <f t="shared" si="257"/>
        <v>-15.623470037574258</v>
      </c>
      <c r="AB609" s="346">
        <f t="shared" si="258"/>
        <v>-194.81915972337609</v>
      </c>
      <c r="AD609">
        <f t="shared" si="262"/>
        <v>0</v>
      </c>
      <c r="AE609">
        <f t="shared" si="265"/>
        <v>0</v>
      </c>
    </row>
    <row r="610" spans="1:31" x14ac:dyDescent="0.25">
      <c r="A610" s="347">
        <v>758580</v>
      </c>
      <c r="B610" s="364">
        <f t="shared" si="259"/>
        <v>758.58</v>
      </c>
      <c r="C610" s="337">
        <f t="shared" si="240"/>
        <v>328.96986542306712</v>
      </c>
      <c r="D610" s="338">
        <f t="shared" si="241"/>
        <v>1.5677565300075029</v>
      </c>
      <c r="E610" s="338">
        <f t="shared" si="242"/>
        <v>2.1867014252223664</v>
      </c>
      <c r="F610" s="339">
        <f t="shared" si="243"/>
        <v>1.0958285355615409</v>
      </c>
      <c r="G610" s="338">
        <f t="shared" si="244"/>
        <v>1</v>
      </c>
      <c r="H610" s="339">
        <f t="shared" si="245"/>
        <v>0</v>
      </c>
      <c r="I610" s="337">
        <f t="shared" si="246"/>
        <v>1006925.4046129552</v>
      </c>
      <c r="J610" s="340">
        <f t="shared" si="247"/>
        <v>1.5707953336726699</v>
      </c>
      <c r="K610" s="348">
        <f t="shared" si="263"/>
        <v>283.11990911119398</v>
      </c>
      <c r="L610" s="349">
        <f t="shared" si="264"/>
        <v>1.5672642471103317</v>
      </c>
      <c r="M610" s="337">
        <f t="shared" si="248"/>
        <v>7.6469024034582125</v>
      </c>
      <c r="N610" s="340">
        <f t="shared" si="249"/>
        <v>1.4396487951179033</v>
      </c>
      <c r="O610" s="341">
        <f t="shared" si="250"/>
        <v>47.807044826400052</v>
      </c>
      <c r="P610" s="342">
        <f t="shared" si="251"/>
        <v>2.9124392834461759</v>
      </c>
      <c r="Q610" s="343">
        <f t="shared" si="252"/>
        <v>-71.986019575387616</v>
      </c>
      <c r="R610" s="344">
        <f t="shared" si="253"/>
        <v>-276.59807795992521</v>
      </c>
      <c r="S610" s="346">
        <f t="shared" si="254"/>
        <v>-96.598077959925206</v>
      </c>
      <c r="U610" s="319">
        <f t="shared" si="260"/>
        <v>758580</v>
      </c>
      <c r="V610" s="319">
        <f t="shared" si="261"/>
        <v>575443616400</v>
      </c>
      <c r="X610" s="345">
        <f t="shared" si="255"/>
        <v>9.0169756934522383</v>
      </c>
      <c r="Y610" s="346">
        <f t="shared" si="256"/>
        <v>-82.68811639295231</v>
      </c>
      <c r="AA610" s="345">
        <f t="shared" si="257"/>
        <v>-17.393873979677231</v>
      </c>
      <c r="AB610" s="346">
        <f t="shared" si="258"/>
        <v>-193.90996156697295</v>
      </c>
      <c r="AD610">
        <f t="shared" si="262"/>
        <v>0</v>
      </c>
      <c r="AE610">
        <f t="shared" si="265"/>
        <v>0</v>
      </c>
    </row>
    <row r="611" spans="1:31" x14ac:dyDescent="0.25">
      <c r="A611" s="347">
        <v>831760</v>
      </c>
      <c r="B611" s="364">
        <f t="shared" si="259"/>
        <v>831.76</v>
      </c>
      <c r="C611" s="337">
        <f t="shared" si="240"/>
        <v>360.70521579545851</v>
      </c>
      <c r="D611" s="338">
        <f t="shared" si="241"/>
        <v>1.5680239763070232</v>
      </c>
      <c r="E611" s="338">
        <f t="shared" si="242"/>
        <v>2.3550984654229596</v>
      </c>
      <c r="F611" s="339">
        <f t="shared" si="243"/>
        <v>1.1322644753869735</v>
      </c>
      <c r="G611" s="338">
        <f t="shared" si="244"/>
        <v>1</v>
      </c>
      <c r="H611" s="339">
        <f t="shared" si="245"/>
        <v>0</v>
      </c>
      <c r="I611" s="337">
        <f t="shared" si="246"/>
        <v>1104063.2161944713</v>
      </c>
      <c r="J611" s="340">
        <f t="shared" si="247"/>
        <v>1.5707954210496591</v>
      </c>
      <c r="K611" s="348">
        <f t="shared" si="263"/>
        <v>310.43208164705305</v>
      </c>
      <c r="L611" s="349">
        <f t="shared" si="264"/>
        <v>1.56757500468095</v>
      </c>
      <c r="M611" s="337">
        <f t="shared" si="248"/>
        <v>8.3725276899739018</v>
      </c>
      <c r="N611" s="340">
        <f t="shared" si="249"/>
        <v>1.451072270554552</v>
      </c>
      <c r="O611" s="341">
        <f t="shared" si="250"/>
        <v>57.423664843267701</v>
      </c>
      <c r="P611" s="342">
        <f t="shared" si="251"/>
        <v>2.9327213559245786</v>
      </c>
      <c r="Q611" s="343">
        <f t="shared" si="252"/>
        <v>-74.520964214316507</v>
      </c>
      <c r="R611" s="344">
        <f t="shared" si="253"/>
        <v>-276.3245699209985</v>
      </c>
      <c r="S611" s="346">
        <f t="shared" si="254"/>
        <v>-96.324569920998499</v>
      </c>
      <c r="U611" s="319">
        <f t="shared" si="260"/>
        <v>831760</v>
      </c>
      <c r="V611" s="319">
        <f t="shared" si="261"/>
        <v>691824697600</v>
      </c>
      <c r="X611" s="345">
        <f t="shared" si="255"/>
        <v>8.2295456758526537</v>
      </c>
      <c r="Y611" s="346">
        <f t="shared" si="256"/>
        <v>-83.32483323265572</v>
      </c>
      <c r="AA611" s="345">
        <f t="shared" si="257"/>
        <v>-19.141388601006547</v>
      </c>
      <c r="AB611" s="346">
        <f t="shared" si="258"/>
        <v>-192.99973668834278</v>
      </c>
      <c r="AD611">
        <f t="shared" si="262"/>
        <v>0</v>
      </c>
      <c r="AE611">
        <f t="shared" si="265"/>
        <v>0</v>
      </c>
    </row>
    <row r="612" spans="1:31" x14ac:dyDescent="0.25">
      <c r="A612" s="347">
        <v>912010</v>
      </c>
      <c r="B612" s="364">
        <f t="shared" si="259"/>
        <v>912.01</v>
      </c>
      <c r="C612" s="337">
        <f t="shared" si="240"/>
        <v>395.50657781694667</v>
      </c>
      <c r="D612" s="338">
        <f t="shared" si="241"/>
        <v>1.5682679211461386</v>
      </c>
      <c r="E612" s="338">
        <f t="shared" si="242"/>
        <v>2.5428569107817989</v>
      </c>
      <c r="F612" s="339">
        <f t="shared" si="243"/>
        <v>1.1666233976838554</v>
      </c>
      <c r="G612" s="338">
        <f t="shared" si="244"/>
        <v>1</v>
      </c>
      <c r="H612" s="339">
        <f t="shared" si="245"/>
        <v>0</v>
      </c>
      <c r="I612" s="337">
        <f t="shared" si="246"/>
        <v>1210585.618208919</v>
      </c>
      <c r="J612" s="340">
        <f t="shared" si="247"/>
        <v>1.5707955007484073</v>
      </c>
      <c r="K612" s="348">
        <f t="shared" si="263"/>
        <v>340.3829417688541</v>
      </c>
      <c r="L612" s="349">
        <f t="shared" si="264"/>
        <v>1.5678584550163643</v>
      </c>
      <c r="M612" s="337">
        <f t="shared" si="248"/>
        <v>9.1693039519958308</v>
      </c>
      <c r="N612" s="340">
        <f t="shared" si="249"/>
        <v>1.4615194371588474</v>
      </c>
      <c r="O612" s="341">
        <f t="shared" si="250"/>
        <v>68.987375215230415</v>
      </c>
      <c r="P612" s="342">
        <f t="shared" si="251"/>
        <v>2.9511929094369442</v>
      </c>
      <c r="Q612" s="343">
        <f t="shared" si="252"/>
        <v>-77.037910345774748</v>
      </c>
      <c r="R612" s="344">
        <f t="shared" si="253"/>
        <v>-276.01061036421163</v>
      </c>
      <c r="S612" s="346">
        <f t="shared" si="254"/>
        <v>-96.01061036421163</v>
      </c>
      <c r="U612" s="319">
        <f t="shared" si="260"/>
        <v>912010</v>
      </c>
      <c r="V612" s="319">
        <f t="shared" si="261"/>
        <v>831762240100</v>
      </c>
      <c r="X612" s="345">
        <f t="shared" si="255"/>
        <v>7.4399425577031009</v>
      </c>
      <c r="Y612" s="346">
        <f t="shared" si="256"/>
        <v>-83.907175846098383</v>
      </c>
      <c r="AA612" s="345">
        <f t="shared" si="257"/>
        <v>-20.868731614315212</v>
      </c>
      <c r="AB612" s="346">
        <f t="shared" si="258"/>
        <v>-192.10343451811326</v>
      </c>
      <c r="AD612">
        <f t="shared" si="262"/>
        <v>0</v>
      </c>
      <c r="AE612">
        <f t="shared" si="265"/>
        <v>0</v>
      </c>
    </row>
    <row r="613" spans="1:31" x14ac:dyDescent="0.25">
      <c r="A613" s="347">
        <v>1000000</v>
      </c>
      <c r="B613" s="364">
        <f t="shared" si="259"/>
        <v>1000</v>
      </c>
      <c r="C613" s="337">
        <f t="shared" si="240"/>
        <v>433.664504918219</v>
      </c>
      <c r="D613" s="338">
        <f t="shared" si="241"/>
        <v>1.5684903947324844</v>
      </c>
      <c r="E613" s="338">
        <f t="shared" si="242"/>
        <v>2.7516786318669464</v>
      </c>
      <c r="F613" s="339">
        <f t="shared" si="243"/>
        <v>1.1988659166945119</v>
      </c>
      <c r="G613" s="338">
        <f t="shared" si="244"/>
        <v>1</v>
      </c>
      <c r="H613" s="339">
        <f t="shared" si="245"/>
        <v>0</v>
      </c>
      <c r="I613" s="337">
        <f t="shared" si="246"/>
        <v>1327381.9565671971</v>
      </c>
      <c r="J613" s="340">
        <f t="shared" si="247"/>
        <v>1.5707955734322379</v>
      </c>
      <c r="K613" s="348">
        <f t="shared" si="263"/>
        <v>373.22254650567038</v>
      </c>
      <c r="L613" s="349">
        <f t="shared" si="264"/>
        <v>1.5681169570572768</v>
      </c>
      <c r="M613" s="337">
        <f t="shared" si="248"/>
        <v>10.043887010431197</v>
      </c>
      <c r="N613" s="340">
        <f t="shared" si="249"/>
        <v>1.4710680496928592</v>
      </c>
      <c r="O613" s="341">
        <f t="shared" si="250"/>
        <v>82.890176486322545</v>
      </c>
      <c r="P613" s="342">
        <f t="shared" si="251"/>
        <v>2.9680168843036281</v>
      </c>
      <c r="Q613" s="343">
        <f t="shared" si="252"/>
        <v>-79.53838203945763</v>
      </c>
      <c r="R613" s="344">
        <f t="shared" si="253"/>
        <v>-275.67222794263148</v>
      </c>
      <c r="S613" s="346">
        <f t="shared" si="254"/>
        <v>-95.67222794263148</v>
      </c>
      <c r="U613" s="319">
        <f t="shared" si="260"/>
        <v>1000000</v>
      </c>
      <c r="V613" s="319">
        <f t="shared" si="261"/>
        <v>1000000000000</v>
      </c>
      <c r="X613" s="345">
        <f t="shared" si="255"/>
        <v>6.6486272694528283</v>
      </c>
      <c r="Y613" s="346">
        <f t="shared" si="256"/>
        <v>-84.439464133648144</v>
      </c>
      <c r="AA613" s="345">
        <f t="shared" si="257"/>
        <v>-22.577888019747835</v>
      </c>
      <c r="AB613" s="346">
        <f t="shared" si="258"/>
        <v>-191.23276380898335</v>
      </c>
      <c r="AD613">
        <f t="shared" si="262"/>
        <v>0</v>
      </c>
      <c r="AE613">
        <f t="shared" si="265"/>
        <v>0</v>
      </c>
    </row>
    <row r="614" spans="1:31" x14ac:dyDescent="0.25">
      <c r="A614" s="350"/>
      <c r="B614" s="350"/>
      <c r="C614" s="351"/>
      <c r="D614" s="351"/>
      <c r="E614" s="351"/>
      <c r="F614" s="351"/>
      <c r="G614" s="338"/>
      <c r="H614" s="339"/>
      <c r="I614" s="351"/>
      <c r="J614" s="351"/>
      <c r="K614" s="351"/>
      <c r="L614" s="351"/>
      <c r="M614" s="351"/>
      <c r="N614" s="351"/>
      <c r="O614" s="351"/>
      <c r="P614" s="352"/>
      <c r="Q614" s="428"/>
      <c r="R614" s="344"/>
      <c r="S614" s="353"/>
      <c r="AA614" s="345"/>
      <c r="AB614" s="346"/>
    </row>
    <row r="615" spans="1:31" x14ac:dyDescent="0.25">
      <c r="A615" s="350"/>
      <c r="B615" s="350"/>
      <c r="C615" s="351"/>
      <c r="D615" s="351"/>
      <c r="E615" s="351"/>
      <c r="F615" s="351"/>
      <c r="G615" s="338"/>
      <c r="H615" s="339"/>
      <c r="I615" s="351"/>
      <c r="J615" s="351"/>
      <c r="K615" s="351"/>
      <c r="L615" s="351"/>
      <c r="M615" s="351"/>
      <c r="N615" s="351"/>
      <c r="O615" s="351"/>
      <c r="P615" s="352"/>
      <c r="Q615" s="353"/>
      <c r="R615" s="344"/>
      <c r="S615" s="353"/>
      <c r="AA615" s="345"/>
      <c r="AB615" s="346"/>
    </row>
    <row r="616" spans="1:31" x14ac:dyDescent="0.25">
      <c r="A616" s="319" t="s">
        <v>362</v>
      </c>
      <c r="G616" s="338"/>
      <c r="H616" s="339"/>
      <c r="Q616" s="343"/>
      <c r="R616" s="344"/>
      <c r="S616" s="353"/>
      <c r="AA616" s="345"/>
      <c r="AB616" s="346"/>
    </row>
    <row r="617" spans="1:31" x14ac:dyDescent="0.25">
      <c r="A617" s="354">
        <f>Q4*1000</f>
        <v>30028</v>
      </c>
      <c r="B617" s="354"/>
      <c r="C617" s="355">
        <f t="shared" ref="C617:C626" si="266">SQRT(1+(A617/pole1)^2)</f>
        <v>13.060383123867961</v>
      </c>
      <c r="D617" s="348">
        <f t="shared" ref="D617:D626" si="267">ATAN(A617/pole1)</f>
        <v>1.4941538828061516</v>
      </c>
      <c r="E617" s="348">
        <f t="shared" ref="E617:E626" si="268">SQRT(1+(A617/Zero1)^2)</f>
        <v>1.0029584275688095</v>
      </c>
      <c r="F617" s="349">
        <f t="shared" ref="F617:F626" si="269">ATAN(A617/Zero1)</f>
        <v>7.6826458414599744E-2</v>
      </c>
      <c r="G617" s="338">
        <f>IF(VIN_nom&gt;Vout, 1, SQRT(1+(A617/z_RHP)^2))</f>
        <v>1</v>
      </c>
      <c r="H617" s="339">
        <f>IF(VIN_nom&gt;Vout, 0, -ATAN(A617/z_RHP))</f>
        <v>0</v>
      </c>
      <c r="I617" s="355">
        <f t="shared" ref="I617:I626" si="270">SQRT(1+(A617/Pole2)^2)</f>
        <v>39858.625404332815</v>
      </c>
      <c r="J617" s="356">
        <f t="shared" ref="J617:J626" si="271">ATAN(A617/Pole2)</f>
        <v>1.5707712381223706</v>
      </c>
      <c r="K617" s="348">
        <f t="shared" ref="K617:K626" si="272">SQRT(1+(A617/Zero2)^2)</f>
        <v>11.251612575137829</v>
      </c>
      <c r="L617" s="349">
        <f t="shared" ref="L617:L626" si="273">ATAN(A617/Zero2)</f>
        <v>1.481802754544536</v>
      </c>
      <c r="M617" s="355">
        <f t="shared" ref="M617:M626" si="274">SQRT(1+(A617/pole4)^2)</f>
        <v>1.044059182132643</v>
      </c>
      <c r="N617" s="356">
        <f t="shared" ref="N617:N626" si="275">ATAN(A617/pole4)</f>
        <v>0.29154787140746563</v>
      </c>
      <c r="O617" s="355">
        <f t="shared" ref="O617:O626" si="276">SQRT((1-(A617^2/(pole3^2)))^2+(A617/(Q*pole3))^2)</f>
        <v>1.0204419894429972</v>
      </c>
      <c r="P617" s="420">
        <f t="shared" ref="P617:P626" si="277">ATAN((A617/(Q*pole3))/(1-A617^2/pole3^2))</f>
        <v>0.43483100971262811</v>
      </c>
      <c r="Q617" s="343">
        <f>20*LOG10(((E617*K617*G617)/(C617*I617*O617*M617))*Adc)</f>
        <v>1.1520280131038925E-2</v>
      </c>
      <c r="R617" s="344">
        <f>((F617+L617+H617)-(D617+J617+P617+N617))*radconv</f>
        <v>-127.92284258626158</v>
      </c>
      <c r="S617" s="346">
        <f t="shared" ref="S617:S626" si="278">IF(R617&gt;0,R617,R617+180)</f>
        <v>52.077157413738419</v>
      </c>
      <c r="T617" s="319" t="s">
        <v>363</v>
      </c>
      <c r="X617" s="345">
        <f t="shared" ref="X617:X626" si="279">20*LOG10((K617/(I617*M617))*AEA)</f>
        <v>26.346571107875473</v>
      </c>
      <c r="Y617" s="346">
        <f t="shared" ref="Y617:Y626" si="280">(L617-(J617+N617))*radconv</f>
        <v>-21.801981201271914</v>
      </c>
      <c r="AA617" s="345">
        <f>20*LOG10((E617*G617/(C617*O617))*Acs*Am)</f>
        <v>37.274070461418198</v>
      </c>
      <c r="AB617" s="346">
        <f>(F617+H617-(D617+P617))*radconv</f>
        <v>-106.12086138498967</v>
      </c>
    </row>
    <row r="618" spans="1:31" x14ac:dyDescent="0.25">
      <c r="A618" s="354">
        <f>A617</f>
        <v>30028</v>
      </c>
      <c r="B618" s="354"/>
      <c r="C618" s="355"/>
      <c r="D618" s="348"/>
      <c r="E618" s="348"/>
      <c r="F618" s="349"/>
      <c r="G618" s="338"/>
      <c r="H618" s="339"/>
      <c r="I618" s="355"/>
      <c r="J618" s="356"/>
      <c r="K618" s="348"/>
      <c r="L618" s="349"/>
      <c r="M618" s="337"/>
      <c r="N618" s="340"/>
      <c r="O618" s="355"/>
      <c r="P618" s="342"/>
      <c r="Q618" s="343"/>
      <c r="R618" s="344">
        <v>-135</v>
      </c>
      <c r="S618" s="346"/>
      <c r="X618" s="345"/>
      <c r="Y618" s="346"/>
      <c r="AA618" s="345"/>
      <c r="AB618" s="346"/>
    </row>
    <row r="619" spans="1:31" x14ac:dyDescent="0.25">
      <c r="A619" s="319">
        <f>A618</f>
        <v>30028</v>
      </c>
      <c r="B619" s="354"/>
      <c r="C619" s="355"/>
      <c r="D619" s="348"/>
      <c r="E619" s="348"/>
      <c r="F619" s="349"/>
      <c r="G619" s="338"/>
      <c r="H619" s="339"/>
      <c r="I619" s="355"/>
      <c r="J619" s="356"/>
      <c r="K619" s="348"/>
      <c r="L619" s="349"/>
      <c r="M619" s="337"/>
      <c r="N619" s="340"/>
      <c r="O619" s="355"/>
      <c r="P619" s="342"/>
      <c r="Q619" s="343"/>
      <c r="R619" s="344"/>
      <c r="S619" s="346"/>
      <c r="X619" s="345"/>
      <c r="Y619" s="346"/>
      <c r="AA619" s="345"/>
      <c r="AB619" s="346"/>
    </row>
    <row r="620" spans="1:31" x14ac:dyDescent="0.25">
      <c r="A620" s="354">
        <v>1000000</v>
      </c>
      <c r="B620" s="354"/>
      <c r="C620" s="355"/>
      <c r="D620" s="348"/>
      <c r="E620" s="348"/>
      <c r="F620" s="349"/>
      <c r="G620" s="338"/>
      <c r="H620" s="339"/>
      <c r="I620" s="355"/>
      <c r="J620" s="356"/>
      <c r="K620" s="348"/>
      <c r="L620" s="349"/>
      <c r="M620" s="337"/>
      <c r="N620" s="340"/>
      <c r="O620" s="355"/>
      <c r="P620" s="342"/>
      <c r="Q620" s="343"/>
      <c r="R620" s="344">
        <f>R617</f>
        <v>-127.92284258626158</v>
      </c>
      <c r="S620" s="346"/>
      <c r="X620" s="345"/>
      <c r="Y620" s="346"/>
      <c r="AA620" s="345"/>
      <c r="AB620" s="346"/>
    </row>
    <row r="621" spans="1:31" x14ac:dyDescent="0.25">
      <c r="A621" s="354"/>
      <c r="B621" s="354"/>
      <c r="C621" s="355"/>
      <c r="D621" s="348"/>
      <c r="E621" s="348"/>
      <c r="F621" s="349"/>
      <c r="G621" s="338"/>
      <c r="H621" s="339"/>
      <c r="I621" s="355"/>
      <c r="J621" s="356"/>
      <c r="K621" s="348"/>
      <c r="L621" s="349"/>
      <c r="M621" s="337"/>
      <c r="N621" s="340"/>
      <c r="O621" s="355"/>
      <c r="P621" s="342"/>
      <c r="Q621" s="343"/>
      <c r="R621" s="344"/>
      <c r="S621" s="346"/>
      <c r="X621" s="345"/>
      <c r="Y621" s="346"/>
      <c r="AA621" s="345"/>
      <c r="AB621" s="346"/>
    </row>
    <row r="622" spans="1:31" x14ac:dyDescent="0.25">
      <c r="A622" s="429">
        <f>pole1</f>
        <v>2305.9361495490862</v>
      </c>
      <c r="B622" s="354"/>
      <c r="C622" s="355">
        <f t="shared" si="266"/>
        <v>1.4142135623730951</v>
      </c>
      <c r="D622" s="348">
        <f t="shared" si="267"/>
        <v>0.78539816339744828</v>
      </c>
      <c r="E622" s="348">
        <f t="shared" si="268"/>
        <v>1.000017471927851</v>
      </c>
      <c r="F622" s="349">
        <f t="shared" si="269"/>
        <v>5.9112897855958576E-3</v>
      </c>
      <c r="G622" s="338">
        <f t="shared" ref="G622:G628" si="281">IF(VIN_nom&gt;Vout, 1, SQRT(1+(A622/z_RHP)^2))</f>
        <v>1</v>
      </c>
      <c r="H622" s="339">
        <f t="shared" ref="H622:H628" si="282">IF(VIN_nom&gt;Vout, 0, -ATAN(A622/z_RHP))</f>
        <v>0</v>
      </c>
      <c r="I622" s="355">
        <f t="shared" si="270"/>
        <v>3060.8582012595098</v>
      </c>
      <c r="J622" s="356">
        <f t="shared" si="271"/>
        <v>1.5704696210306839</v>
      </c>
      <c r="K622" s="348">
        <f t="shared" si="272"/>
        <v>1.3193461026439299</v>
      </c>
      <c r="L622" s="349">
        <f t="shared" si="273"/>
        <v>0.71062975659830407</v>
      </c>
      <c r="M622" s="337">
        <f t="shared" si="274"/>
        <v>1.0002655119002577</v>
      </c>
      <c r="N622" s="340">
        <f t="shared" si="275"/>
        <v>2.3041404749880732E-2</v>
      </c>
      <c r="O622" s="355">
        <f t="shared" si="276"/>
        <v>1.0001054987924169</v>
      </c>
      <c r="P622" s="342">
        <f t="shared" si="277"/>
        <v>3.3013346134870336E-2</v>
      </c>
      <c r="Q622" s="343">
        <f t="shared" ref="Q622:Q628" si="283">20*LOG10(((E622*K622*G622)/(C622*I622*O622*M622))*Adc)</f>
        <v>23.518339843519698</v>
      </c>
      <c r="R622" s="344">
        <f t="shared" ref="R622:R628" si="284">((F622+L622+H622)-(D622+J622+P622+N622))*radconv</f>
        <v>-97.138204091232836</v>
      </c>
      <c r="S622" s="346">
        <f t="shared" si="278"/>
        <v>82.861795908767164</v>
      </c>
      <c r="T622" s="319" t="s">
        <v>337</v>
      </c>
      <c r="X622" s="345">
        <f t="shared" si="279"/>
        <v>30.39522905490265</v>
      </c>
      <c r="Y622" s="346">
        <f t="shared" si="280"/>
        <v>-50.585370593099299</v>
      </c>
      <c r="AA622" s="345">
        <f t="shared" ref="AA622:AA628" si="285">20*LOG10((E622*G622/(C622*O622))*Acs*Am)</f>
        <v>56.732232077779685</v>
      </c>
      <c r="AB622" s="346">
        <f t="shared" ref="AB622:AB628" si="286">(F622+H622-(D622+P622))*radconv</f>
        <v>-46.552833498133523</v>
      </c>
    </row>
    <row r="623" spans="1:31" x14ac:dyDescent="0.25">
      <c r="A623" s="429">
        <f>Zero1</f>
        <v>390085.64527881466</v>
      </c>
      <c r="B623" s="354"/>
      <c r="C623" s="355">
        <f t="shared" si="266"/>
        <v>169.16880413334309</v>
      </c>
      <c r="D623" s="348">
        <f t="shared" si="267"/>
        <v>1.5648850370093008</v>
      </c>
      <c r="E623" s="348">
        <f t="shared" si="268"/>
        <v>1.4142135623730951</v>
      </c>
      <c r="F623" s="349">
        <f t="shared" si="269"/>
        <v>0.78539816339744828</v>
      </c>
      <c r="G623" s="338">
        <f t="shared" si="281"/>
        <v>1</v>
      </c>
      <c r="H623" s="339">
        <f t="shared" si="282"/>
        <v>0</v>
      </c>
      <c r="I623" s="355">
        <f t="shared" si="270"/>
        <v>517792.64705978922</v>
      </c>
      <c r="J623" s="356">
        <f t="shared" si="271"/>
        <v>1.570794395519886</v>
      </c>
      <c r="K623" s="348">
        <f t="shared" si="272"/>
        <v>145.59166959704589</v>
      </c>
      <c r="L623" s="349">
        <f t="shared" si="273"/>
        <v>1.5639277479420892</v>
      </c>
      <c r="M623" s="337">
        <f t="shared" si="274"/>
        <v>4.0247198991501474</v>
      </c>
      <c r="N623" s="340">
        <f t="shared" si="275"/>
        <v>1.3197016098114542</v>
      </c>
      <c r="O623" s="355">
        <f t="shared" si="276"/>
        <v>12.852350199836229</v>
      </c>
      <c r="P623" s="342">
        <f t="shared" si="277"/>
        <v>-0.44947953923278955</v>
      </c>
      <c r="Q623" s="343">
        <f t="shared" si="283"/>
        <v>-53.009457221176852</v>
      </c>
      <c r="R623" s="344">
        <f t="shared" si="284"/>
        <v>-94.914789961167116</v>
      </c>
      <c r="S623" s="346">
        <f t="shared" si="278"/>
        <v>85.085210038832884</v>
      </c>
      <c r="T623" s="319" t="s">
        <v>332</v>
      </c>
      <c r="X623" s="345">
        <f t="shared" si="279"/>
        <v>14.592124130749042</v>
      </c>
      <c r="Y623" s="346">
        <f t="shared" si="280"/>
        <v>-76.006762471278762</v>
      </c>
      <c r="AA623" s="345">
        <f t="shared" si="285"/>
        <v>-3.99246006276327</v>
      </c>
      <c r="AB623" s="346">
        <f t="shared" si="286"/>
        <v>-18.908027489888397</v>
      </c>
    </row>
    <row r="624" spans="1:31" x14ac:dyDescent="0.25">
      <c r="A624" s="429">
        <f>Pole2</f>
        <v>0.75336265876811326</v>
      </c>
      <c r="B624" s="354"/>
      <c r="C624" s="355">
        <f t="shared" si="266"/>
        <v>1.0000000533683306</v>
      </c>
      <c r="D624" s="348">
        <f t="shared" si="267"/>
        <v>3.2670576421277991E-4</v>
      </c>
      <c r="E624" s="348">
        <f t="shared" si="268"/>
        <v>1.000000000001865</v>
      </c>
      <c r="F624" s="349">
        <f t="shared" si="269"/>
        <v>1.9312750107190152E-6</v>
      </c>
      <c r="G624" s="338">
        <f t="shared" si="281"/>
        <v>1</v>
      </c>
      <c r="H624" s="339">
        <f t="shared" si="282"/>
        <v>0</v>
      </c>
      <c r="I624" s="355">
        <f t="shared" si="270"/>
        <v>1.4142135623730951</v>
      </c>
      <c r="J624" s="356">
        <f t="shared" si="271"/>
        <v>0.78539816339744828</v>
      </c>
      <c r="K624" s="348">
        <f t="shared" si="272"/>
        <v>1.0000000395285424</v>
      </c>
      <c r="L624" s="349">
        <f t="shared" si="273"/>
        <v>2.8117091326904157E-4</v>
      </c>
      <c r="M624" s="337">
        <f t="shared" si="274"/>
        <v>1.0000000000283435</v>
      </c>
      <c r="N624" s="340">
        <f t="shared" si="275"/>
        <v>7.5290924764864839E-6</v>
      </c>
      <c r="O624" s="355">
        <f t="shared" si="276"/>
        <v>1.000000000011251</v>
      </c>
      <c r="P624" s="342">
        <f t="shared" si="277"/>
        <v>1.0784829455899534E-5</v>
      </c>
      <c r="Q624" s="343">
        <f t="shared" si="283"/>
        <v>90.831099613331702</v>
      </c>
      <c r="R624" s="344">
        <f t="shared" si="284"/>
        <v>-45.003547662729744</v>
      </c>
      <c r="S624" s="346">
        <f t="shared" si="278"/>
        <v>134.99645233727026</v>
      </c>
      <c r="T624" s="319" t="s">
        <v>340</v>
      </c>
      <c r="W624" s="319">
        <f>Pole2</f>
        <v>0.75336265876811326</v>
      </c>
      <c r="X624" s="345">
        <f t="shared" si="279"/>
        <v>94.696924787084797</v>
      </c>
      <c r="Y624" s="346">
        <f t="shared" si="280"/>
        <v>-44.984321529972384</v>
      </c>
      <c r="AA624" s="345">
        <f t="shared" si="285"/>
        <v>59.743296115409549</v>
      </c>
      <c r="AB624" s="346">
        <f t="shared" si="286"/>
        <v>-1.9226132757355692E-2</v>
      </c>
    </row>
    <row r="625" spans="1:28" x14ac:dyDescent="0.25">
      <c r="A625" s="429">
        <f>Zero2</f>
        <v>2679.3761493898373</v>
      </c>
      <c r="B625" s="354"/>
      <c r="C625" s="355">
        <f t="shared" si="266"/>
        <v>1.5330105653210899</v>
      </c>
      <c r="D625" s="348">
        <f t="shared" si="267"/>
        <v>0.86016657019659248</v>
      </c>
      <c r="E625" s="348">
        <f t="shared" si="268"/>
        <v>1.000023589151426</v>
      </c>
      <c r="F625" s="349">
        <f t="shared" si="269"/>
        <v>6.8685788528073718E-3</v>
      </c>
      <c r="G625" s="338">
        <f t="shared" si="281"/>
        <v>1</v>
      </c>
      <c r="H625" s="339">
        <f t="shared" si="282"/>
        <v>0</v>
      </c>
      <c r="I625" s="355">
        <f t="shared" si="270"/>
        <v>3556.555696141013</v>
      </c>
      <c r="J625" s="356">
        <f t="shared" si="271"/>
        <v>1.5705151558816275</v>
      </c>
      <c r="K625" s="348">
        <f t="shared" si="272"/>
        <v>1.4142135623730951</v>
      </c>
      <c r="L625" s="349">
        <f t="shared" si="273"/>
        <v>0.78539816339744828</v>
      </c>
      <c r="M625" s="337">
        <f t="shared" si="274"/>
        <v>1.0003584566406178</v>
      </c>
      <c r="N625" s="340">
        <f t="shared" si="275"/>
        <v>2.677123820039249E-2</v>
      </c>
      <c r="O625" s="355">
        <f t="shared" si="276"/>
        <v>1.000142479183477</v>
      </c>
      <c r="P625" s="342">
        <f t="shared" si="277"/>
        <v>3.8360788454766405E-2</v>
      </c>
      <c r="Q625" s="343">
        <f t="shared" si="283"/>
        <v>22.116058866941838</v>
      </c>
      <c r="R625" s="344">
        <f t="shared" si="284"/>
        <v>-97.606054014342732</v>
      </c>
      <c r="S625" s="346">
        <f t="shared" si="278"/>
        <v>82.393945985657268</v>
      </c>
      <c r="T625" s="319" t="s">
        <v>335</v>
      </c>
      <c r="W625" s="319">
        <f>Zero2</f>
        <v>2679.3761493898373</v>
      </c>
      <c r="X625" s="345">
        <f t="shared" si="279"/>
        <v>29.693819116402771</v>
      </c>
      <c r="Y625" s="346">
        <f t="shared" si="280"/>
        <v>-46.517769107724028</v>
      </c>
      <c r="AA625" s="345">
        <f t="shared" si="285"/>
        <v>56.031361039701693</v>
      </c>
      <c r="AB625" s="346">
        <f t="shared" si="286"/>
        <v>-51.088284906618703</v>
      </c>
    </row>
    <row r="626" spans="1:28" x14ac:dyDescent="0.25">
      <c r="A626" s="429">
        <f>pole3</f>
        <v>110000</v>
      </c>
      <c r="B626" s="354"/>
      <c r="C626" s="355">
        <f t="shared" si="266"/>
        <v>47.713449091363792</v>
      </c>
      <c r="D626" s="348">
        <f t="shared" si="267"/>
        <v>1.5498363408167979</v>
      </c>
      <c r="E626" s="348">
        <f t="shared" si="268"/>
        <v>1.0389985548816636</v>
      </c>
      <c r="F626" s="349">
        <f t="shared" si="269"/>
        <v>0.27485247811509572</v>
      </c>
      <c r="G626" s="338">
        <f t="shared" si="281"/>
        <v>1</v>
      </c>
      <c r="H626" s="339">
        <f t="shared" si="282"/>
        <v>0</v>
      </c>
      <c r="I626" s="355">
        <f t="shared" si="270"/>
        <v>146012.01522577461</v>
      </c>
      <c r="J626" s="356">
        <f t="shared" si="271"/>
        <v>1.5707894780434535</v>
      </c>
      <c r="K626" s="348">
        <f t="shared" si="272"/>
        <v>41.066509926753518</v>
      </c>
      <c r="L626" s="349">
        <f t="shared" si="273"/>
        <v>1.546443177364746</v>
      </c>
      <c r="M626" s="337">
        <f t="shared" si="274"/>
        <v>1.4861170754578972</v>
      </c>
      <c r="N626" s="340">
        <f t="shared" si="275"/>
        <v>0.83268160472988551</v>
      </c>
      <c r="O626" s="355">
        <f t="shared" si="276"/>
        <v>1.5747146826724445</v>
      </c>
      <c r="P626" s="342" t="e">
        <f t="shared" si="277"/>
        <v>#DIV/0!</v>
      </c>
      <c r="Q626" s="343">
        <f t="shared" si="283"/>
        <v>-17.802231688198979</v>
      </c>
      <c r="R626" s="344" t="e">
        <f t="shared" si="284"/>
        <v>#DIV/0!</v>
      </c>
      <c r="S626" s="346" t="e">
        <f t="shared" si="278"/>
        <v>#DIV/0!</v>
      </c>
      <c r="T626" s="319" t="s">
        <v>333</v>
      </c>
      <c r="X626" s="345">
        <f t="shared" si="279"/>
        <v>23.248147925421598</v>
      </c>
      <c r="Y626" s="346">
        <f t="shared" si="280"/>
        <v>-49.104081960959107</v>
      </c>
      <c r="AA626" s="345">
        <f t="shared" si="285"/>
        <v>22.558741675542052</v>
      </c>
      <c r="AB626" s="346" t="e">
        <f t="shared" si="286"/>
        <v>#DIV/0!</v>
      </c>
    </row>
    <row r="627" spans="1:28" ht="13" thickBot="1" x14ac:dyDescent="0.3">
      <c r="A627" s="406">
        <f>Fp2_u</f>
        <v>100060.22121612207</v>
      </c>
      <c r="C627" s="355">
        <f>SQRT(1+(A627/pole1)^2)</f>
        <v>43.403972141712948</v>
      </c>
      <c r="D627" s="348">
        <f>ATAN(A627/pole1)</f>
        <v>1.547754922045016</v>
      </c>
      <c r="E627" s="348">
        <f>SQRT(1+(A627/Zero1)^2)</f>
        <v>1.0323742191385976</v>
      </c>
      <c r="F627" s="349">
        <f>ATAN(A627/Zero1)</f>
        <v>0.25109471698344232</v>
      </c>
      <c r="G627" s="338">
        <f t="shared" si="281"/>
        <v>1</v>
      </c>
      <c r="H627" s="339">
        <f t="shared" si="282"/>
        <v>0</v>
      </c>
      <c r="I627" s="355">
        <f>SQRT(1+(A627/Pole2)^2)</f>
        <v>132818.13221612954</v>
      </c>
      <c r="J627" s="356">
        <f>ATAN(A627/Pole2)</f>
        <v>1.5707887977024202</v>
      </c>
      <c r="K627" s="348">
        <f>SQRT(1+(A627/Zero2)^2)</f>
        <v>37.357982935569964</v>
      </c>
      <c r="L627" s="349">
        <f>ATAN(A627/Zero2)</f>
        <v>1.5440250885945042</v>
      </c>
      <c r="M627" s="337">
        <f>SQRT(1+(A627/pole4)^2)</f>
        <v>1.4142135623730951</v>
      </c>
      <c r="N627" s="340">
        <f>ATAN(A627/pole4)</f>
        <v>0.78539816339744828</v>
      </c>
      <c r="O627" s="355">
        <f>SQRT((1-(A627^2/(pole3^2)))^2+(A627/(Q*pole3))^2)</f>
        <v>1.44277715554854</v>
      </c>
      <c r="P627" s="342">
        <f>ATAN((A627/(Q*pole3))/(1-A627^2/pole3^2))</f>
        <v>1.4509080339792435</v>
      </c>
      <c r="Q627" s="343">
        <f t="shared" si="283"/>
        <v>-15.844210903215675</v>
      </c>
      <c r="R627" s="344">
        <f t="shared" si="284"/>
        <v>-203.95751183028543</v>
      </c>
      <c r="S627" s="346">
        <f>IF(R627&gt;0,R627,R627+180)</f>
        <v>-23.957511830285426</v>
      </c>
      <c r="T627" s="319" t="s">
        <v>345</v>
      </c>
      <c r="X627" s="357"/>
      <c r="Y627" s="358"/>
      <c r="AA627" s="345">
        <f t="shared" si="285"/>
        <v>24.085464925882</v>
      </c>
      <c r="AB627" s="346">
        <f t="shared" si="286"/>
        <v>-157.42406420111371</v>
      </c>
    </row>
    <row r="628" spans="1:28" x14ac:dyDescent="0.25">
      <c r="A628" s="406">
        <f>z_RHP</f>
        <v>0</v>
      </c>
      <c r="C628" s="355">
        <f>SQRT(1+(A628/pole1)^2)</f>
        <v>1</v>
      </c>
      <c r="D628" s="348">
        <f>ATAN(A628/pole1)</f>
        <v>0</v>
      </c>
      <c r="E628" s="348">
        <f>SQRT(1+(A628/Zero1)^2)</f>
        <v>1</v>
      </c>
      <c r="F628" s="349">
        <f>ATAN(A628/Zero1)</f>
        <v>0</v>
      </c>
      <c r="G628" s="338">
        <f t="shared" si="281"/>
        <v>1</v>
      </c>
      <c r="H628" s="339">
        <f t="shared" si="282"/>
        <v>0</v>
      </c>
      <c r="I628" s="355">
        <f>SQRT(1+(A628/Pole2)^2)</f>
        <v>1</v>
      </c>
      <c r="J628" s="356">
        <f>ATAN(A628/Pole2)</f>
        <v>0</v>
      </c>
      <c r="K628" s="348">
        <f>SQRT(1+(A628/Zero2)^2)</f>
        <v>1</v>
      </c>
      <c r="L628" s="349">
        <f>ATAN(A628/Zero2)</f>
        <v>0</v>
      </c>
      <c r="M628" s="337">
        <f>SQRT(1+(A628/pole4)^2)</f>
        <v>1</v>
      </c>
      <c r="N628" s="340">
        <f>ATAN(A628/pole4)</f>
        <v>0</v>
      </c>
      <c r="O628" s="355">
        <f>SQRT((1-(A628^2/(pole3^2)))^2+(A628/(Q*pole3))^2)</f>
        <v>1</v>
      </c>
      <c r="P628" s="342">
        <f>ATAN((A628/(Q*pole3))/(1-A628^2/pole3^2))</f>
        <v>0</v>
      </c>
      <c r="Q628" s="343">
        <f t="shared" si="283"/>
        <v>93.841399690510087</v>
      </c>
      <c r="R628" s="344">
        <f t="shared" si="284"/>
        <v>0</v>
      </c>
      <c r="S628" s="346">
        <f>IF(R628&gt;0,R628,R628+180)</f>
        <v>180</v>
      </c>
      <c r="T628" s="319" t="s">
        <v>439</v>
      </c>
      <c r="X628" s="353"/>
      <c r="Y628" s="353"/>
      <c r="AA628" s="345">
        <f t="shared" si="285"/>
        <v>59.743296579042493</v>
      </c>
      <c r="AB628" s="346">
        <f t="shared" si="286"/>
        <v>0</v>
      </c>
    </row>
    <row r="629" spans="1:28" x14ac:dyDescent="0.25">
      <c r="A629" s="406">
        <f>Fp2_u</f>
        <v>100060.22121612207</v>
      </c>
      <c r="Q629" s="343">
        <v>-25</v>
      </c>
    </row>
    <row r="631" spans="1:28" x14ac:dyDescent="0.25">
      <c r="D631" s="319" t="s">
        <v>364</v>
      </c>
      <c r="E631" s="319" t="s">
        <v>365</v>
      </c>
    </row>
    <row r="632" spans="1:28" x14ac:dyDescent="0.25">
      <c r="A632" s="319" t="s">
        <v>337</v>
      </c>
      <c r="B632" s="319" t="s">
        <v>436</v>
      </c>
      <c r="C632" s="359">
        <f>pole1</f>
        <v>2305.9361495490862</v>
      </c>
      <c r="D632" s="359">
        <f>Q622</f>
        <v>23.518339843519698</v>
      </c>
      <c r="E632" s="359">
        <f>AA622</f>
        <v>56.732232077779685</v>
      </c>
    </row>
    <row r="633" spans="1:28" x14ac:dyDescent="0.25">
      <c r="A633" s="319" t="s">
        <v>332</v>
      </c>
      <c r="B633" s="319" t="s">
        <v>446</v>
      </c>
      <c r="C633" s="359">
        <f>Zero1</f>
        <v>390085.64527881466</v>
      </c>
      <c r="D633" s="359">
        <f>Q623</f>
        <v>-53.009457221176852</v>
      </c>
      <c r="E633" s="359">
        <f>AA623</f>
        <v>-3.99246006276327</v>
      </c>
    </row>
    <row r="634" spans="1:28" x14ac:dyDescent="0.25">
      <c r="A634" s="319" t="s">
        <v>340</v>
      </c>
      <c r="B634" s="319" t="s">
        <v>447</v>
      </c>
      <c r="C634" s="359">
        <f>Pole2</f>
        <v>0.75336265876811326</v>
      </c>
      <c r="D634" s="359">
        <f>Q624</f>
        <v>90.831099613331702</v>
      </c>
      <c r="E634" s="359">
        <f>AA624</f>
        <v>59.743296115409549</v>
      </c>
    </row>
    <row r="635" spans="1:28" x14ac:dyDescent="0.25">
      <c r="A635" s="319" t="s">
        <v>335</v>
      </c>
      <c r="B635" s="319" t="s">
        <v>448</v>
      </c>
      <c r="C635" s="359">
        <f>Zero2</f>
        <v>2679.3761493898373</v>
      </c>
      <c r="D635" s="359">
        <f>Q625</f>
        <v>22.116058866941838</v>
      </c>
      <c r="E635" s="359">
        <f>AA625</f>
        <v>56.031361039701693</v>
      </c>
    </row>
    <row r="636" spans="1:28" x14ac:dyDescent="0.25">
      <c r="A636" s="319" t="s">
        <v>333</v>
      </c>
      <c r="B636" s="319" t="s">
        <v>445</v>
      </c>
      <c r="C636" s="319">
        <f>pole3</f>
        <v>110000</v>
      </c>
      <c r="D636" s="359">
        <f>Q626</f>
        <v>-17.802231688198979</v>
      </c>
      <c r="E636" s="359">
        <f>AA626</f>
        <v>22.558741675542052</v>
      </c>
    </row>
    <row r="637" spans="1:28" x14ac:dyDescent="0.25">
      <c r="C637" s="406"/>
      <c r="D637" s="359"/>
      <c r="E637" s="359"/>
    </row>
    <row r="639" spans="1:28" x14ac:dyDescent="0.25">
      <c r="A639" s="359">
        <f>Q4*1000</f>
        <v>30028</v>
      </c>
    </row>
    <row r="640" spans="1:28" x14ac:dyDescent="0.25">
      <c r="A640" s="359">
        <f>Q4*1000</f>
        <v>30028</v>
      </c>
    </row>
    <row r="687" spans="30:31" x14ac:dyDescent="0.25">
      <c r="AD687" t="s">
        <v>44</v>
      </c>
      <c r="AE687" s="4">
        <f>SUM(AE689:AE1306)</f>
        <v>0</v>
      </c>
    </row>
  </sheetData>
  <mergeCells count="20">
    <mergeCell ref="B10:B11"/>
    <mergeCell ref="A2:D2"/>
    <mergeCell ref="J2:L2"/>
    <mergeCell ref="M2:O2"/>
    <mergeCell ref="A10:A12"/>
    <mergeCell ref="O10:P10"/>
    <mergeCell ref="P2:R2"/>
    <mergeCell ref="G11:H11"/>
    <mergeCell ref="E2:G2"/>
    <mergeCell ref="C10:H10"/>
    <mergeCell ref="I10:N10"/>
    <mergeCell ref="Q10:S10"/>
    <mergeCell ref="X10:Y10"/>
    <mergeCell ref="AA10:AB10"/>
    <mergeCell ref="C11:D11"/>
    <mergeCell ref="E11:F11"/>
    <mergeCell ref="I11:J11"/>
    <mergeCell ref="K11:L11"/>
    <mergeCell ref="M11:N11"/>
    <mergeCell ref="O11:P11"/>
  </mergeCells>
  <pageMargins left="0.75" right="0.75" top="1" bottom="1" header="0.5" footer="0.5"/>
  <pageSetup scale="48" orientation="portrait" horizontalDpi="300" verticalDpi="300" r:id="rId1"/>
  <headerFooter alignWithMargins="0"/>
  <colBreaks count="1" manualBreakCount="1">
    <brk id="19" max="1048575" man="1"/>
  </colBreaks>
  <ignoredErrors>
    <ignoredError sqref="F13 A628" formula="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dimension ref="A1:AE687"/>
  <sheetViews>
    <sheetView zoomScaleNormal="100" workbookViewId="0">
      <pane ySplit="11" topLeftCell="A606" activePane="bottomLeft" state="frozen"/>
      <selection activeCell="A93" sqref="A93"/>
      <selection pane="bottomLeft" activeCell="F5" sqref="F5"/>
    </sheetView>
  </sheetViews>
  <sheetFormatPr defaultColWidth="9.08984375" defaultRowHeight="12.5" x14ac:dyDescent="0.25"/>
  <cols>
    <col min="1" max="1" width="16.08984375" style="319" customWidth="1"/>
    <col min="2" max="2" width="15.6328125" style="319" customWidth="1"/>
    <col min="3" max="3" width="10" style="319" customWidth="1"/>
    <col min="4" max="4" width="10.90625" style="319" customWidth="1"/>
    <col min="5" max="5" width="10.08984375" style="319" customWidth="1"/>
    <col min="6" max="8" width="11.90625" style="319" customWidth="1"/>
    <col min="9" max="9" width="14.36328125" style="319" customWidth="1"/>
    <col min="10" max="10" width="11" style="319" customWidth="1"/>
    <col min="11" max="11" width="12" style="319" customWidth="1"/>
    <col min="12" max="12" width="11.453125" style="319" customWidth="1"/>
    <col min="13" max="13" width="10.90625" style="319" customWidth="1"/>
    <col min="14" max="14" width="11.453125" style="319" customWidth="1"/>
    <col min="15" max="15" width="12.36328125" style="319" customWidth="1"/>
    <col min="16" max="16" width="12.08984375" style="319" customWidth="1"/>
    <col min="17" max="17" width="9.453125" style="319" customWidth="1"/>
    <col min="18" max="18" width="16.08984375" style="319" bestFit="1" customWidth="1"/>
    <col min="19" max="19" width="15.36328125" style="359" customWidth="1"/>
    <col min="20" max="20" width="9.08984375" style="319"/>
    <col min="21" max="21" width="13.453125" style="319" bestFit="1" customWidth="1"/>
    <col min="22" max="22" width="9.36328125" style="319" bestFit="1" customWidth="1"/>
    <col min="23" max="23" width="9.08984375" style="319"/>
    <col min="24" max="24" width="13.54296875" style="319" customWidth="1"/>
    <col min="25" max="25" width="10.54296875" style="319" customWidth="1"/>
    <col min="26" max="26" width="9.08984375" style="319"/>
    <col min="27" max="27" width="9.36328125" style="319" bestFit="1" customWidth="1"/>
    <col min="28" max="28" width="11.36328125" style="319" bestFit="1" customWidth="1"/>
    <col min="29" max="29" width="9.08984375" style="319"/>
    <col min="30" max="30" width="12.36328125" customWidth="1"/>
    <col min="31" max="31" width="8.90625" customWidth="1"/>
    <col min="32" max="16384" width="9.08984375" style="319"/>
  </cols>
  <sheetData>
    <row r="1" spans="1:31" ht="13" thickBot="1" x14ac:dyDescent="0.3"/>
    <row r="2" spans="1:31" ht="13" x14ac:dyDescent="0.3">
      <c r="A2" s="740" t="s">
        <v>422</v>
      </c>
      <c r="B2" s="741"/>
      <c r="C2" s="742"/>
      <c r="D2" s="743"/>
      <c r="E2" s="740" t="s">
        <v>328</v>
      </c>
      <c r="F2" s="741"/>
      <c r="G2" s="741"/>
      <c r="H2" s="401"/>
      <c r="I2" s="417"/>
      <c r="J2" s="740" t="s">
        <v>420</v>
      </c>
      <c r="K2" s="742"/>
      <c r="L2" s="743"/>
      <c r="M2" s="740" t="s">
        <v>421</v>
      </c>
      <c r="N2" s="742"/>
      <c r="O2" s="743"/>
      <c r="P2" s="740" t="s">
        <v>329</v>
      </c>
      <c r="Q2" s="741"/>
      <c r="R2" s="749"/>
      <c r="AD2" s="114"/>
      <c r="AE2" s="114"/>
    </row>
    <row r="3" spans="1:31" x14ac:dyDescent="0.25">
      <c r="B3" s="320" t="s">
        <v>330</v>
      </c>
      <c r="C3" s="404">
        <f>Afb_Ch2</f>
        <v>0.12</v>
      </c>
      <c r="D3" s="322" t="s">
        <v>28</v>
      </c>
      <c r="E3" s="323" t="s">
        <v>331</v>
      </c>
      <c r="F3" s="321">
        <f>Acs_Ch2</f>
        <v>20.833333333333332</v>
      </c>
      <c r="G3" s="322" t="s">
        <v>419</v>
      </c>
      <c r="H3" s="415" t="s">
        <v>347</v>
      </c>
      <c r="I3" s="427">
        <f>gm</f>
        <v>1.1999999999999999E-3</v>
      </c>
      <c r="J3" s="323" t="s">
        <v>438</v>
      </c>
      <c r="K3" s="324">
        <f>Fesr_Ch2</f>
        <v>663145.59697398485</v>
      </c>
      <c r="L3" s="322" t="s">
        <v>9</v>
      </c>
      <c r="M3" s="323" t="s">
        <v>333</v>
      </c>
      <c r="N3" s="324">
        <f>Fsw/2</f>
        <v>110000</v>
      </c>
      <c r="O3" s="322" t="s">
        <v>9</v>
      </c>
      <c r="P3" s="325" t="s">
        <v>334</v>
      </c>
      <c r="Q3" s="324">
        <f>Am_Ch2*Afb_Ch2*AEA</f>
        <v>57603.764719862418</v>
      </c>
      <c r="R3" s="322" t="s">
        <v>28</v>
      </c>
    </row>
    <row r="4" spans="1:31" x14ac:dyDescent="0.25">
      <c r="B4" s="320" t="s">
        <v>443</v>
      </c>
      <c r="C4" s="324">
        <f>Fz1_u_Ch2</f>
        <v>5894.6275286576438</v>
      </c>
      <c r="D4" s="322" t="s">
        <v>9</v>
      </c>
      <c r="E4" s="323" t="s">
        <v>336</v>
      </c>
      <c r="F4" s="329">
        <f>Am_Ch2</f>
        <v>6.2504084982489605</v>
      </c>
      <c r="G4" s="322" t="s">
        <v>28</v>
      </c>
      <c r="H4" s="416"/>
      <c r="I4" s="416"/>
      <c r="J4" s="323" t="s">
        <v>437</v>
      </c>
      <c r="K4" s="324">
        <f>Fp_dominant_Ch2</f>
        <v>4420.681711975064</v>
      </c>
      <c r="L4" s="322" t="s">
        <v>9</v>
      </c>
      <c r="M4" s="323" t="s">
        <v>338</v>
      </c>
      <c r="N4" s="402">
        <f>Q_Ch2*pole3</f>
        <v>77528.620456419594</v>
      </c>
      <c r="O4" s="322"/>
      <c r="P4" s="325" t="s">
        <v>339</v>
      </c>
      <c r="Q4" s="365">
        <f>AE7</f>
        <v>53.091999999999999</v>
      </c>
      <c r="R4" s="322" t="s">
        <v>2</v>
      </c>
    </row>
    <row r="5" spans="1:31" x14ac:dyDescent="0.25">
      <c r="B5" s="320" t="s">
        <v>442</v>
      </c>
      <c r="C5" s="329">
        <f>Fp1_u_Ch2</f>
        <v>1.3812296013413206</v>
      </c>
      <c r="D5" s="322" t="s">
        <v>9</v>
      </c>
      <c r="E5" s="323" t="s">
        <v>27</v>
      </c>
      <c r="F5" s="404">
        <f>Q_Ch2</f>
        <v>0.7048056405129054</v>
      </c>
      <c r="G5" s="322"/>
      <c r="H5" s="416"/>
      <c r="I5" s="416"/>
      <c r="J5" s="323"/>
      <c r="K5" s="324"/>
      <c r="L5" s="322"/>
      <c r="M5" s="323" t="s">
        <v>341</v>
      </c>
      <c r="N5" s="321">
        <f>pole3^2</f>
        <v>12100000000</v>
      </c>
      <c r="O5" s="322"/>
      <c r="P5" s="325" t="s">
        <v>342</v>
      </c>
      <c r="Q5" s="329">
        <f>AE9</f>
        <v>27.391787418884434</v>
      </c>
      <c r="R5" s="388" t="s">
        <v>399</v>
      </c>
    </row>
    <row r="6" spans="1:31" x14ac:dyDescent="0.25">
      <c r="B6" s="320" t="s">
        <v>343</v>
      </c>
      <c r="C6" s="321">
        <f>AEA</f>
        <v>76800</v>
      </c>
      <c r="D6" s="322" t="s">
        <v>28</v>
      </c>
      <c r="E6" s="323" t="s">
        <v>371</v>
      </c>
      <c r="F6" s="404">
        <f>mc_Ch2</f>
        <v>1.0733333333333333</v>
      </c>
      <c r="G6" s="415"/>
      <c r="H6" s="418"/>
      <c r="I6" s="328"/>
      <c r="J6" s="326"/>
      <c r="K6" s="327"/>
      <c r="L6" s="328"/>
      <c r="M6" s="326"/>
      <c r="N6" s="430"/>
      <c r="O6" s="328"/>
      <c r="P6" s="400" t="s">
        <v>344</v>
      </c>
      <c r="Q6" s="327">
        <f>180/Pi</f>
        <v>57.295779578552292</v>
      </c>
      <c r="R6" s="328"/>
      <c r="AD6" s="5" t="s">
        <v>46</v>
      </c>
      <c r="AE6" s="5"/>
    </row>
    <row r="7" spans="1:31" ht="13" thickBot="1" x14ac:dyDescent="0.3">
      <c r="B7" s="396" t="s">
        <v>441</v>
      </c>
      <c r="C7" s="403">
        <f>Fp2_u_Ch2</f>
        <v>120072.26545934647</v>
      </c>
      <c r="D7" s="398" t="s">
        <v>9</v>
      </c>
      <c r="E7" s="397" t="s">
        <v>346</v>
      </c>
      <c r="F7" s="399">
        <f>k_Ch2</f>
        <v>0.95162789321020524</v>
      </c>
      <c r="G7" s="399"/>
      <c r="H7" s="419"/>
      <c r="I7" s="398"/>
      <c r="J7" s="397"/>
      <c r="K7" s="397"/>
      <c r="L7" s="398"/>
      <c r="M7" s="397"/>
      <c r="N7" s="397"/>
      <c r="O7" s="398"/>
      <c r="P7" s="397"/>
      <c r="Q7" s="397"/>
      <c r="R7" s="398"/>
      <c r="AD7" t="s">
        <v>43</v>
      </c>
      <c r="AE7">
        <f>SUM(AD12:AD613)/1000</f>
        <v>53.091999999999999</v>
      </c>
    </row>
    <row r="8" spans="1:31" x14ac:dyDescent="0.25">
      <c r="B8" s="405"/>
      <c r="C8" s="406"/>
      <c r="F8" s="407"/>
      <c r="G8" s="407"/>
      <c r="H8" s="407"/>
    </row>
    <row r="9" spans="1:31" ht="13" thickBot="1" x14ac:dyDescent="0.3">
      <c r="AD9" t="s">
        <v>44</v>
      </c>
      <c r="AE9" s="4">
        <f>SUM(AE13:AE613)</f>
        <v>27.391787418884434</v>
      </c>
    </row>
    <row r="10" spans="1:31" ht="14" x14ac:dyDescent="0.3">
      <c r="A10" s="744" t="s">
        <v>450</v>
      </c>
      <c r="B10" s="738"/>
      <c r="C10" s="750" t="s">
        <v>348</v>
      </c>
      <c r="D10" s="751"/>
      <c r="E10" s="751"/>
      <c r="F10" s="751"/>
      <c r="G10" s="751"/>
      <c r="H10" s="752"/>
      <c r="I10" s="750" t="s">
        <v>349</v>
      </c>
      <c r="J10" s="751"/>
      <c r="K10" s="751"/>
      <c r="L10" s="751"/>
      <c r="M10" s="751"/>
      <c r="N10" s="752"/>
      <c r="O10" s="747" t="s">
        <v>350</v>
      </c>
      <c r="P10" s="748"/>
      <c r="Q10" s="747" t="s">
        <v>351</v>
      </c>
      <c r="R10" s="753"/>
      <c r="S10" s="754"/>
      <c r="X10" s="731" t="s">
        <v>352</v>
      </c>
      <c r="Y10" s="732"/>
      <c r="AA10" s="731" t="s">
        <v>353</v>
      </c>
      <c r="AB10" s="732"/>
    </row>
    <row r="11" spans="1:31" ht="13" x14ac:dyDescent="0.3">
      <c r="A11" s="745"/>
      <c r="B11" s="739"/>
      <c r="C11" s="733" t="s">
        <v>437</v>
      </c>
      <c r="D11" s="734"/>
      <c r="E11" s="734" t="s">
        <v>438</v>
      </c>
      <c r="F11" s="735"/>
      <c r="G11" s="736" t="s">
        <v>439</v>
      </c>
      <c r="H11" s="737"/>
      <c r="I11" s="733" t="s">
        <v>337</v>
      </c>
      <c r="J11" s="734"/>
      <c r="K11" s="734" t="s">
        <v>332</v>
      </c>
      <c r="L11" s="735"/>
      <c r="M11" s="736" t="s">
        <v>340</v>
      </c>
      <c r="N11" s="737"/>
      <c r="O11" s="733" t="s">
        <v>333</v>
      </c>
      <c r="P11" s="735"/>
      <c r="Q11" s="323"/>
      <c r="R11" s="321"/>
      <c r="S11" s="366"/>
      <c r="X11" s="323"/>
      <c r="Y11" s="322"/>
      <c r="AA11" s="323"/>
      <c r="AB11" s="322"/>
    </row>
    <row r="12" spans="1:31" ht="13.5" thickBot="1" x14ac:dyDescent="0.35">
      <c r="A12" s="746"/>
      <c r="B12" s="363"/>
      <c r="C12" s="330" t="s">
        <v>354</v>
      </c>
      <c r="D12" s="331" t="s">
        <v>355</v>
      </c>
      <c r="E12" s="331" t="s">
        <v>354</v>
      </c>
      <c r="F12" s="332" t="s">
        <v>355</v>
      </c>
      <c r="G12" s="331" t="s">
        <v>354</v>
      </c>
      <c r="H12" s="332" t="s">
        <v>355</v>
      </c>
      <c r="I12" s="330" t="s">
        <v>354</v>
      </c>
      <c r="J12" s="331" t="s">
        <v>355</v>
      </c>
      <c r="K12" s="331" t="s">
        <v>354</v>
      </c>
      <c r="L12" s="332" t="s">
        <v>355</v>
      </c>
      <c r="M12" s="330" t="s">
        <v>354</v>
      </c>
      <c r="N12" s="331" t="s">
        <v>355</v>
      </c>
      <c r="O12" s="330" t="s">
        <v>354</v>
      </c>
      <c r="P12" s="332" t="s">
        <v>355</v>
      </c>
      <c r="Q12" s="330" t="s">
        <v>356</v>
      </c>
      <c r="R12" s="331" t="s">
        <v>358</v>
      </c>
      <c r="S12" s="367" t="s">
        <v>357</v>
      </c>
      <c r="V12" s="333" t="s">
        <v>359</v>
      </c>
      <c r="X12" s="334" t="s">
        <v>360</v>
      </c>
      <c r="Y12" s="335" t="s">
        <v>361</v>
      </c>
      <c r="AA12" s="334" t="s">
        <v>360</v>
      </c>
      <c r="AB12" s="335" t="s">
        <v>361</v>
      </c>
    </row>
    <row r="13" spans="1:31" x14ac:dyDescent="0.25">
      <c r="A13" s="336">
        <v>1</v>
      </c>
      <c r="B13" s="364">
        <f>A13/1000</f>
        <v>1E-3</v>
      </c>
      <c r="C13" s="337">
        <f t="shared" ref="C13:C76" si="0">SQRT(1+(A13/pole1)^2)</f>
        <v>1.0000000255853585</v>
      </c>
      <c r="D13" s="338">
        <f t="shared" ref="D13:D76" si="1">ATAN(A13/pole1)</f>
        <v>2.2620945096187814E-4</v>
      </c>
      <c r="E13" s="338">
        <f t="shared" ref="E13:E76" si="2">SQRT(1+(A13/Zero1)^2)</f>
        <v>1.0000000000011369</v>
      </c>
      <c r="F13" s="339">
        <f t="shared" ref="F13:F76" si="3">ATAN(A13/Zero1)</f>
        <v>1.5079644719988572E-6</v>
      </c>
      <c r="G13" s="338">
        <f t="shared" ref="G13:G76" si="4">IF(VIN_nom&gt;Vout, 1, SQRT(1+(A13/z_RHP)^2))</f>
        <v>1</v>
      </c>
      <c r="H13" s="339">
        <f t="shared" ref="H13:H76" si="5">IF(VIN_nom&gt;Vout, 0, -ATAN(A13/z_RHP))</f>
        <v>0</v>
      </c>
      <c r="I13" s="337">
        <f t="shared" ref="I13:I76" si="6">SQRT(1+(A13/Pole2)^2)</f>
        <v>1.2345708866186014</v>
      </c>
      <c r="J13" s="340">
        <f t="shared" ref="J13:J76" si="7">ATAN(A13/Pole2)</f>
        <v>0.6266475516840917</v>
      </c>
      <c r="K13" s="338">
        <f t="shared" ref="K13:K76" si="8">SQRT(1+(A13/Zero2)^2)</f>
        <v>1.0000000143898831</v>
      </c>
      <c r="L13" s="339">
        <f t="shared" ref="L13:L76" si="9">ATAN(A13/Zero2)</f>
        <v>1.696460014725426E-4</v>
      </c>
      <c r="M13" s="337">
        <f t="shared" ref="M13:M76" si="10">SQRT(1+(A13/pole4)^2)</f>
        <v>1.0000000000346805</v>
      </c>
      <c r="N13" s="340">
        <f t="shared" ref="N13:N76" si="11">ATAN(A13/pole4)</f>
        <v>8.3283179188074472E-6</v>
      </c>
      <c r="O13" s="341">
        <f t="shared" ref="O13:O76" si="12">SQRT((1-(V13/pterm2))^2+(A13/pterm1)^2)</f>
        <v>1.0000000000005405</v>
      </c>
      <c r="P13" s="342">
        <f t="shared" ref="P13:P76" si="13">IF((ATAN((A13/pterm1)/(1-A13^2/pterm2))&gt;0),ATAN((A13/pterm1)/(1-A13^2/pterm2)),PI()+ATAN((A13/pterm1)/(1-A13^2/pterm2)))</f>
        <v>1.2898462453479462E-5</v>
      </c>
      <c r="Q13" s="343">
        <f t="shared" ref="Q13:Q76" si="14">20*LOG10(((E13*K13*G13)/(C13*I13*O13*M13))*Adc)</f>
        <v>93.378696633405241</v>
      </c>
      <c r="R13" s="344">
        <f t="shared" ref="R13:R76" si="15">((F13+L13+H13)-(D13+J13+P13+N13))*radconv</f>
        <v>-35.908630646594688</v>
      </c>
      <c r="S13" s="600">
        <f t="shared" ref="S13:S76" si="16">IF(R13&gt;0,R13,R13+180)</f>
        <v>144.0913693534053</v>
      </c>
      <c r="U13" s="319">
        <f>IF(Q13&lt;0,A13,1000000000)</f>
        <v>1000000000</v>
      </c>
      <c r="V13" s="319">
        <f>A13^2</f>
        <v>1</v>
      </c>
      <c r="X13" s="345">
        <f t="shared" ref="X13:X76" si="17">20*LOG10((K13/(I13*M13))*AEA)</f>
        <v>95.876903899036165</v>
      </c>
      <c r="Y13" s="346">
        <f t="shared" ref="Y13:Y76" si="18">(L13-(J13+N13))*radconv</f>
        <v>-35.895017172292157</v>
      </c>
      <c r="AA13" s="345">
        <f t="shared" ref="AA13:AA76" si="19">20*LOG10((E13*G13/(C13*O13))*Acs*Am)</f>
        <v>59.743296356816067</v>
      </c>
      <c r="AB13" s="346">
        <f t="shared" ref="AB13:AB76" si="20">(F13+H13-(D13+P13))*radconv</f>
        <v>-1.3613474302533962E-2</v>
      </c>
      <c r="AD13">
        <f>SUM((Q14&lt;0)*(Q13&gt;0))*A13</f>
        <v>0</v>
      </c>
      <c r="AE13">
        <f t="shared" ref="AE13:AE76" si="21">IF(AD13&gt;0,S11,0)</f>
        <v>0</v>
      </c>
    </row>
    <row r="14" spans="1:31" x14ac:dyDescent="0.25">
      <c r="A14" s="347">
        <v>1.0965</v>
      </c>
      <c r="B14" s="364">
        <f t="shared" ref="B14:B77" si="22">A14/1000</f>
        <v>1.0965E-3</v>
      </c>
      <c r="C14" s="337">
        <f t="shared" si="0"/>
        <v>1.0000000307615897</v>
      </c>
      <c r="D14" s="338">
        <f t="shared" si="1"/>
        <v>2.4803866212376241E-4</v>
      </c>
      <c r="E14" s="338">
        <f t="shared" si="2"/>
        <v>1.0000000000013669</v>
      </c>
      <c r="F14" s="339">
        <f t="shared" si="3"/>
        <v>1.6534830435464933E-6</v>
      </c>
      <c r="G14" s="338">
        <f t="shared" si="4"/>
        <v>1</v>
      </c>
      <c r="H14" s="339">
        <f t="shared" si="5"/>
        <v>0</v>
      </c>
      <c r="I14" s="337">
        <f t="shared" si="6"/>
        <v>1.2767969024314294</v>
      </c>
      <c r="J14" s="340">
        <f t="shared" si="7"/>
        <v>0.67098450847677849</v>
      </c>
      <c r="K14" s="348">
        <f t="shared" si="8"/>
        <v>1.0000000173011327</v>
      </c>
      <c r="L14" s="349">
        <f t="shared" si="9"/>
        <v>1.8601684025361531E-4</v>
      </c>
      <c r="M14" s="337">
        <f t="shared" si="10"/>
        <v>1.0000000000416969</v>
      </c>
      <c r="N14" s="340">
        <f t="shared" si="11"/>
        <v>9.1320005979296512E-6</v>
      </c>
      <c r="O14" s="341">
        <f t="shared" si="12"/>
        <v>1.0000000000006499</v>
      </c>
      <c r="P14" s="342">
        <f t="shared" si="13"/>
        <v>1.4143164080318024E-5</v>
      </c>
      <c r="Q14" s="343">
        <f t="shared" si="14"/>
        <v>93.086580832166646</v>
      </c>
      <c r="R14" s="344">
        <f t="shared" si="15"/>
        <v>-38.449372918048745</v>
      </c>
      <c r="S14" s="346">
        <f t="shared" si="16"/>
        <v>141.55062708195126</v>
      </c>
      <c r="U14" s="319">
        <f t="shared" ref="U14:U77" si="23">IF(Q14&lt;0,A14,1000000000)</f>
        <v>1000000000</v>
      </c>
      <c r="V14" s="319">
        <f t="shared" ref="V14:V77" si="24">A14^2</f>
        <v>1.2023122500000001</v>
      </c>
      <c r="X14" s="345">
        <f t="shared" si="17"/>
        <v>95.584788142756722</v>
      </c>
      <c r="Y14" s="346">
        <f t="shared" si="18"/>
        <v>-38.434445743525053</v>
      </c>
      <c r="AA14" s="345">
        <f t="shared" si="19"/>
        <v>59.743296311856952</v>
      </c>
      <c r="AB14" s="346">
        <f t="shared" si="20"/>
        <v>-1.4927174523691382E-2</v>
      </c>
      <c r="AD14">
        <f t="shared" ref="AD14:AD77" si="25">SUM((Q15&lt;0)*(Q14&gt;0))*A14</f>
        <v>0</v>
      </c>
      <c r="AE14">
        <f t="shared" si="21"/>
        <v>0</v>
      </c>
    </row>
    <row r="15" spans="1:31" x14ac:dyDescent="0.25">
      <c r="A15" s="347">
        <v>1.2022999999999999</v>
      </c>
      <c r="B15" s="364">
        <f t="shared" si="22"/>
        <v>1.2022999999999999E-3</v>
      </c>
      <c r="C15" s="337">
        <f t="shared" si="0"/>
        <v>1.0000000369842823</v>
      </c>
      <c r="D15" s="338">
        <f t="shared" si="1"/>
        <v>2.7197162082467685E-4</v>
      </c>
      <c r="E15" s="338">
        <f t="shared" si="2"/>
        <v>1.0000000000016436</v>
      </c>
      <c r="F15" s="339">
        <f t="shared" si="3"/>
        <v>1.8130256846836137E-6</v>
      </c>
      <c r="G15" s="338">
        <f t="shared" si="4"/>
        <v>1</v>
      </c>
      <c r="H15" s="339">
        <f t="shared" si="5"/>
        <v>0</v>
      </c>
      <c r="I15" s="337">
        <f t="shared" si="6"/>
        <v>1.3257805851012605</v>
      </c>
      <c r="J15" s="340">
        <f t="shared" si="7"/>
        <v>0.71625077117019031</v>
      </c>
      <c r="K15" s="348">
        <f t="shared" si="8"/>
        <v>1.0000000208009399</v>
      </c>
      <c r="L15" s="349">
        <f t="shared" si="9"/>
        <v>2.0396538669868218E-4</v>
      </c>
      <c r="M15" s="337">
        <f t="shared" si="10"/>
        <v>1.0000000000501315</v>
      </c>
      <c r="N15" s="340">
        <f t="shared" si="11"/>
        <v>1.001313663367905E-5</v>
      </c>
      <c r="O15" s="341">
        <f t="shared" si="12"/>
        <v>1.0000000000007814</v>
      </c>
      <c r="P15" s="342">
        <f t="shared" si="13"/>
        <v>1.5507821408006197E-5</v>
      </c>
      <c r="Q15" s="343">
        <f t="shared" si="14"/>
        <v>92.759584118936999</v>
      </c>
      <c r="R15" s="344">
        <f t="shared" si="15"/>
        <v>-41.043401142602363</v>
      </c>
      <c r="S15" s="346">
        <f t="shared" si="16"/>
        <v>138.95659885739764</v>
      </c>
      <c r="U15" s="319">
        <f t="shared" si="23"/>
        <v>1000000000</v>
      </c>
      <c r="V15" s="319">
        <f t="shared" si="24"/>
        <v>1.4455252899999997</v>
      </c>
      <c r="X15" s="345">
        <f t="shared" si="17"/>
        <v>95.257791483575446</v>
      </c>
      <c r="Y15" s="346">
        <f t="shared" si="18"/>
        <v>-41.027033662566829</v>
      </c>
      <c r="AA15" s="345">
        <f t="shared" si="19"/>
        <v>59.743296257808595</v>
      </c>
      <c r="AB15" s="346">
        <f t="shared" si="20"/>
        <v>-1.6367480035529076E-2</v>
      </c>
      <c r="AD15">
        <f t="shared" si="25"/>
        <v>0</v>
      </c>
      <c r="AE15">
        <f t="shared" si="21"/>
        <v>0</v>
      </c>
    </row>
    <row r="16" spans="1:31" x14ac:dyDescent="0.25">
      <c r="A16" s="347">
        <v>1.3183</v>
      </c>
      <c r="B16" s="364">
        <f t="shared" si="22"/>
        <v>1.3183000000000001E-3</v>
      </c>
      <c r="C16" s="337">
        <f t="shared" si="0"/>
        <v>1.0000000444651749</v>
      </c>
      <c r="D16" s="338">
        <f t="shared" si="1"/>
        <v>2.9821191544958652E-4</v>
      </c>
      <c r="E16" s="338">
        <f t="shared" si="2"/>
        <v>1.000000000001976</v>
      </c>
      <c r="F16" s="339">
        <f t="shared" si="3"/>
        <v>1.9879495634349819E-6</v>
      </c>
      <c r="G16" s="338">
        <f t="shared" si="4"/>
        <v>1</v>
      </c>
      <c r="H16" s="339">
        <f t="shared" si="5"/>
        <v>0</v>
      </c>
      <c r="I16" s="337">
        <f t="shared" si="6"/>
        <v>1.3823728276609775</v>
      </c>
      <c r="J16" s="340">
        <f t="shared" si="7"/>
        <v>0.76209106352133738</v>
      </c>
      <c r="K16" s="348">
        <f t="shared" si="8"/>
        <v>1.000000025008392</v>
      </c>
      <c r="L16" s="349">
        <f t="shared" si="9"/>
        <v>2.2364432215807344E-4</v>
      </c>
      <c r="M16" s="337">
        <f t="shared" si="10"/>
        <v>1.0000000000602718</v>
      </c>
      <c r="N16" s="340">
        <f t="shared" si="11"/>
        <v>1.0979221512176544E-5</v>
      </c>
      <c r="O16" s="341">
        <f t="shared" si="12"/>
        <v>1.0000000000009392</v>
      </c>
      <c r="P16" s="342">
        <f t="shared" si="13"/>
        <v>1.7004043052763115E-5</v>
      </c>
      <c r="Q16" s="343">
        <f t="shared" si="14"/>
        <v>92.396513415815093</v>
      </c>
      <c r="R16" s="344">
        <f t="shared" si="15"/>
        <v>-43.670363424530372</v>
      </c>
      <c r="S16" s="346">
        <f t="shared" si="16"/>
        <v>136.32963657546964</v>
      </c>
      <c r="U16" s="319">
        <f t="shared" si="23"/>
        <v>1000000000</v>
      </c>
      <c r="V16" s="319">
        <f t="shared" si="24"/>
        <v>1.7379148900000001</v>
      </c>
      <c r="X16" s="345">
        <f t="shared" si="17"/>
        <v>94.894720845430228</v>
      </c>
      <c r="Y16" s="346">
        <f t="shared" si="18"/>
        <v>-43.652416781572384</v>
      </c>
      <c r="AA16" s="345">
        <f t="shared" si="19"/>
        <v>59.743296192831899</v>
      </c>
      <c r="AB16" s="346">
        <f t="shared" si="20"/>
        <v>-1.7946642957992861E-2</v>
      </c>
      <c r="AD16">
        <f t="shared" si="25"/>
        <v>0</v>
      </c>
      <c r="AE16">
        <f t="shared" si="21"/>
        <v>0</v>
      </c>
    </row>
    <row r="17" spans="1:31" x14ac:dyDescent="0.25">
      <c r="A17" s="347">
        <v>1.4454</v>
      </c>
      <c r="B17" s="364">
        <f t="shared" si="22"/>
        <v>1.4454000000000001E-3</v>
      </c>
      <c r="C17" s="337">
        <f t="shared" si="0"/>
        <v>1.000000053452448</v>
      </c>
      <c r="D17" s="338">
        <f t="shared" si="1"/>
        <v>3.2696313434595813E-4</v>
      </c>
      <c r="E17" s="338">
        <f t="shared" si="2"/>
        <v>1.0000000000023754</v>
      </c>
      <c r="F17" s="339">
        <f t="shared" si="3"/>
        <v>2.1796118478253486E-6</v>
      </c>
      <c r="G17" s="338">
        <f t="shared" si="4"/>
        <v>1</v>
      </c>
      <c r="H17" s="339">
        <f t="shared" si="5"/>
        <v>0</v>
      </c>
      <c r="I17" s="337">
        <f t="shared" si="6"/>
        <v>1.4474378105283858</v>
      </c>
      <c r="J17" s="340">
        <f t="shared" si="7"/>
        <v>0.80809635416323555</v>
      </c>
      <c r="K17" s="348">
        <f t="shared" si="8"/>
        <v>1.0000000300630723</v>
      </c>
      <c r="L17" s="349">
        <f t="shared" si="9"/>
        <v>2.4520632796630292E-4</v>
      </c>
      <c r="M17" s="337">
        <f t="shared" si="10"/>
        <v>1.0000000000724536</v>
      </c>
      <c r="N17" s="340">
        <f t="shared" si="11"/>
        <v>1.2037750719541148E-5</v>
      </c>
      <c r="O17" s="341">
        <f t="shared" si="12"/>
        <v>1.0000000000011293</v>
      </c>
      <c r="P17" s="342">
        <f t="shared" si="13"/>
        <v>1.8643437630811294E-5</v>
      </c>
      <c r="Q17" s="343">
        <f t="shared" si="14"/>
        <v>91.997018888528402</v>
      </c>
      <c r="R17" s="344">
        <f t="shared" si="15"/>
        <v>-46.306827926370779</v>
      </c>
      <c r="S17" s="346">
        <f t="shared" si="16"/>
        <v>133.69317207362923</v>
      </c>
      <c r="U17" s="319">
        <f t="shared" si="23"/>
        <v>1000000000</v>
      </c>
      <c r="V17" s="319">
        <f t="shared" si="24"/>
        <v>2.0891811599999999</v>
      </c>
      <c r="X17" s="345">
        <f t="shared" si="17"/>
        <v>94.495226396204146</v>
      </c>
      <c r="Y17" s="346">
        <f t="shared" si="18"/>
        <v>-46.2871510109619</v>
      </c>
      <c r="AA17" s="345">
        <f t="shared" si="19"/>
        <v>59.743296114771255</v>
      </c>
      <c r="AB17" s="346">
        <f t="shared" si="20"/>
        <v>-1.9676915408880249E-2</v>
      </c>
      <c r="AD17">
        <f t="shared" si="25"/>
        <v>0</v>
      </c>
      <c r="AE17">
        <f t="shared" si="21"/>
        <v>0</v>
      </c>
    </row>
    <row r="18" spans="1:31" x14ac:dyDescent="0.25">
      <c r="A18" s="347">
        <v>1.5849</v>
      </c>
      <c r="B18" s="364">
        <f t="shared" si="22"/>
        <v>1.5849E-3</v>
      </c>
      <c r="C18" s="337">
        <f t="shared" si="0"/>
        <v>1.0000000642680655</v>
      </c>
      <c r="D18" s="338">
        <f t="shared" si="1"/>
        <v>3.5851934958381487E-4</v>
      </c>
      <c r="E18" s="338">
        <f t="shared" si="2"/>
        <v>1.0000000000028559</v>
      </c>
      <c r="F18" s="339">
        <f t="shared" si="3"/>
        <v>2.3899728916682497E-6</v>
      </c>
      <c r="G18" s="338">
        <f t="shared" si="4"/>
        <v>1</v>
      </c>
      <c r="H18" s="339">
        <f t="shared" si="5"/>
        <v>0</v>
      </c>
      <c r="I18" s="337">
        <f t="shared" si="6"/>
        <v>1.5220561588000192</v>
      </c>
      <c r="J18" s="340">
        <f t="shared" si="7"/>
        <v>0.85395592419206212</v>
      </c>
      <c r="K18" s="348">
        <f t="shared" si="8"/>
        <v>1.0000000361460621</v>
      </c>
      <c r="L18" s="349">
        <f t="shared" si="9"/>
        <v>2.6887194383408202E-4</v>
      </c>
      <c r="M18" s="337">
        <f t="shared" si="10"/>
        <v>1.0000000000871141</v>
      </c>
      <c r="N18" s="340">
        <f t="shared" si="11"/>
        <v>1.3199551069056522E-5</v>
      </c>
      <c r="O18" s="341">
        <f t="shared" si="12"/>
        <v>1.0000000000013578</v>
      </c>
      <c r="P18" s="342">
        <f t="shared" si="13"/>
        <v>2.0442773143359909E-5</v>
      </c>
      <c r="Q18" s="343">
        <f t="shared" si="14"/>
        <v>91.560403577231909</v>
      </c>
      <c r="R18" s="344">
        <f t="shared" si="15"/>
        <v>-48.934997448139512</v>
      </c>
      <c r="S18" s="346">
        <f t="shared" si="16"/>
        <v>131.06500255186049</v>
      </c>
      <c r="U18" s="319">
        <f t="shared" si="23"/>
        <v>1000000000</v>
      </c>
      <c r="V18" s="319">
        <f t="shared" si="24"/>
        <v>2.51190801</v>
      </c>
      <c r="X18" s="345">
        <f t="shared" si="17"/>
        <v>94.058611178848736</v>
      </c>
      <c r="Y18" s="346">
        <f t="shared" si="18"/>
        <v>-48.913421453247118</v>
      </c>
      <c r="AA18" s="345">
        <f t="shared" si="19"/>
        <v>59.743296020830186</v>
      </c>
      <c r="AB18" s="346">
        <f t="shared" si="20"/>
        <v>-2.1575994892396748E-2</v>
      </c>
      <c r="AD18">
        <f t="shared" si="25"/>
        <v>0</v>
      </c>
      <c r="AE18">
        <f t="shared" si="21"/>
        <v>0</v>
      </c>
    </row>
    <row r="19" spans="1:31" x14ac:dyDescent="0.25">
      <c r="A19" s="347">
        <v>1.7378</v>
      </c>
      <c r="B19" s="364">
        <f t="shared" si="22"/>
        <v>1.7378000000000001E-3</v>
      </c>
      <c r="C19" s="337">
        <f t="shared" si="0"/>
        <v>1.0000000772664714</v>
      </c>
      <c r="D19" s="338">
        <f t="shared" si="1"/>
        <v>3.9310677033742184E-4</v>
      </c>
      <c r="E19" s="338">
        <f t="shared" si="2"/>
        <v>1.0000000000034337</v>
      </c>
      <c r="F19" s="339">
        <f t="shared" si="3"/>
        <v>2.6205406594356019E-6</v>
      </c>
      <c r="G19" s="338">
        <f t="shared" si="4"/>
        <v>1</v>
      </c>
      <c r="H19" s="339">
        <f t="shared" si="5"/>
        <v>0</v>
      </c>
      <c r="I19" s="337">
        <f t="shared" si="6"/>
        <v>1.607156592073411</v>
      </c>
      <c r="J19" s="340">
        <f t="shared" si="7"/>
        <v>0.89922494282705245</v>
      </c>
      <c r="K19" s="348">
        <f t="shared" si="8"/>
        <v>1.00000004345671</v>
      </c>
      <c r="L19" s="349">
        <f t="shared" si="9"/>
        <v>2.9481081564617458E-4</v>
      </c>
      <c r="M19" s="337">
        <f t="shared" si="10"/>
        <v>1.0000000001047331</v>
      </c>
      <c r="N19" s="340">
        <f t="shared" si="11"/>
        <v>1.4472950878627668E-5</v>
      </c>
      <c r="O19" s="341">
        <f t="shared" si="12"/>
        <v>1.0000000000016325</v>
      </c>
      <c r="P19" s="342">
        <f t="shared" si="13"/>
        <v>2.2414948052887598E-5</v>
      </c>
      <c r="Q19" s="343">
        <f t="shared" si="14"/>
        <v>91.087853183150798</v>
      </c>
      <c r="R19" s="344">
        <f t="shared" si="15"/>
        <v>-51.52938943411484</v>
      </c>
      <c r="S19" s="346">
        <f t="shared" si="16"/>
        <v>128.47061056588515</v>
      </c>
      <c r="U19" s="319">
        <f t="shared" si="23"/>
        <v>1000000000</v>
      </c>
      <c r="V19" s="319">
        <f t="shared" si="24"/>
        <v>3.0199488400000001</v>
      </c>
      <c r="X19" s="345">
        <f t="shared" si="17"/>
        <v>93.586060897667693</v>
      </c>
      <c r="Y19" s="346">
        <f t="shared" si="18"/>
        <v>-51.505731939247838</v>
      </c>
      <c r="AA19" s="345">
        <f t="shared" si="19"/>
        <v>59.743295907930118</v>
      </c>
      <c r="AB19" s="346">
        <f t="shared" si="20"/>
        <v>-2.3657494866992791E-2</v>
      </c>
      <c r="AD19">
        <f t="shared" si="25"/>
        <v>0</v>
      </c>
      <c r="AE19">
        <f t="shared" si="21"/>
        <v>0</v>
      </c>
    </row>
    <row r="20" spans="1:31" x14ac:dyDescent="0.25">
      <c r="A20" s="347">
        <v>1.9055</v>
      </c>
      <c r="B20" s="364">
        <f t="shared" si="22"/>
        <v>1.9055000000000001E-3</v>
      </c>
      <c r="C20" s="337">
        <f t="shared" si="0"/>
        <v>1.0000000928986488</v>
      </c>
      <c r="D20" s="338">
        <f t="shared" si="1"/>
        <v>4.310420894646183E-4</v>
      </c>
      <c r="E20" s="338">
        <f t="shared" si="2"/>
        <v>1.0000000000041283</v>
      </c>
      <c r="F20" s="339">
        <f t="shared" si="3"/>
        <v>2.8734263013880922E-6</v>
      </c>
      <c r="G20" s="338">
        <f t="shared" si="4"/>
        <v>1</v>
      </c>
      <c r="H20" s="339">
        <f t="shared" si="5"/>
        <v>0</v>
      </c>
      <c r="I20" s="337">
        <f t="shared" si="6"/>
        <v>1.7038801453386523</v>
      </c>
      <c r="J20" s="340">
        <f t="shared" si="7"/>
        <v>0.94357685426029581</v>
      </c>
      <c r="K20" s="348">
        <f t="shared" si="8"/>
        <v>1.0000000522486607</v>
      </c>
      <c r="L20" s="349">
        <f t="shared" si="9"/>
        <v>3.2326044764709975E-4</v>
      </c>
      <c r="M20" s="337">
        <f t="shared" si="10"/>
        <v>1.0000000001259224</v>
      </c>
      <c r="N20" s="340">
        <f t="shared" si="11"/>
        <v>1.5869609793322276E-5</v>
      </c>
      <c r="O20" s="341">
        <f t="shared" si="12"/>
        <v>1.0000000000019627</v>
      </c>
      <c r="P20" s="342">
        <f t="shared" si="13"/>
        <v>2.4578020206863161E-5</v>
      </c>
      <c r="Q20" s="343">
        <f t="shared" si="14"/>
        <v>90.580236157469301</v>
      </c>
      <c r="R20" s="344">
        <f t="shared" si="15"/>
        <v>-54.071299733606821</v>
      </c>
      <c r="S20" s="346">
        <f t="shared" si="16"/>
        <v>125.92870026639318</v>
      </c>
      <c r="U20" s="319">
        <f t="shared" si="23"/>
        <v>1000000000</v>
      </c>
      <c r="V20" s="319">
        <f t="shared" si="24"/>
        <v>3.63093025</v>
      </c>
      <c r="X20" s="345">
        <f t="shared" si="17"/>
        <v>93.078444007762386</v>
      </c>
      <c r="Y20" s="346">
        <f t="shared" si="18"/>
        <v>-54.045359259431528</v>
      </c>
      <c r="AA20" s="345">
        <f t="shared" si="19"/>
        <v>59.743295772153928</v>
      </c>
      <c r="AB20" s="346">
        <f t="shared" si="20"/>
        <v>-2.5940474175293476E-2</v>
      </c>
      <c r="AD20">
        <f t="shared" si="25"/>
        <v>0</v>
      </c>
      <c r="AE20">
        <f t="shared" si="21"/>
        <v>0</v>
      </c>
    </row>
    <row r="21" spans="1:31" x14ac:dyDescent="0.25">
      <c r="A21" s="347">
        <v>2.0893000000000002</v>
      </c>
      <c r="B21" s="364">
        <f t="shared" si="22"/>
        <v>2.0893000000000001E-3</v>
      </c>
      <c r="C21" s="337">
        <f t="shared" si="0"/>
        <v>1.0000001116845489</v>
      </c>
      <c r="D21" s="338">
        <f t="shared" si="1"/>
        <v>4.7261937876655525E-4</v>
      </c>
      <c r="E21" s="338">
        <f t="shared" si="2"/>
        <v>1.0000000000049631</v>
      </c>
      <c r="F21" s="339">
        <f t="shared" si="3"/>
        <v>3.1505901713391761E-6</v>
      </c>
      <c r="G21" s="338">
        <f t="shared" si="4"/>
        <v>1</v>
      </c>
      <c r="H21" s="339">
        <f t="shared" si="5"/>
        <v>0</v>
      </c>
      <c r="I21" s="337">
        <f t="shared" si="6"/>
        <v>1.8133044099061553</v>
      </c>
      <c r="J21" s="340">
        <f t="shared" si="7"/>
        <v>0.98665968486288491</v>
      </c>
      <c r="K21" s="348">
        <f t="shared" si="8"/>
        <v>1.0000000628143491</v>
      </c>
      <c r="L21" s="349">
        <f t="shared" si="9"/>
        <v>3.5444137943416041E-4</v>
      </c>
      <c r="M21" s="337">
        <f t="shared" si="10"/>
        <v>1.000000000151386</v>
      </c>
      <c r="N21" s="340">
        <f t="shared" si="11"/>
        <v>1.7400354626410586E-5</v>
      </c>
      <c r="O21" s="341">
        <f t="shared" si="12"/>
        <v>1.0000000000023594</v>
      </c>
      <c r="P21" s="342">
        <f t="shared" si="13"/>
        <v>2.6948757606520233E-5</v>
      </c>
      <c r="Q21" s="343">
        <f t="shared" si="14"/>
        <v>90.039602576569436</v>
      </c>
      <c r="R21" s="344">
        <f t="shared" si="15"/>
        <v>-56.540567424987508</v>
      </c>
      <c r="S21" s="346">
        <f t="shared" si="16"/>
        <v>123.4594325750125</v>
      </c>
      <c r="U21" s="319">
        <f t="shared" si="23"/>
        <v>1000000000</v>
      </c>
      <c r="V21" s="319">
        <f t="shared" si="24"/>
        <v>4.3651744900000002</v>
      </c>
      <c r="X21" s="345">
        <f t="shared" si="17"/>
        <v>92.537810590030972</v>
      </c>
      <c r="Y21" s="346">
        <f t="shared" si="18"/>
        <v>-56.512124794681405</v>
      </c>
      <c r="AA21" s="345">
        <f t="shared" si="19"/>
        <v>59.743295608985491</v>
      </c>
      <c r="AB21" s="346">
        <f t="shared" si="20"/>
        <v>-2.8442630306100485E-2</v>
      </c>
      <c r="AD21">
        <f t="shared" si="25"/>
        <v>0</v>
      </c>
      <c r="AE21">
        <f t="shared" si="21"/>
        <v>0</v>
      </c>
    </row>
    <row r="22" spans="1:31" x14ac:dyDescent="0.25">
      <c r="A22" s="347">
        <v>2.2909000000000002</v>
      </c>
      <c r="B22" s="364">
        <f t="shared" si="22"/>
        <v>2.2909000000000002E-3</v>
      </c>
      <c r="C22" s="337">
        <f t="shared" si="0"/>
        <v>1.0000001342776541</v>
      </c>
      <c r="D22" s="338">
        <f t="shared" si="1"/>
        <v>5.1822319365732168E-4</v>
      </c>
      <c r="E22" s="338">
        <f t="shared" si="2"/>
        <v>1.0000000000059672</v>
      </c>
      <c r="F22" s="339">
        <f t="shared" si="3"/>
        <v>3.4545958088910579E-6</v>
      </c>
      <c r="G22" s="338">
        <f t="shared" si="4"/>
        <v>1</v>
      </c>
      <c r="H22" s="339">
        <f t="shared" si="5"/>
        <v>0</v>
      </c>
      <c r="I22" s="337">
        <f t="shared" si="6"/>
        <v>1.936733370309218</v>
      </c>
      <c r="J22" s="340">
        <f t="shared" si="7"/>
        <v>1.0282324778528349</v>
      </c>
      <c r="K22" s="348">
        <f t="shared" si="8"/>
        <v>1.0000000755213103</v>
      </c>
      <c r="L22" s="349">
        <f t="shared" si="9"/>
        <v>3.8864200893462092E-4</v>
      </c>
      <c r="M22" s="337">
        <f t="shared" si="10"/>
        <v>1.0000000001820106</v>
      </c>
      <c r="N22" s="340">
        <f t="shared" si="11"/>
        <v>1.9079343518322005E-5</v>
      </c>
      <c r="O22" s="341">
        <f t="shared" si="12"/>
        <v>1.0000000000028368</v>
      </c>
      <c r="P22" s="342">
        <f t="shared" si="13"/>
        <v>2.9549087638089021E-5</v>
      </c>
      <c r="Q22" s="343">
        <f t="shared" si="14"/>
        <v>89.467620133301565</v>
      </c>
      <c r="R22" s="344">
        <f t="shared" si="15"/>
        <v>-58.923394131674875</v>
      </c>
      <c r="S22" s="346">
        <f t="shared" si="16"/>
        <v>121.07660586832512</v>
      </c>
      <c r="U22" s="319">
        <f t="shared" si="23"/>
        <v>1000000000</v>
      </c>
      <c r="V22" s="319">
        <f t="shared" si="24"/>
        <v>5.2482228100000006</v>
      </c>
      <c r="X22" s="345">
        <f t="shared" si="17"/>
        <v>91.965828342999728</v>
      </c>
      <c r="Y22" s="346">
        <f t="shared" si="18"/>
        <v>-58.892207025546533</v>
      </c>
      <c r="AA22" s="345">
        <f t="shared" si="19"/>
        <v>59.743295412748871</v>
      </c>
      <c r="AB22" s="346">
        <f t="shared" si="20"/>
        <v>-3.118710612834338E-2</v>
      </c>
      <c r="AD22">
        <f t="shared" si="25"/>
        <v>0</v>
      </c>
      <c r="AE22">
        <f t="shared" si="21"/>
        <v>0</v>
      </c>
    </row>
    <row r="23" spans="1:31" x14ac:dyDescent="0.25">
      <c r="A23" s="347">
        <v>2.5118999999999998</v>
      </c>
      <c r="B23" s="364">
        <f t="shared" si="22"/>
        <v>2.5118999999999996E-3</v>
      </c>
      <c r="C23" s="337">
        <f t="shared" si="0"/>
        <v>1.0000001614344309</v>
      </c>
      <c r="D23" s="338">
        <f t="shared" si="1"/>
        <v>5.6821546841011328E-4</v>
      </c>
      <c r="E23" s="338">
        <f t="shared" si="2"/>
        <v>1.0000000000071738</v>
      </c>
      <c r="F23" s="339">
        <f t="shared" si="3"/>
        <v>3.7878559571986843E-6</v>
      </c>
      <c r="G23" s="338">
        <f t="shared" si="4"/>
        <v>1</v>
      </c>
      <c r="H23" s="339">
        <f t="shared" si="5"/>
        <v>0</v>
      </c>
      <c r="I23" s="337">
        <f t="shared" si="6"/>
        <v>2.0754023763818883</v>
      </c>
      <c r="J23" s="340">
        <f t="shared" si="7"/>
        <v>1.0680495215842307</v>
      </c>
      <c r="K23" s="348">
        <f t="shared" si="8"/>
        <v>1.0000000907950015</v>
      </c>
      <c r="L23" s="349">
        <f t="shared" si="9"/>
        <v>4.2613376939301255E-4</v>
      </c>
      <c r="M23" s="337">
        <f t="shared" si="10"/>
        <v>1.0000000002188212</v>
      </c>
      <c r="N23" s="340">
        <f t="shared" si="11"/>
        <v>2.0919901777684288E-5</v>
      </c>
      <c r="O23" s="341">
        <f t="shared" si="12"/>
        <v>1.0000000000034106</v>
      </c>
      <c r="P23" s="342">
        <f t="shared" si="13"/>
        <v>3.2399647841572196E-5</v>
      </c>
      <c r="Q23" s="343">
        <f t="shared" si="14"/>
        <v>88.866970548288876</v>
      </c>
      <c r="R23" s="344">
        <f t="shared" si="15"/>
        <v>-61.205708606379552</v>
      </c>
      <c r="S23" s="346">
        <f t="shared" si="16"/>
        <v>118.79429139362045</v>
      </c>
      <c r="U23" s="319">
        <f t="shared" si="23"/>
        <v>1000000000</v>
      </c>
      <c r="V23" s="319">
        <f t="shared" si="24"/>
        <v>6.309641609999999</v>
      </c>
      <c r="X23" s="345">
        <f t="shared" si="17"/>
        <v>91.365178993862258</v>
      </c>
      <c r="Y23" s="346">
        <f t="shared" si="18"/>
        <v>-61.171512923227262</v>
      </c>
      <c r="AA23" s="345">
        <f t="shared" si="19"/>
        <v>59.743295176873644</v>
      </c>
      <c r="AB23" s="346">
        <f t="shared" si="20"/>
        <v>-3.4195683152304167E-2</v>
      </c>
      <c r="AD23">
        <f t="shared" si="25"/>
        <v>0</v>
      </c>
      <c r="AE23">
        <f t="shared" si="21"/>
        <v>0</v>
      </c>
    </row>
    <row r="24" spans="1:31" x14ac:dyDescent="0.25">
      <c r="A24" s="347">
        <v>2.7542</v>
      </c>
      <c r="B24" s="364">
        <f t="shared" si="22"/>
        <v>2.7542000000000001E-3</v>
      </c>
      <c r="C24" s="337">
        <f t="shared" si="0"/>
        <v>1.0000001940807297</v>
      </c>
      <c r="D24" s="338">
        <f t="shared" si="1"/>
        <v>6.2302599985454175E-4</v>
      </c>
      <c r="E24" s="338">
        <f t="shared" si="2"/>
        <v>1.0000000000086247</v>
      </c>
      <c r="F24" s="339">
        <f t="shared" si="3"/>
        <v>4.1532357487585205E-6</v>
      </c>
      <c r="G24" s="338">
        <f t="shared" si="4"/>
        <v>1</v>
      </c>
      <c r="H24" s="339">
        <f t="shared" si="5"/>
        <v>0</v>
      </c>
      <c r="I24" s="337">
        <f t="shared" si="6"/>
        <v>2.2307212621446033</v>
      </c>
      <c r="J24" s="340">
        <f t="shared" si="7"/>
        <v>1.1059499307468701</v>
      </c>
      <c r="K24" s="348">
        <f t="shared" si="8"/>
        <v>1.0000001091561457</v>
      </c>
      <c r="L24" s="349">
        <f t="shared" si="9"/>
        <v>4.6723898773668208E-4</v>
      </c>
      <c r="M24" s="337">
        <f t="shared" si="10"/>
        <v>1.0000000002630727</v>
      </c>
      <c r="N24" s="340">
        <f t="shared" si="11"/>
        <v>2.2937853208486918E-5</v>
      </c>
      <c r="O24" s="341">
        <f t="shared" si="12"/>
        <v>1.0000000000041003</v>
      </c>
      <c r="P24" s="342">
        <f t="shared" si="13"/>
        <v>3.5524945295733828E-5</v>
      </c>
      <c r="Q24" s="343">
        <f t="shared" si="14"/>
        <v>88.240110481718744</v>
      </c>
      <c r="R24" s="344">
        <f t="shared" si="15"/>
        <v>-63.378301104031991</v>
      </c>
      <c r="S24" s="346">
        <f t="shared" si="16"/>
        <v>116.62169889596801</v>
      </c>
      <c r="U24" s="319">
        <f t="shared" si="23"/>
        <v>1000000000</v>
      </c>
      <c r="V24" s="319">
        <f t="shared" si="24"/>
        <v>7.5856176399999997</v>
      </c>
      <c r="X24" s="345">
        <f t="shared" si="17"/>
        <v>90.738319210847607</v>
      </c>
      <c r="Y24" s="346">
        <f t="shared" si="18"/>
        <v>-63.340806877117409</v>
      </c>
      <c r="AA24" s="345">
        <f t="shared" si="19"/>
        <v>59.743294893318151</v>
      </c>
      <c r="AB24" s="346">
        <f t="shared" si="20"/>
        <v>-3.7494226914578835E-2</v>
      </c>
      <c r="AD24">
        <f t="shared" si="25"/>
        <v>0</v>
      </c>
      <c r="AE24">
        <f t="shared" si="21"/>
        <v>0</v>
      </c>
    </row>
    <row r="25" spans="1:31" x14ac:dyDescent="0.25">
      <c r="A25" s="347">
        <v>3.02</v>
      </c>
      <c r="B25" s="364">
        <f t="shared" si="22"/>
        <v>3.0200000000000001E-3</v>
      </c>
      <c r="C25" s="337">
        <f t="shared" si="0"/>
        <v>1.0000002333486784</v>
      </c>
      <c r="D25" s="338">
        <f t="shared" si="1"/>
        <v>6.8315244728219405E-4</v>
      </c>
      <c r="E25" s="338">
        <f t="shared" si="2"/>
        <v>1.0000000000103697</v>
      </c>
      <c r="F25" s="339">
        <f t="shared" si="3"/>
        <v>4.5540527054085181E-6</v>
      </c>
      <c r="G25" s="338">
        <f t="shared" si="4"/>
        <v>1</v>
      </c>
      <c r="H25" s="339">
        <f t="shared" si="5"/>
        <v>0</v>
      </c>
      <c r="I25" s="337">
        <f t="shared" si="6"/>
        <v>2.4042872053430173</v>
      </c>
      <c r="J25" s="340">
        <f t="shared" si="7"/>
        <v>1.141838048131925</v>
      </c>
      <c r="K25" s="348">
        <f t="shared" si="8"/>
        <v>1.0000001312414819</v>
      </c>
      <c r="L25" s="349">
        <f t="shared" si="9"/>
        <v>5.1233088453595714E-4</v>
      </c>
      <c r="M25" s="337">
        <f t="shared" si="10"/>
        <v>1.0000000003162994</v>
      </c>
      <c r="N25" s="340">
        <f t="shared" si="11"/>
        <v>2.5151520110076393E-5</v>
      </c>
      <c r="O25" s="341">
        <f t="shared" si="12"/>
        <v>1.0000000000049298</v>
      </c>
      <c r="P25" s="342">
        <f t="shared" si="13"/>
        <v>3.8953356618107946E-5</v>
      </c>
      <c r="Q25" s="343">
        <f t="shared" si="14"/>
        <v>87.589289561707048</v>
      </c>
      <c r="R25" s="344">
        <f t="shared" si="15"/>
        <v>-65.435700485664455</v>
      </c>
      <c r="S25" s="346">
        <f t="shared" si="16"/>
        <v>114.56429951433554</v>
      </c>
      <c r="U25" s="319">
        <f t="shared" si="23"/>
        <v>1000000000</v>
      </c>
      <c r="V25" s="319">
        <f t="shared" si="24"/>
        <v>9.1204000000000001</v>
      </c>
      <c r="X25" s="345">
        <f t="shared" si="17"/>
        <v>90.087498631904964</v>
      </c>
      <c r="Y25" s="346">
        <f t="shared" si="18"/>
        <v>-65.394587798691788</v>
      </c>
      <c r="AA25" s="345">
        <f t="shared" si="19"/>
        <v>59.743294552249111</v>
      </c>
      <c r="AB25" s="346">
        <f t="shared" si="20"/>
        <v>-4.1112686972666811E-2</v>
      </c>
      <c r="AD25">
        <f t="shared" si="25"/>
        <v>0</v>
      </c>
      <c r="AE25">
        <f t="shared" si="21"/>
        <v>0</v>
      </c>
    </row>
    <row r="26" spans="1:31" x14ac:dyDescent="0.25">
      <c r="A26" s="347">
        <v>3.3113000000000001</v>
      </c>
      <c r="B26" s="364">
        <f t="shared" si="22"/>
        <v>3.3113000000000001E-3</v>
      </c>
      <c r="C26" s="337">
        <f t="shared" si="0"/>
        <v>1.0000002805359403</v>
      </c>
      <c r="D26" s="338">
        <f t="shared" si="1"/>
        <v>7.4904722765671951E-4</v>
      </c>
      <c r="E26" s="338">
        <f t="shared" si="2"/>
        <v>1.0000000000124665</v>
      </c>
      <c r="F26" s="339">
        <f t="shared" si="3"/>
        <v>4.9933227560921005E-6</v>
      </c>
      <c r="G26" s="338">
        <f t="shared" si="4"/>
        <v>1</v>
      </c>
      <c r="H26" s="339">
        <f t="shared" si="5"/>
        <v>0</v>
      </c>
      <c r="I26" s="337">
        <f t="shared" si="6"/>
        <v>2.5975602036534871</v>
      </c>
      <c r="J26" s="340">
        <f t="shared" si="7"/>
        <v>1.1756138149208739</v>
      </c>
      <c r="K26" s="348">
        <f t="shared" si="8"/>
        <v>1.0000001577808504</v>
      </c>
      <c r="L26" s="349">
        <f t="shared" si="9"/>
        <v>5.6174875097623328E-4</v>
      </c>
      <c r="M26" s="337">
        <f t="shared" si="10"/>
        <v>1.0000000003802609</v>
      </c>
      <c r="N26" s="340">
        <f t="shared" si="11"/>
        <v>2.7577559118193591E-5</v>
      </c>
      <c r="O26" s="341">
        <f t="shared" si="12"/>
        <v>1.0000000000059268</v>
      </c>
      <c r="P26" s="342">
        <f t="shared" si="13"/>
        <v>4.2710678733777674E-5</v>
      </c>
      <c r="Q26" s="343">
        <f t="shared" si="14"/>
        <v>86.917703847959132</v>
      </c>
      <c r="R26" s="344">
        <f t="shared" si="15"/>
        <v>-67.372182544505577</v>
      </c>
      <c r="S26" s="346">
        <f t="shared" si="16"/>
        <v>112.62781745549442</v>
      </c>
      <c r="U26" s="319">
        <f t="shared" si="23"/>
        <v>1000000000</v>
      </c>
      <c r="V26" s="319">
        <f t="shared" si="24"/>
        <v>10.964707690000001</v>
      </c>
      <c r="X26" s="345">
        <f t="shared" si="17"/>
        <v>89.415913328010731</v>
      </c>
      <c r="Y26" s="346">
        <f t="shared" si="18"/>
        <v>-67.32710425434145</v>
      </c>
      <c r="AA26" s="345">
        <f t="shared" si="19"/>
        <v>59.743294142395413</v>
      </c>
      <c r="AB26" s="346">
        <f t="shared" si="20"/>
        <v>-4.5078290164128343E-2</v>
      </c>
      <c r="AD26">
        <f t="shared" si="25"/>
        <v>0</v>
      </c>
      <c r="AE26">
        <f t="shared" si="21"/>
        <v>0</v>
      </c>
    </row>
    <row r="27" spans="1:31" x14ac:dyDescent="0.25">
      <c r="A27" s="347">
        <v>3.6307999999999998</v>
      </c>
      <c r="B27" s="364">
        <f t="shared" si="22"/>
        <v>3.6308E-3</v>
      </c>
      <c r="C27" s="337">
        <f t="shared" si="0"/>
        <v>1.0000003372842727</v>
      </c>
      <c r="D27" s="338">
        <f t="shared" si="1"/>
        <v>8.2132110388246119E-4</v>
      </c>
      <c r="E27" s="338">
        <f t="shared" si="2"/>
        <v>1.0000000000149885</v>
      </c>
      <c r="F27" s="339">
        <f t="shared" si="3"/>
        <v>5.4751174048828916E-6</v>
      </c>
      <c r="G27" s="338">
        <f t="shared" si="4"/>
        <v>1</v>
      </c>
      <c r="H27" s="339">
        <f t="shared" si="5"/>
        <v>0</v>
      </c>
      <c r="I27" s="337">
        <f t="shared" si="6"/>
        <v>2.8124576596785653</v>
      </c>
      <c r="J27" s="340">
        <f t="shared" si="7"/>
        <v>1.2072822034150517</v>
      </c>
      <c r="K27" s="348">
        <f t="shared" si="8"/>
        <v>1.0000001896976194</v>
      </c>
      <c r="L27" s="349">
        <f t="shared" si="9"/>
        <v>6.15950630159235E-4</v>
      </c>
      <c r="M27" s="337">
        <f t="shared" si="10"/>
        <v>1.0000000004571821</v>
      </c>
      <c r="N27" s="340">
        <f t="shared" si="11"/>
        <v>3.0238456691088877E-5</v>
      </c>
      <c r="O27" s="341">
        <f t="shared" si="12"/>
        <v>1.0000000000071259</v>
      </c>
      <c r="P27" s="342">
        <f t="shared" si="13"/>
        <v>4.6831737491604914E-5</v>
      </c>
      <c r="Q27" s="343">
        <f t="shared" si="14"/>
        <v>86.227296210303308</v>
      </c>
      <c r="R27" s="344">
        <f t="shared" si="15"/>
        <v>-69.188043973110098</v>
      </c>
      <c r="S27" s="346">
        <f t="shared" si="16"/>
        <v>110.8119560268899</v>
      </c>
      <c r="U27" s="319">
        <f t="shared" si="23"/>
        <v>1000000000</v>
      </c>
      <c r="V27" s="319">
        <f t="shared" si="24"/>
        <v>13.182708639999998</v>
      </c>
      <c r="X27" s="345">
        <f t="shared" si="17"/>
        <v>88.725506183253032</v>
      </c>
      <c r="Y27" s="346">
        <f t="shared" si="18"/>
        <v>-69.138616180390216</v>
      </c>
      <c r="AA27" s="345">
        <f t="shared" si="19"/>
        <v>59.743293649497311</v>
      </c>
      <c r="AB27" s="346">
        <f t="shared" si="20"/>
        <v>-4.9427792719865499E-2</v>
      </c>
      <c r="AD27">
        <f t="shared" si="25"/>
        <v>0</v>
      </c>
      <c r="AE27">
        <f t="shared" si="21"/>
        <v>0</v>
      </c>
    </row>
    <row r="28" spans="1:31" x14ac:dyDescent="0.25">
      <c r="A28" s="347">
        <v>3.9811000000000001</v>
      </c>
      <c r="B28" s="364">
        <f t="shared" si="22"/>
        <v>3.9811000000000004E-3</v>
      </c>
      <c r="C28" s="337">
        <f t="shared" si="0"/>
        <v>1.0000004055062905</v>
      </c>
      <c r="D28" s="338">
        <f t="shared" si="1"/>
        <v>9.0056221712938233E-4</v>
      </c>
      <c r="E28" s="338">
        <f t="shared" si="2"/>
        <v>1.0000000000180203</v>
      </c>
      <c r="F28" s="339">
        <f t="shared" si="3"/>
        <v>6.0033573594070806E-6</v>
      </c>
      <c r="G28" s="338">
        <f t="shared" si="4"/>
        <v>1</v>
      </c>
      <c r="H28" s="339">
        <f t="shared" si="5"/>
        <v>0</v>
      </c>
      <c r="I28" s="337">
        <f t="shared" si="6"/>
        <v>3.0508323180757646</v>
      </c>
      <c r="J28" s="340">
        <f t="shared" si="7"/>
        <v>1.2368441607763592</v>
      </c>
      <c r="K28" s="348">
        <f t="shared" si="8"/>
        <v>1.0000002280674949</v>
      </c>
      <c r="L28" s="349">
        <f t="shared" si="9"/>
        <v>6.7537760025362589E-4</v>
      </c>
      <c r="M28" s="337">
        <f t="shared" si="10"/>
        <v>1.0000000005496557</v>
      </c>
      <c r="N28" s="340">
        <f t="shared" si="11"/>
        <v>3.3155866455181363E-5</v>
      </c>
      <c r="O28" s="341">
        <f t="shared" si="12"/>
        <v>1.0000000000085671</v>
      </c>
      <c r="P28" s="342">
        <f t="shared" si="13"/>
        <v>5.1350068894277959E-5</v>
      </c>
      <c r="Q28" s="343">
        <f t="shared" si="14"/>
        <v>85.520649045136537</v>
      </c>
      <c r="R28" s="344">
        <f t="shared" si="15"/>
        <v>-70.883350403439636</v>
      </c>
      <c r="S28" s="346">
        <f t="shared" si="16"/>
        <v>109.11664959656036</v>
      </c>
      <c r="U28" s="319">
        <f t="shared" si="23"/>
        <v>1000000000</v>
      </c>
      <c r="V28" s="319">
        <f t="shared" si="24"/>
        <v>15.849157210000001</v>
      </c>
      <c r="X28" s="345">
        <f t="shared" si="17"/>
        <v>88.018859610641144</v>
      </c>
      <c r="Y28" s="346">
        <f t="shared" si="18"/>
        <v>-70.829153813961497</v>
      </c>
      <c r="AA28" s="345">
        <f t="shared" si="19"/>
        <v>59.74329305694242</v>
      </c>
      <c r="AB28" s="346">
        <f t="shared" si="20"/>
        <v>-5.4196589478131593E-2</v>
      </c>
      <c r="AD28">
        <f t="shared" si="25"/>
        <v>0</v>
      </c>
      <c r="AE28">
        <f t="shared" si="21"/>
        <v>0</v>
      </c>
    </row>
    <row r="29" spans="1:31" x14ac:dyDescent="0.25">
      <c r="A29" s="347">
        <v>4.3651999999999997</v>
      </c>
      <c r="B29" s="364">
        <f t="shared" si="22"/>
        <v>4.3651999999999996E-3</v>
      </c>
      <c r="C29" s="337">
        <f t="shared" si="0"/>
        <v>1.0000004875281507</v>
      </c>
      <c r="D29" s="338">
        <f t="shared" si="1"/>
        <v>9.8744919124210966E-4</v>
      </c>
      <c r="E29" s="338">
        <f t="shared" si="2"/>
        <v>1.0000000000216651</v>
      </c>
      <c r="F29" s="339">
        <f t="shared" si="3"/>
        <v>6.5825665130793258E-6</v>
      </c>
      <c r="G29" s="338">
        <f t="shared" si="4"/>
        <v>1</v>
      </c>
      <c r="H29" s="339">
        <f t="shared" si="5"/>
        <v>0</v>
      </c>
      <c r="I29" s="337">
        <f t="shared" si="6"/>
        <v>3.3148083078644155</v>
      </c>
      <c r="J29" s="340">
        <f t="shared" si="7"/>
        <v>1.2643456631570691</v>
      </c>
      <c r="K29" s="348">
        <f t="shared" si="8"/>
        <v>1.0000002741987697</v>
      </c>
      <c r="L29" s="349">
        <f t="shared" si="9"/>
        <v>7.4053859736227304E-4</v>
      </c>
      <c r="M29" s="337">
        <f t="shared" si="10"/>
        <v>1.0000000006608347</v>
      </c>
      <c r="N29" s="340">
        <f t="shared" si="11"/>
        <v>3.6354773364002467E-5</v>
      </c>
      <c r="O29" s="341">
        <f t="shared" si="12"/>
        <v>1.0000000000103</v>
      </c>
      <c r="P29" s="342">
        <f t="shared" si="13"/>
        <v>5.6304368329566996E-5</v>
      </c>
      <c r="Q29" s="343">
        <f t="shared" si="14"/>
        <v>84.799847125827895</v>
      </c>
      <c r="R29" s="344">
        <f t="shared" si="15"/>
        <v>-72.460749186786899</v>
      </c>
      <c r="S29" s="346">
        <f t="shared" si="16"/>
        <v>107.5392508132131</v>
      </c>
      <c r="U29" s="319">
        <f t="shared" si="23"/>
        <v>1000000000</v>
      </c>
      <c r="V29" s="319">
        <f t="shared" si="24"/>
        <v>19.054971039999998</v>
      </c>
      <c r="X29" s="345">
        <f t="shared" si="17"/>
        <v>87.298058403748385</v>
      </c>
      <c r="Y29" s="346">
        <f t="shared" si="18"/>
        <v>-72.401323666183373</v>
      </c>
      <c r="AA29" s="345">
        <f t="shared" si="19"/>
        <v>59.74329234452653</v>
      </c>
      <c r="AB29" s="346">
        <f t="shared" si="20"/>
        <v>-5.9425520603553585E-2</v>
      </c>
      <c r="AD29">
        <f t="shared" si="25"/>
        <v>0</v>
      </c>
      <c r="AE29">
        <f t="shared" si="21"/>
        <v>0</v>
      </c>
    </row>
    <row r="30" spans="1:31" x14ac:dyDescent="0.25">
      <c r="A30" s="347">
        <v>4.7862999999999998</v>
      </c>
      <c r="B30" s="364">
        <f t="shared" si="22"/>
        <v>4.7862999999999994E-3</v>
      </c>
      <c r="C30" s="337">
        <f t="shared" si="0"/>
        <v>1.000000586126309</v>
      </c>
      <c r="D30" s="338">
        <f t="shared" si="1"/>
        <v>1.0827058905381929E-3</v>
      </c>
      <c r="E30" s="338">
        <f t="shared" si="2"/>
        <v>1.0000000000260467</v>
      </c>
      <c r="F30" s="339">
        <f t="shared" si="3"/>
        <v>7.217570352208272E-6</v>
      </c>
      <c r="G30" s="338">
        <f t="shared" si="4"/>
        <v>1</v>
      </c>
      <c r="H30" s="339">
        <f t="shared" si="5"/>
        <v>0</v>
      </c>
      <c r="I30" s="337">
        <f t="shared" si="6"/>
        <v>3.6066505345929238</v>
      </c>
      <c r="J30" s="340">
        <f t="shared" si="7"/>
        <v>1.2898494085176737</v>
      </c>
      <c r="K30" s="348">
        <f t="shared" si="8"/>
        <v>1.0000003296529976</v>
      </c>
      <c r="L30" s="349">
        <f t="shared" si="9"/>
        <v>8.1197648619054351E-4</v>
      </c>
      <c r="M30" s="337">
        <f t="shared" si="10"/>
        <v>1.0000000007944827</v>
      </c>
      <c r="N30" s="340">
        <f t="shared" si="11"/>
        <v>3.9861828034596676E-5</v>
      </c>
      <c r="O30" s="341">
        <f t="shared" si="12"/>
        <v>1.000000000012383</v>
      </c>
      <c r="P30" s="342">
        <f t="shared" si="13"/>
        <v>6.1735910877861708E-5</v>
      </c>
      <c r="Q30" s="343">
        <f t="shared" si="14"/>
        <v>84.066933852483672</v>
      </c>
      <c r="R30" s="344">
        <f t="shared" si="15"/>
        <v>-73.923846637566044</v>
      </c>
      <c r="S30" s="346">
        <f t="shared" si="16"/>
        <v>106.07615336243396</v>
      </c>
      <c r="U30" s="319">
        <f t="shared" si="23"/>
        <v>1000000000</v>
      </c>
      <c r="V30" s="319">
        <f t="shared" si="24"/>
        <v>22.908667689999998</v>
      </c>
      <c r="X30" s="345">
        <f t="shared" si="17"/>
        <v>86.565145986796466</v>
      </c>
      <c r="Y30" s="346">
        <f t="shared" si="18"/>
        <v>-73.858688488691612</v>
      </c>
      <c r="AA30" s="345">
        <f t="shared" si="19"/>
        <v>59.743291488134233</v>
      </c>
      <c r="AB30" s="346">
        <f t="shared" si="20"/>
        <v>-6.5158148874422755E-2</v>
      </c>
      <c r="AD30">
        <f t="shared" si="25"/>
        <v>0</v>
      </c>
      <c r="AE30">
        <f t="shared" si="21"/>
        <v>0</v>
      </c>
    </row>
    <row r="31" spans="1:31" x14ac:dyDescent="0.25">
      <c r="A31" s="347">
        <v>5.2481</v>
      </c>
      <c r="B31" s="364">
        <f t="shared" si="22"/>
        <v>5.2481000000000003E-3</v>
      </c>
      <c r="C31" s="337">
        <f t="shared" si="0"/>
        <v>1.0000007046858661</v>
      </c>
      <c r="D31" s="338">
        <f t="shared" si="1"/>
        <v>1.1871692821215469E-3</v>
      </c>
      <c r="E31" s="338">
        <f t="shared" si="2"/>
        <v>1.0000000000313154</v>
      </c>
      <c r="F31" s="339">
        <f t="shared" si="3"/>
        <v>7.9139483453379823E-6</v>
      </c>
      <c r="G31" s="338">
        <f t="shared" si="4"/>
        <v>1</v>
      </c>
      <c r="H31" s="339">
        <f t="shared" si="5"/>
        <v>0</v>
      </c>
      <c r="I31" s="337">
        <f t="shared" si="6"/>
        <v>3.9289757141041974</v>
      </c>
      <c r="J31" s="340">
        <f t="shared" si="7"/>
        <v>1.3134457648514242</v>
      </c>
      <c r="K31" s="348">
        <f t="shared" si="8"/>
        <v>1.0000003963340505</v>
      </c>
      <c r="L31" s="349">
        <f t="shared" si="9"/>
        <v>8.9031895362663498E-4</v>
      </c>
      <c r="M31" s="337">
        <f t="shared" si="10"/>
        <v>1.0000000009551877</v>
      </c>
      <c r="N31" s="340">
        <f t="shared" si="11"/>
        <v>4.3707845242871097E-5</v>
      </c>
      <c r="O31" s="341">
        <f t="shared" si="12"/>
        <v>1.0000000000148879</v>
      </c>
      <c r="P31" s="342">
        <f t="shared" si="13"/>
        <v>6.7692420850954768E-5</v>
      </c>
      <c r="Q31" s="343">
        <f t="shared" si="14"/>
        <v>83.323427783828009</v>
      </c>
      <c r="R31" s="344">
        <f t="shared" si="15"/>
        <v>-75.277836631550599</v>
      </c>
      <c r="S31" s="346">
        <f t="shared" si="16"/>
        <v>104.7221633684494</v>
      </c>
      <c r="U31" s="319">
        <f t="shared" si="23"/>
        <v>1000000000</v>
      </c>
      <c r="V31" s="319">
        <f t="shared" si="24"/>
        <v>27.542553609999999</v>
      </c>
      <c r="X31" s="345">
        <f t="shared" si="17"/>
        <v>85.821640947911362</v>
      </c>
      <c r="Y31" s="346">
        <f t="shared" si="18"/>
        <v>-75.206391787855509</v>
      </c>
      <c r="AA31" s="345">
        <f t="shared" si="19"/>
        <v>59.743290458363667</v>
      </c>
      <c r="AB31" s="346">
        <f t="shared" si="20"/>
        <v>-7.1444843695088675E-2</v>
      </c>
      <c r="AD31">
        <f t="shared" si="25"/>
        <v>0</v>
      </c>
      <c r="AE31">
        <f t="shared" si="21"/>
        <v>0</v>
      </c>
    </row>
    <row r="32" spans="1:31" x14ac:dyDescent="0.25">
      <c r="A32" s="347">
        <v>5.7544000000000004</v>
      </c>
      <c r="B32" s="364">
        <f t="shared" si="22"/>
        <v>5.7544000000000007E-3</v>
      </c>
      <c r="C32" s="337">
        <f t="shared" si="0"/>
        <v>1.0000008472106785</v>
      </c>
      <c r="D32" s="338">
        <f t="shared" si="1"/>
        <v>1.3016989516091862E-3</v>
      </c>
      <c r="E32" s="338">
        <f t="shared" si="2"/>
        <v>1.000000000037649</v>
      </c>
      <c r="F32" s="339">
        <f t="shared" si="3"/>
        <v>8.6774307574590044E-6</v>
      </c>
      <c r="G32" s="338">
        <f t="shared" si="4"/>
        <v>1</v>
      </c>
      <c r="H32" s="339">
        <f t="shared" si="5"/>
        <v>0</v>
      </c>
      <c r="I32" s="337">
        <f t="shared" si="6"/>
        <v>4.2844774809986754</v>
      </c>
      <c r="J32" s="340">
        <f t="shared" si="7"/>
        <v>1.33522282087958</v>
      </c>
      <c r="K32" s="348">
        <f t="shared" si="8"/>
        <v>1.000000476493806</v>
      </c>
      <c r="L32" s="349">
        <f t="shared" si="9"/>
        <v>9.762106501330929E-4</v>
      </c>
      <c r="M32" s="337">
        <f t="shared" si="10"/>
        <v>1.0000000011483774</v>
      </c>
      <c r="N32" s="340">
        <f t="shared" si="11"/>
        <v>4.7924472596403347E-5</v>
      </c>
      <c r="O32" s="341">
        <f t="shared" si="12"/>
        <v>1.000000000017899</v>
      </c>
      <c r="P32" s="342">
        <f t="shared" si="13"/>
        <v>7.4222912407105268E-5</v>
      </c>
      <c r="Q32" s="343">
        <f t="shared" si="14"/>
        <v>82.571056836568232</v>
      </c>
      <c r="R32" s="344">
        <f t="shared" si="15"/>
        <v>-76.527782888833272</v>
      </c>
      <c r="S32" s="346">
        <f t="shared" si="16"/>
        <v>103.47221711116673</v>
      </c>
      <c r="U32" s="319">
        <f t="shared" si="23"/>
        <v>1000000000</v>
      </c>
      <c r="V32" s="319">
        <f t="shared" si="24"/>
        <v>33.113119360000006</v>
      </c>
      <c r="X32" s="345">
        <f t="shared" si="17"/>
        <v>85.069271238576562</v>
      </c>
      <c r="Y32" s="346">
        <f t="shared" si="18"/>
        <v>-76.449445553155257</v>
      </c>
      <c r="AA32" s="345">
        <f t="shared" si="19"/>
        <v>59.743289220438697</v>
      </c>
      <c r="AB32" s="346">
        <f t="shared" si="20"/>
        <v>-7.8337335678000719E-2</v>
      </c>
      <c r="AD32">
        <f t="shared" si="25"/>
        <v>0</v>
      </c>
      <c r="AE32">
        <f t="shared" si="21"/>
        <v>0</v>
      </c>
    </row>
    <row r="33" spans="1:31" x14ac:dyDescent="0.25">
      <c r="A33" s="347">
        <v>6.3095999999999997</v>
      </c>
      <c r="B33" s="364">
        <f t="shared" si="22"/>
        <v>6.3095999999999994E-3</v>
      </c>
      <c r="C33" s="337">
        <f t="shared" si="0"/>
        <v>1.0000010185795321</v>
      </c>
      <c r="D33" s="338">
        <f t="shared" si="1"/>
        <v>1.4272902069285421E-3</v>
      </c>
      <c r="E33" s="338">
        <f t="shared" si="2"/>
        <v>1.0000000000452642</v>
      </c>
      <c r="F33" s="339">
        <f t="shared" si="3"/>
        <v>9.5146526322440851E-6</v>
      </c>
      <c r="G33" s="338">
        <f t="shared" si="4"/>
        <v>1</v>
      </c>
      <c r="H33" s="339">
        <f t="shared" si="5"/>
        <v>0</v>
      </c>
      <c r="I33" s="337">
        <f t="shared" si="6"/>
        <v>4.6762774796955711</v>
      </c>
      <c r="J33" s="340">
        <f t="shared" si="7"/>
        <v>1.3552866851379199</v>
      </c>
      <c r="K33" s="348">
        <f t="shared" si="8"/>
        <v>1.0000005728762258</v>
      </c>
      <c r="L33" s="349">
        <f t="shared" si="9"/>
        <v>1.0703980123560521E-3</v>
      </c>
      <c r="M33" s="337">
        <f t="shared" si="10"/>
        <v>1.0000000013806647</v>
      </c>
      <c r="N33" s="340">
        <f t="shared" si="11"/>
        <v>5.2548354693354622E-5</v>
      </c>
      <c r="O33" s="341">
        <f t="shared" si="12"/>
        <v>1.0000000000215195</v>
      </c>
      <c r="P33" s="342">
        <f t="shared" si="13"/>
        <v>8.1384138782349659E-5</v>
      </c>
      <c r="Q33" s="343">
        <f t="shared" si="14"/>
        <v>81.811008008041398</v>
      </c>
      <c r="R33" s="344">
        <f t="shared" si="15"/>
        <v>-77.679784211107204</v>
      </c>
      <c r="S33" s="346">
        <f t="shared" si="16"/>
        <v>102.3202157888928</v>
      </c>
      <c r="U33" s="319">
        <f t="shared" si="23"/>
        <v>1000000000</v>
      </c>
      <c r="V33" s="319">
        <f t="shared" si="24"/>
        <v>39.811052159999996</v>
      </c>
      <c r="X33" s="345">
        <f t="shared" si="17"/>
        <v>84.309223898504584</v>
      </c>
      <c r="Y33" s="346">
        <f t="shared" si="18"/>
        <v>-77.593888687779511</v>
      </c>
      <c r="AA33" s="345">
        <f t="shared" si="19"/>
        <v>59.743287731983834</v>
      </c>
      <c r="AB33" s="346">
        <f t="shared" si="20"/>
        <v>-8.5895523327684312E-2</v>
      </c>
      <c r="AD33">
        <f t="shared" si="25"/>
        <v>0</v>
      </c>
      <c r="AE33">
        <f t="shared" si="21"/>
        <v>0</v>
      </c>
    </row>
    <row r="34" spans="1:31" x14ac:dyDescent="0.25">
      <c r="A34" s="347">
        <v>6.9183000000000003</v>
      </c>
      <c r="B34" s="364">
        <f t="shared" si="22"/>
        <v>6.9183000000000005E-3</v>
      </c>
      <c r="C34" s="337">
        <f t="shared" si="0"/>
        <v>1.0000012245880738</v>
      </c>
      <c r="D34" s="338">
        <f t="shared" si="1"/>
        <v>1.5649835936432494E-3</v>
      </c>
      <c r="E34" s="338">
        <f t="shared" si="2"/>
        <v>1.0000000000544191</v>
      </c>
      <c r="F34" s="339">
        <f t="shared" si="3"/>
        <v>1.0432550606259115E-5</v>
      </c>
      <c r="G34" s="338">
        <f t="shared" si="4"/>
        <v>1</v>
      </c>
      <c r="H34" s="339">
        <f t="shared" si="5"/>
        <v>0</v>
      </c>
      <c r="I34" s="337">
        <f t="shared" si="6"/>
        <v>5.10764690785025</v>
      </c>
      <c r="J34" s="340">
        <f t="shared" si="7"/>
        <v>1.3737385781972011</v>
      </c>
      <c r="K34" s="348">
        <f t="shared" si="8"/>
        <v>1.0000006887409414</v>
      </c>
      <c r="L34" s="349">
        <f t="shared" si="9"/>
        <v>1.1736614043476356E-3</v>
      </c>
      <c r="M34" s="337">
        <f t="shared" si="10"/>
        <v>1.0000000016599055</v>
      </c>
      <c r="N34" s="340">
        <f t="shared" si="11"/>
        <v>5.761780179525763E-5</v>
      </c>
      <c r="O34" s="341">
        <f t="shared" si="12"/>
        <v>1.0000000000258717</v>
      </c>
      <c r="P34" s="342">
        <f t="shared" si="13"/>
        <v>8.9235432905601905E-5</v>
      </c>
      <c r="Q34" s="343">
        <f t="shared" si="14"/>
        <v>81.044595352603181</v>
      </c>
      <c r="R34" s="344">
        <f t="shared" si="15"/>
        <v>-78.739660214288577</v>
      </c>
      <c r="S34" s="346">
        <f t="shared" si="16"/>
        <v>101.26033978571142</v>
      </c>
      <c r="U34" s="319">
        <f t="shared" si="23"/>
        <v>1000000000</v>
      </c>
      <c r="V34" s="319">
        <f t="shared" si="24"/>
        <v>47.862874890000008</v>
      </c>
      <c r="X34" s="345">
        <f t="shared" si="17"/>
        <v>83.542813032390114</v>
      </c>
      <c r="Y34" s="346">
        <f t="shared" si="18"/>
        <v>-78.645478186688763</v>
      </c>
      <c r="AA34" s="345">
        <f t="shared" si="19"/>
        <v>59.743285942660094</v>
      </c>
      <c r="AB34" s="346">
        <f t="shared" si="20"/>
        <v>-9.4182027599812021E-2</v>
      </c>
      <c r="AD34">
        <f t="shared" si="25"/>
        <v>0</v>
      </c>
      <c r="AE34">
        <f t="shared" si="21"/>
        <v>0</v>
      </c>
    </row>
    <row r="35" spans="1:31" x14ac:dyDescent="0.25">
      <c r="A35" s="347">
        <v>7.5857999999999999</v>
      </c>
      <c r="B35" s="364">
        <f t="shared" si="22"/>
        <v>7.5858000000000002E-3</v>
      </c>
      <c r="C35" s="337">
        <f t="shared" si="0"/>
        <v>1.0000014722920514</v>
      </c>
      <c r="D35" s="338">
        <f t="shared" si="1"/>
        <v>1.7159779980954893E-3</v>
      </c>
      <c r="E35" s="338">
        <f t="shared" si="2"/>
        <v>1.0000000000654268</v>
      </c>
      <c r="F35" s="339">
        <f t="shared" si="3"/>
        <v>1.1439116891198652E-5</v>
      </c>
      <c r="G35" s="338">
        <f t="shared" si="4"/>
        <v>1</v>
      </c>
      <c r="H35" s="339">
        <f t="shared" si="5"/>
        <v>0</v>
      </c>
      <c r="I35" s="337">
        <f t="shared" si="6"/>
        <v>5.5823611573552157</v>
      </c>
      <c r="J35" s="340">
        <f t="shared" si="7"/>
        <v>1.3906884879963586</v>
      </c>
      <c r="K35" s="348">
        <f t="shared" si="8"/>
        <v>1.0000008280562991</v>
      </c>
      <c r="L35" s="349">
        <f t="shared" si="9"/>
        <v>1.2868999398989319E-3</v>
      </c>
      <c r="M35" s="337">
        <f t="shared" si="10"/>
        <v>1.0000000019956636</v>
      </c>
      <c r="N35" s="340">
        <f t="shared" si="11"/>
        <v>6.3176953985896904E-5</v>
      </c>
      <c r="O35" s="341">
        <f t="shared" si="12"/>
        <v>1.0000000000311049</v>
      </c>
      <c r="P35" s="342">
        <f t="shared" si="13"/>
        <v>9.784515663002378E-5</v>
      </c>
      <c r="Q35" s="343">
        <f t="shared" si="14"/>
        <v>80.272653139460616</v>
      </c>
      <c r="R35" s="344">
        <f t="shared" si="15"/>
        <v>-79.713735906751097</v>
      </c>
      <c r="S35" s="346">
        <f t="shared" si="16"/>
        <v>100.2862640932489</v>
      </c>
      <c r="U35" s="319">
        <f t="shared" si="23"/>
        <v>1000000000</v>
      </c>
      <c r="V35" s="319">
        <f t="shared" si="24"/>
        <v>57.544361639999998</v>
      </c>
      <c r="X35" s="345">
        <f t="shared" si="17"/>
        <v>82.7708729707239</v>
      </c>
      <c r="Y35" s="346">
        <f t="shared" si="18"/>
        <v>-79.610466908203435</v>
      </c>
      <c r="AA35" s="345">
        <f t="shared" si="19"/>
        <v>59.74328379118375</v>
      </c>
      <c r="AB35" s="346">
        <f t="shared" si="20"/>
        <v>-0.10326899854765595</v>
      </c>
      <c r="AD35">
        <f t="shared" si="25"/>
        <v>0</v>
      </c>
      <c r="AE35">
        <f t="shared" si="21"/>
        <v>0</v>
      </c>
    </row>
    <row r="36" spans="1:31" x14ac:dyDescent="0.25">
      <c r="A36" s="347">
        <v>8.3176000000000005</v>
      </c>
      <c r="B36" s="364">
        <f t="shared" si="22"/>
        <v>8.3176000000000014E-3</v>
      </c>
      <c r="C36" s="337">
        <f t="shared" si="0"/>
        <v>1.0000017700567396</v>
      </c>
      <c r="D36" s="338">
        <f t="shared" si="1"/>
        <v>1.8815175411516832E-3</v>
      </c>
      <c r="E36" s="338">
        <f t="shared" si="2"/>
        <v>1.0000000000786589</v>
      </c>
      <c r="F36" s="339">
        <f t="shared" si="3"/>
        <v>1.2542645291649475E-5</v>
      </c>
      <c r="G36" s="338">
        <f t="shared" si="4"/>
        <v>1</v>
      </c>
      <c r="H36" s="339">
        <f t="shared" si="5"/>
        <v>0</v>
      </c>
      <c r="I36" s="337">
        <f t="shared" si="6"/>
        <v>6.1043466664102031</v>
      </c>
      <c r="J36" s="340">
        <f t="shared" si="7"/>
        <v>1.4062369310474878</v>
      </c>
      <c r="K36" s="348">
        <f t="shared" si="8"/>
        <v>1.0000009955271627</v>
      </c>
      <c r="L36" s="349">
        <f t="shared" si="9"/>
        <v>1.4110466588944067E-3</v>
      </c>
      <c r="M36" s="337">
        <f t="shared" si="10"/>
        <v>1.0000000023992783</v>
      </c>
      <c r="N36" s="340">
        <f t="shared" si="11"/>
        <v>6.9271617012273151E-5</v>
      </c>
      <c r="O36" s="341">
        <f t="shared" si="12"/>
        <v>1.0000000000373959</v>
      </c>
      <c r="P36" s="342">
        <f t="shared" si="13"/>
        <v>1.0728425150193734E-4</v>
      </c>
      <c r="Q36" s="343">
        <f t="shared" si="14"/>
        <v>79.496226823857953</v>
      </c>
      <c r="R36" s="344">
        <f t="shared" si="15"/>
        <v>-80.607794497970374</v>
      </c>
      <c r="S36" s="346">
        <f t="shared" si="16"/>
        <v>99.392205502029626</v>
      </c>
      <c r="U36" s="319">
        <f t="shared" si="23"/>
        <v>1000000000</v>
      </c>
      <c r="V36" s="319">
        <f t="shared" si="24"/>
        <v>69.182469760000004</v>
      </c>
      <c r="X36" s="345">
        <f t="shared" si="17"/>
        <v>81.994449241407978</v>
      </c>
      <c r="Y36" s="346">
        <f t="shared" si="18"/>
        <v>-80.494563189473027</v>
      </c>
      <c r="AA36" s="345">
        <f t="shared" si="19"/>
        <v>59.743281204897009</v>
      </c>
      <c r="AB36" s="346">
        <f t="shared" si="20"/>
        <v>-0.11323130849734918</v>
      </c>
      <c r="AD36">
        <f t="shared" si="25"/>
        <v>0</v>
      </c>
      <c r="AE36">
        <f t="shared" si="21"/>
        <v>0</v>
      </c>
    </row>
    <row r="37" spans="1:31" x14ac:dyDescent="0.25">
      <c r="A37" s="347">
        <v>9.1201000000000008</v>
      </c>
      <c r="B37" s="364">
        <f t="shared" si="22"/>
        <v>9.1201000000000008E-3</v>
      </c>
      <c r="C37" s="337">
        <f t="shared" si="0"/>
        <v>1.0000021280912643</v>
      </c>
      <c r="D37" s="338">
        <f t="shared" si="1"/>
        <v>2.0630499220012518E-3</v>
      </c>
      <c r="E37" s="338">
        <f t="shared" si="2"/>
        <v>1.0000000000945697</v>
      </c>
      <c r="F37" s="339">
        <f t="shared" si="3"/>
        <v>1.375278678022014E-5</v>
      </c>
      <c r="G37" s="338">
        <f t="shared" si="4"/>
        <v>1</v>
      </c>
      <c r="H37" s="339">
        <f t="shared" si="5"/>
        <v>0</v>
      </c>
      <c r="I37" s="337">
        <f t="shared" si="6"/>
        <v>6.678180010725983</v>
      </c>
      <c r="J37" s="340">
        <f t="shared" si="7"/>
        <v>1.4204896117881511</v>
      </c>
      <c r="K37" s="348">
        <f t="shared" si="8"/>
        <v>1.000001196895431</v>
      </c>
      <c r="L37" s="349">
        <f t="shared" si="9"/>
        <v>1.5471872783247699E-3</v>
      </c>
      <c r="M37" s="337">
        <f t="shared" si="10"/>
        <v>1.0000000028845879</v>
      </c>
      <c r="N37" s="340">
        <f t="shared" si="11"/>
        <v>7.5955092107005806E-5</v>
      </c>
      <c r="O37" s="341">
        <f t="shared" si="12"/>
        <v>1.00000000004496</v>
      </c>
      <c r="P37" s="342">
        <f t="shared" si="13"/>
        <v>1.1763526768479815E-4</v>
      </c>
      <c r="Q37" s="343">
        <f t="shared" si="14"/>
        <v>78.715846818173659</v>
      </c>
      <c r="R37" s="344">
        <f t="shared" si="15"/>
        <v>-81.427920376905334</v>
      </c>
      <c r="S37" s="346">
        <f t="shared" si="16"/>
        <v>98.572079623094666</v>
      </c>
      <c r="U37" s="319">
        <f t="shared" si="23"/>
        <v>1000000000</v>
      </c>
      <c r="V37" s="319">
        <f t="shared" si="24"/>
        <v>83.176224010000013</v>
      </c>
      <c r="X37" s="345">
        <f t="shared" si="17"/>
        <v>81.214072345493491</v>
      </c>
      <c r="Y37" s="346">
        <f t="shared" si="18"/>
        <v>-81.303764295586817</v>
      </c>
      <c r="AA37" s="345">
        <f t="shared" si="19"/>
        <v>59.743278095127195</v>
      </c>
      <c r="AB37" s="346">
        <f t="shared" si="20"/>
        <v>-0.12415608131851508</v>
      </c>
      <c r="AD37">
        <f t="shared" si="25"/>
        <v>0</v>
      </c>
      <c r="AE37">
        <f t="shared" si="21"/>
        <v>0</v>
      </c>
    </row>
    <row r="38" spans="1:31" x14ac:dyDescent="0.25">
      <c r="A38" s="347">
        <v>10</v>
      </c>
      <c r="B38" s="364">
        <f t="shared" si="22"/>
        <v>0.01</v>
      </c>
      <c r="C38" s="337">
        <f t="shared" si="0"/>
        <v>1.0000025585325996</v>
      </c>
      <c r="D38" s="338">
        <f t="shared" si="1"/>
        <v>2.2620906897815943E-3</v>
      </c>
      <c r="E38" s="338">
        <f t="shared" si="2"/>
        <v>1.0000000001136979</v>
      </c>
      <c r="F38" s="339">
        <f t="shared" si="3"/>
        <v>1.5079644718856987E-5</v>
      </c>
      <c r="G38" s="338">
        <f t="shared" si="4"/>
        <v>1</v>
      </c>
      <c r="H38" s="339">
        <f t="shared" si="5"/>
        <v>0</v>
      </c>
      <c r="I38" s="337">
        <f t="shared" si="6"/>
        <v>7.3086611228475977</v>
      </c>
      <c r="J38" s="340">
        <f t="shared" si="7"/>
        <v>1.4335418149376062</v>
      </c>
      <c r="K38" s="348">
        <f t="shared" si="8"/>
        <v>1.0000014389872831</v>
      </c>
      <c r="L38" s="349">
        <f t="shared" si="9"/>
        <v>1.6964584035453654E-3</v>
      </c>
      <c r="M38" s="337">
        <f t="shared" si="10"/>
        <v>1.0000000034680439</v>
      </c>
      <c r="N38" s="340">
        <f t="shared" si="11"/>
        <v>8.3283178997446851E-5</v>
      </c>
      <c r="O38" s="341">
        <f t="shared" si="12"/>
        <v>1.0000000000540541</v>
      </c>
      <c r="P38" s="342">
        <f t="shared" si="13"/>
        <v>1.2898462488196926E-4</v>
      </c>
      <c r="Q38" s="343">
        <f t="shared" si="14"/>
        <v>77.932251090817516</v>
      </c>
      <c r="R38" s="344">
        <f t="shared" si="15"/>
        <v>-82.17960223740036</v>
      </c>
      <c r="S38" s="346">
        <f t="shared" si="16"/>
        <v>97.82039776259964</v>
      </c>
      <c r="U38" s="319">
        <f t="shared" si="23"/>
        <v>1000000000</v>
      </c>
      <c r="V38" s="319">
        <f t="shared" si="24"/>
        <v>100</v>
      </c>
      <c r="X38" s="345">
        <f t="shared" si="17"/>
        <v>80.430480356807351</v>
      </c>
      <c r="Y38" s="346">
        <f t="shared" si="18"/>
        <v>-82.04346771321562</v>
      </c>
      <c r="AA38" s="345">
        <f t="shared" si="19"/>
        <v>59.743274356457185</v>
      </c>
      <c r="AB38" s="346">
        <f t="shared" si="20"/>
        <v>-0.13613452418474659</v>
      </c>
      <c r="AD38">
        <f t="shared" si="25"/>
        <v>0</v>
      </c>
      <c r="AE38">
        <f t="shared" si="21"/>
        <v>0</v>
      </c>
    </row>
    <row r="39" spans="1:31" x14ac:dyDescent="0.25">
      <c r="A39" s="347">
        <v>10.965</v>
      </c>
      <c r="B39" s="364">
        <f t="shared" si="22"/>
        <v>1.0964999999999999E-2</v>
      </c>
      <c r="C39" s="337">
        <f t="shared" si="0"/>
        <v>1.0000030761542902</v>
      </c>
      <c r="D39" s="338">
        <f t="shared" si="1"/>
        <v>2.4803815854142655E-3</v>
      </c>
      <c r="E39" s="338">
        <f t="shared" si="2"/>
        <v>1.0000000001367004</v>
      </c>
      <c r="F39" s="339">
        <f t="shared" si="3"/>
        <v>1.6534830433973124E-5</v>
      </c>
      <c r="G39" s="338">
        <f t="shared" si="4"/>
        <v>1</v>
      </c>
      <c r="H39" s="339">
        <f t="shared" si="5"/>
        <v>0</v>
      </c>
      <c r="I39" s="337">
        <f t="shared" si="6"/>
        <v>8.001314454878603</v>
      </c>
      <c r="J39" s="340">
        <f t="shared" si="7"/>
        <v>1.4454891929176981</v>
      </c>
      <c r="K39" s="348">
        <f t="shared" si="8"/>
        <v>1.0000017301117863</v>
      </c>
      <c r="L39" s="349">
        <f t="shared" si="9"/>
        <v>1.8601662784612221E-3</v>
      </c>
      <c r="M39" s="337">
        <f t="shared" si="10"/>
        <v>1.0000000041696717</v>
      </c>
      <c r="N39" s="340">
        <f t="shared" si="11"/>
        <v>9.1320005727985374E-5</v>
      </c>
      <c r="O39" s="341">
        <f t="shared" si="12"/>
        <v>1.0000000000649898</v>
      </c>
      <c r="P39" s="342">
        <f t="shared" si="13"/>
        <v>1.4143164126087285E-4</v>
      </c>
      <c r="Q39" s="343">
        <f t="shared" si="14"/>
        <v>77.145778856225164</v>
      </c>
      <c r="R39" s="344">
        <f t="shared" si="15"/>
        <v>-82.868354211172814</v>
      </c>
      <c r="S39" s="346">
        <f t="shared" si="16"/>
        <v>97.131645788827186</v>
      </c>
      <c r="U39" s="319">
        <f t="shared" si="23"/>
        <v>1000000000</v>
      </c>
      <c r="V39" s="319">
        <f t="shared" si="24"/>
        <v>120.23122499999999</v>
      </c>
      <c r="X39" s="345">
        <f t="shared" si="17"/>
        <v>79.644012618102408</v>
      </c>
      <c r="Y39" s="346">
        <f t="shared" si="18"/>
        <v>-82.719082754441018</v>
      </c>
      <c r="AA39" s="345">
        <f t="shared" si="19"/>
        <v>59.743269860569782</v>
      </c>
      <c r="AB39" s="346">
        <f t="shared" si="20"/>
        <v>-0.14927145673179804</v>
      </c>
      <c r="AD39">
        <f t="shared" si="25"/>
        <v>0</v>
      </c>
      <c r="AE39">
        <f t="shared" si="21"/>
        <v>0</v>
      </c>
    </row>
    <row r="40" spans="1:31" x14ac:dyDescent="0.25">
      <c r="A40" s="347">
        <v>12.023</v>
      </c>
      <c r="B40" s="364">
        <f t="shared" si="22"/>
        <v>1.2022999999999999E-2</v>
      </c>
      <c r="C40" s="337">
        <f t="shared" si="0"/>
        <v>1.00000369842147</v>
      </c>
      <c r="D40" s="338">
        <f t="shared" si="1"/>
        <v>2.719709569550588E-3</v>
      </c>
      <c r="E40" s="338">
        <f t="shared" si="2"/>
        <v>1.000000000164353</v>
      </c>
      <c r="F40" s="339">
        <f t="shared" si="3"/>
        <v>1.8130256844869494E-5</v>
      </c>
      <c r="G40" s="338">
        <f t="shared" si="4"/>
        <v>1</v>
      </c>
      <c r="H40" s="339">
        <f t="shared" si="5"/>
        <v>0</v>
      </c>
      <c r="I40" s="337">
        <f t="shared" si="6"/>
        <v>8.7618157925822686</v>
      </c>
      <c r="J40" s="340">
        <f t="shared" si="7"/>
        <v>1.4564154892475611</v>
      </c>
      <c r="K40" s="348">
        <f t="shared" si="8"/>
        <v>1.0000020800918428</v>
      </c>
      <c r="L40" s="349">
        <f t="shared" si="9"/>
        <v>2.0396510668304652E-3</v>
      </c>
      <c r="M40" s="337">
        <f t="shared" si="10"/>
        <v>1.0000000050131452</v>
      </c>
      <c r="N40" s="340">
        <f t="shared" si="11"/>
        <v>1.0013136600548828E-4</v>
      </c>
      <c r="O40" s="341">
        <f t="shared" si="12"/>
        <v>1.0000000000781362</v>
      </c>
      <c r="P40" s="342">
        <f t="shared" si="13"/>
        <v>1.5507821468343594E-4</v>
      </c>
      <c r="Q40" s="343">
        <f t="shared" si="14"/>
        <v>76.357120890231215</v>
      </c>
      <c r="R40" s="344">
        <f t="shared" si="15"/>
        <v>-83.499008973471632</v>
      </c>
      <c r="S40" s="346">
        <f t="shared" si="16"/>
        <v>96.500991026528368</v>
      </c>
      <c r="U40" s="319">
        <f t="shared" si="23"/>
        <v>1000000000</v>
      </c>
      <c r="V40" s="319">
        <f t="shared" si="24"/>
        <v>144.55252899999999</v>
      </c>
      <c r="X40" s="345">
        <f t="shared" si="17"/>
        <v>78.855360056908211</v>
      </c>
      <c r="Y40" s="346">
        <f t="shared" si="18"/>
        <v>-83.33533455345092</v>
      </c>
      <c r="AA40" s="345">
        <f t="shared" si="19"/>
        <v>59.743264455770046</v>
      </c>
      <c r="AB40" s="346">
        <f t="shared" si="20"/>
        <v>-0.16367442002070121</v>
      </c>
      <c r="AD40">
        <f t="shared" si="25"/>
        <v>0</v>
      </c>
      <c r="AE40">
        <f t="shared" si="21"/>
        <v>0</v>
      </c>
    </row>
    <row r="41" spans="1:31" x14ac:dyDescent="0.25">
      <c r="A41" s="347">
        <v>13.183</v>
      </c>
      <c r="B41" s="364">
        <f t="shared" si="22"/>
        <v>1.3183E-2</v>
      </c>
      <c r="C41" s="337">
        <f t="shared" si="0"/>
        <v>1.0000044465077038</v>
      </c>
      <c r="D41" s="338">
        <f t="shared" si="1"/>
        <v>2.9821104029128889E-3</v>
      </c>
      <c r="E41" s="338">
        <f t="shared" si="2"/>
        <v>1.000000000197597</v>
      </c>
      <c r="F41" s="339">
        <f t="shared" si="3"/>
        <v>1.9879495631757248E-5</v>
      </c>
      <c r="G41" s="338">
        <f t="shared" si="4"/>
        <v>1</v>
      </c>
      <c r="H41" s="339">
        <f t="shared" si="5"/>
        <v>0</v>
      </c>
      <c r="I41" s="337">
        <f t="shared" si="6"/>
        <v>9.5966381335101207</v>
      </c>
      <c r="J41" s="340">
        <f t="shared" si="7"/>
        <v>1.4664036631666313</v>
      </c>
      <c r="K41" s="348">
        <f t="shared" si="8"/>
        <v>1.000002500836098</v>
      </c>
      <c r="L41" s="349">
        <f t="shared" si="9"/>
        <v>2.2364395302218051E-3</v>
      </c>
      <c r="M41" s="337">
        <f t="shared" si="10"/>
        <v>1.0000000060271652</v>
      </c>
      <c r="N41" s="340">
        <f t="shared" si="11"/>
        <v>1.0979221468501978E-4</v>
      </c>
      <c r="O41" s="341">
        <f t="shared" si="12"/>
        <v>1.0000000000939413</v>
      </c>
      <c r="P41" s="342">
        <f t="shared" si="13"/>
        <v>1.7004043132304064E-4</v>
      </c>
      <c r="Q41" s="343">
        <f t="shared" si="14"/>
        <v>75.566618028015952</v>
      </c>
      <c r="R41" s="344">
        <f t="shared" si="15"/>
        <v>-84.07635907034151</v>
      </c>
      <c r="S41" s="346">
        <f t="shared" si="16"/>
        <v>95.92364092965849</v>
      </c>
      <c r="U41" s="319">
        <f t="shared" si="23"/>
        <v>1000000000</v>
      </c>
      <c r="V41" s="319">
        <f t="shared" si="24"/>
        <v>173.79148899999998</v>
      </c>
      <c r="X41" s="345">
        <f t="shared" si="17"/>
        <v>78.064863692309473</v>
      </c>
      <c r="Y41" s="346">
        <f t="shared" si="18"/>
        <v>-83.896893142144634</v>
      </c>
      <c r="AA41" s="345">
        <f t="shared" si="19"/>
        <v>59.743257958153507</v>
      </c>
      <c r="AB41" s="346">
        <f t="shared" si="20"/>
        <v>-0.17946592819688159</v>
      </c>
      <c r="AD41">
        <f t="shared" si="25"/>
        <v>0</v>
      </c>
      <c r="AE41">
        <f t="shared" si="21"/>
        <v>0</v>
      </c>
    </row>
    <row r="42" spans="1:31" x14ac:dyDescent="0.25">
      <c r="A42" s="347">
        <v>14.454000000000001</v>
      </c>
      <c r="B42" s="364">
        <f t="shared" si="22"/>
        <v>1.4454E-2</v>
      </c>
      <c r="C42" s="337">
        <f t="shared" si="0"/>
        <v>1.0000053452306563</v>
      </c>
      <c r="D42" s="338">
        <f t="shared" si="1"/>
        <v>3.2696198087268325E-3</v>
      </c>
      <c r="E42" s="338">
        <f t="shared" si="2"/>
        <v>1.0000000002375353</v>
      </c>
      <c r="F42" s="339">
        <f t="shared" si="3"/>
        <v>2.1796118474836437E-5</v>
      </c>
      <c r="G42" s="338">
        <f t="shared" si="4"/>
        <v>1</v>
      </c>
      <c r="H42" s="339">
        <f t="shared" si="5"/>
        <v>0</v>
      </c>
      <c r="I42" s="337">
        <f t="shared" si="6"/>
        <v>10.512260534001273</v>
      </c>
      <c r="J42" s="340">
        <f t="shared" si="7"/>
        <v>1.4755252513510526</v>
      </c>
      <c r="K42" s="348">
        <f t="shared" si="8"/>
        <v>1.0000030063027654</v>
      </c>
      <c r="L42" s="349">
        <f t="shared" si="9"/>
        <v>2.4520584143878981E-3</v>
      </c>
      <c r="M42" s="337">
        <f t="shared" si="10"/>
        <v>1.0000000072453721</v>
      </c>
      <c r="N42" s="340">
        <f t="shared" si="11"/>
        <v>1.2037750661977279E-4</v>
      </c>
      <c r="O42" s="341">
        <f t="shared" si="12"/>
        <v>1.0000000001129286</v>
      </c>
      <c r="P42" s="342">
        <f t="shared" si="13"/>
        <v>1.8643437735647706E-4</v>
      </c>
      <c r="Q42" s="343">
        <f t="shared" si="14"/>
        <v>74.77507466326027</v>
      </c>
      <c r="R42" s="344">
        <f t="shared" si="15"/>
        <v>-84.604542581916448</v>
      </c>
      <c r="S42" s="346">
        <f t="shared" si="16"/>
        <v>95.395457418083552</v>
      </c>
      <c r="U42" s="319">
        <f t="shared" si="23"/>
        <v>1000000000</v>
      </c>
      <c r="V42" s="319">
        <f t="shared" si="24"/>
        <v>208.91811600000003</v>
      </c>
      <c r="X42" s="345">
        <f t="shared" si="17"/>
        <v>77.273328133541966</v>
      </c>
      <c r="Y42" s="346">
        <f t="shared" si="18"/>
        <v>-84.407774088658883</v>
      </c>
      <c r="AA42" s="345">
        <f t="shared" si="19"/>
        <v>59.743250152165324</v>
      </c>
      <c r="AB42" s="346">
        <f t="shared" si="20"/>
        <v>-0.19676849325755999</v>
      </c>
      <c r="AD42">
        <f t="shared" si="25"/>
        <v>0</v>
      </c>
      <c r="AE42">
        <f t="shared" si="21"/>
        <v>0</v>
      </c>
    </row>
    <row r="43" spans="1:31" x14ac:dyDescent="0.25">
      <c r="A43" s="347">
        <v>15.849</v>
      </c>
      <c r="B43" s="364">
        <f t="shared" si="22"/>
        <v>1.5848999999999999E-2</v>
      </c>
      <c r="C43" s="337">
        <f t="shared" si="0"/>
        <v>1.0000064267861002</v>
      </c>
      <c r="D43" s="338">
        <f t="shared" si="1"/>
        <v>3.5851782886677439E-3</v>
      </c>
      <c r="E43" s="338">
        <f t="shared" si="2"/>
        <v>1.0000000002855987</v>
      </c>
      <c r="F43" s="339">
        <f t="shared" si="3"/>
        <v>2.389972891217752E-5</v>
      </c>
      <c r="G43" s="338">
        <f t="shared" si="4"/>
        <v>1</v>
      </c>
      <c r="H43" s="339">
        <f t="shared" si="5"/>
        <v>0</v>
      </c>
      <c r="I43" s="337">
        <f t="shared" si="6"/>
        <v>11.518050835714652</v>
      </c>
      <c r="J43" s="340">
        <f t="shared" si="7"/>
        <v>1.483866638140763</v>
      </c>
      <c r="K43" s="348">
        <f t="shared" si="8"/>
        <v>1.0000036145997506</v>
      </c>
      <c r="L43" s="349">
        <f t="shared" si="9"/>
        <v>2.6887130240517304E-3</v>
      </c>
      <c r="M43" s="337">
        <f t="shared" si="10"/>
        <v>1.0000000087114074</v>
      </c>
      <c r="N43" s="340">
        <f t="shared" si="11"/>
        <v>1.3199550993165323E-4</v>
      </c>
      <c r="O43" s="341">
        <f t="shared" si="12"/>
        <v>1.0000000001357785</v>
      </c>
      <c r="P43" s="342">
        <f t="shared" si="13"/>
        <v>2.0442773281574407E-4</v>
      </c>
      <c r="Q43" s="343">
        <f t="shared" si="14"/>
        <v>73.98141303690555</v>
      </c>
      <c r="R43" s="344">
        <f t="shared" si="15"/>
        <v>-85.088565777443662</v>
      </c>
      <c r="S43" s="346">
        <f t="shared" si="16"/>
        <v>94.911434222556338</v>
      </c>
      <c r="U43" s="319">
        <f t="shared" si="23"/>
        <v>1000000000</v>
      </c>
      <c r="V43" s="319">
        <f t="shared" si="24"/>
        <v>251.19080099999999</v>
      </c>
      <c r="X43" s="345">
        <f t="shared" si="17"/>
        <v>76.47967590118418</v>
      </c>
      <c r="Y43" s="346">
        <f t="shared" si="18"/>
        <v>-84.872806699746917</v>
      </c>
      <c r="AA43" s="345">
        <f t="shared" si="19"/>
        <v>59.74324075816839</v>
      </c>
      <c r="AB43" s="346">
        <f t="shared" si="20"/>
        <v>-0.21575907769673314</v>
      </c>
      <c r="AD43">
        <f t="shared" si="25"/>
        <v>0</v>
      </c>
      <c r="AE43">
        <f t="shared" si="21"/>
        <v>0</v>
      </c>
    </row>
    <row r="44" spans="1:31" x14ac:dyDescent="0.25">
      <c r="A44" s="347">
        <v>17.378</v>
      </c>
      <c r="B44" s="364">
        <f t="shared" si="22"/>
        <v>1.7378000000000001E-2</v>
      </c>
      <c r="C44" s="337">
        <f t="shared" si="0"/>
        <v>1.00000772661759</v>
      </c>
      <c r="D44" s="338">
        <f t="shared" si="1"/>
        <v>3.9310476567379392E-3</v>
      </c>
      <c r="E44" s="338">
        <f t="shared" si="2"/>
        <v>1.0000000003433616</v>
      </c>
      <c r="F44" s="339">
        <f t="shared" si="3"/>
        <v>2.6205406588417381E-5</v>
      </c>
      <c r="G44" s="338">
        <f t="shared" si="4"/>
        <v>1</v>
      </c>
      <c r="H44" s="339">
        <f t="shared" si="5"/>
        <v>0</v>
      </c>
      <c r="I44" s="337">
        <f t="shared" si="6"/>
        <v>12.621221460084678</v>
      </c>
      <c r="J44" s="340">
        <f t="shared" si="7"/>
        <v>1.4914815595806545</v>
      </c>
      <c r="K44" s="348">
        <f t="shared" si="8"/>
        <v>1.0000043456616605</v>
      </c>
      <c r="L44" s="349">
        <f t="shared" si="9"/>
        <v>2.948099700910476E-3</v>
      </c>
      <c r="M44" s="337">
        <f t="shared" si="10"/>
        <v>1.0000000104733153</v>
      </c>
      <c r="N44" s="340">
        <f t="shared" si="11"/>
        <v>1.4472950778585014E-4</v>
      </c>
      <c r="O44" s="341">
        <f t="shared" si="12"/>
        <v>1.0000000001632401</v>
      </c>
      <c r="P44" s="342">
        <f t="shared" si="13"/>
        <v>2.2414948235087179E-4</v>
      </c>
      <c r="Q44" s="343">
        <f t="shared" si="14"/>
        <v>73.186960157100373</v>
      </c>
      <c r="R44" s="344">
        <f t="shared" si="15"/>
        <v>-85.531551202733255</v>
      </c>
      <c r="S44" s="346">
        <f t="shared" si="16"/>
        <v>94.468448797266745</v>
      </c>
      <c r="U44" s="319">
        <f t="shared" si="23"/>
        <v>1000000000</v>
      </c>
      <c r="V44" s="319">
        <f t="shared" si="24"/>
        <v>301.99488400000001</v>
      </c>
      <c r="X44" s="345">
        <f t="shared" si="17"/>
        <v>75.685234311228783</v>
      </c>
      <c r="Y44" s="346">
        <f t="shared" si="18"/>
        <v>-85.294977402546252</v>
      </c>
      <c r="AA44" s="345">
        <f t="shared" si="19"/>
        <v>59.743229468318617</v>
      </c>
      <c r="AB44" s="346">
        <f t="shared" si="20"/>
        <v>-0.23657380018700733</v>
      </c>
      <c r="AD44">
        <f t="shared" si="25"/>
        <v>0</v>
      </c>
      <c r="AE44">
        <f t="shared" si="21"/>
        <v>0</v>
      </c>
    </row>
    <row r="45" spans="1:31" x14ac:dyDescent="0.25">
      <c r="A45" s="347">
        <v>19.055</v>
      </c>
      <c r="B45" s="364">
        <f t="shared" si="22"/>
        <v>1.9054999999999999E-2</v>
      </c>
      <c r="C45" s="337">
        <f t="shared" si="0"/>
        <v>1.0000092898221447</v>
      </c>
      <c r="D45" s="338">
        <f t="shared" si="1"/>
        <v>4.3103944664106544E-3</v>
      </c>
      <c r="E45" s="338">
        <f t="shared" si="2"/>
        <v>1.0000000004128289</v>
      </c>
      <c r="F45" s="339">
        <f t="shared" si="3"/>
        <v>2.8734263006051778E-5</v>
      </c>
      <c r="G45" s="338">
        <f t="shared" si="4"/>
        <v>1</v>
      </c>
      <c r="H45" s="339">
        <f t="shared" si="5"/>
        <v>0</v>
      </c>
      <c r="I45" s="337">
        <f t="shared" si="6"/>
        <v>13.831874600643498</v>
      </c>
      <c r="J45" s="340">
        <f t="shared" si="7"/>
        <v>1.4984364174058624</v>
      </c>
      <c r="K45" s="348">
        <f t="shared" si="8"/>
        <v>1.000005224852565</v>
      </c>
      <c r="L45" s="349">
        <f t="shared" si="9"/>
        <v>3.2325933291900955E-3</v>
      </c>
      <c r="M45" s="337">
        <f t="shared" si="10"/>
        <v>1.0000000125922257</v>
      </c>
      <c r="N45" s="340">
        <f t="shared" si="11"/>
        <v>1.586960966143203E-4</v>
      </c>
      <c r="O45" s="341">
        <f t="shared" si="12"/>
        <v>1.0000000001962663</v>
      </c>
      <c r="P45" s="342">
        <f t="shared" si="13"/>
        <v>2.4578020447064188E-4</v>
      </c>
      <c r="Q45" s="343">
        <f t="shared" si="14"/>
        <v>72.39136108244945</v>
      </c>
      <c r="R45" s="344">
        <f t="shared" si="15"/>
        <v>-85.937364573541728</v>
      </c>
      <c r="S45" s="346">
        <f t="shared" si="16"/>
        <v>94.062635426458272</v>
      </c>
      <c r="U45" s="319">
        <f t="shared" si="23"/>
        <v>1000000000</v>
      </c>
      <c r="V45" s="319">
        <f t="shared" si="24"/>
        <v>363.09302500000001</v>
      </c>
      <c r="X45" s="345">
        <f t="shared" si="17"/>
        <v>74.889648813968051</v>
      </c>
      <c r="Y45" s="346">
        <f t="shared" si="18"/>
        <v>-85.67796134587708</v>
      </c>
      <c r="AA45" s="345">
        <f t="shared" si="19"/>
        <v>59.743215890928418</v>
      </c>
      <c r="AB45" s="346">
        <f t="shared" si="20"/>
        <v>-0.2594032276646509</v>
      </c>
      <c r="AD45">
        <f t="shared" si="25"/>
        <v>0</v>
      </c>
      <c r="AE45">
        <f t="shared" si="21"/>
        <v>0</v>
      </c>
    </row>
    <row r="46" spans="1:31" x14ac:dyDescent="0.25">
      <c r="A46" s="347">
        <v>20.893000000000001</v>
      </c>
      <c r="B46" s="364">
        <f t="shared" si="22"/>
        <v>2.0893000000000002E-2</v>
      </c>
      <c r="C46" s="337">
        <f t="shared" si="0"/>
        <v>1.0000111683931558</v>
      </c>
      <c r="D46" s="338">
        <f t="shared" si="1"/>
        <v>4.7261589505063484E-3</v>
      </c>
      <c r="E46" s="338">
        <f t="shared" si="2"/>
        <v>1.0000000004963108</v>
      </c>
      <c r="F46" s="339">
        <f t="shared" si="3"/>
        <v>3.1505901703071521E-5</v>
      </c>
      <c r="G46" s="338">
        <f t="shared" si="4"/>
        <v>1</v>
      </c>
      <c r="H46" s="339">
        <f t="shared" si="5"/>
        <v>0</v>
      </c>
      <c r="I46" s="337">
        <f t="shared" si="6"/>
        <v>15.159396040031112</v>
      </c>
      <c r="J46" s="340">
        <f t="shared" si="7"/>
        <v>1.5047827028653897</v>
      </c>
      <c r="K46" s="348">
        <f t="shared" si="8"/>
        <v>1.0000062814153707</v>
      </c>
      <c r="L46" s="349">
        <f t="shared" si="9"/>
        <v>3.544399100209416E-3</v>
      </c>
      <c r="M46" s="337">
        <f t="shared" si="10"/>
        <v>1.0000000151386168</v>
      </c>
      <c r="N46" s="340">
        <f t="shared" si="11"/>
        <v>1.7400354452555168E-4</v>
      </c>
      <c r="O46" s="341">
        <f t="shared" si="12"/>
        <v>1.0000000002359553</v>
      </c>
      <c r="P46" s="342">
        <f t="shared" si="13"/>
        <v>2.694875792314903E-4</v>
      </c>
      <c r="Q46" s="343">
        <f t="shared" si="14"/>
        <v>71.595336799162709</v>
      </c>
      <c r="R46" s="344">
        <f t="shared" si="15"/>
        <v>-86.309012923363341</v>
      </c>
      <c r="S46" s="346">
        <f t="shared" si="16"/>
        <v>93.690987076636659</v>
      </c>
      <c r="U46" s="319">
        <f t="shared" si="23"/>
        <v>1000000000</v>
      </c>
      <c r="V46" s="319">
        <f t="shared" si="24"/>
        <v>436.51744900000006</v>
      </c>
      <c r="X46" s="345">
        <f t="shared" si="17"/>
        <v>74.093640847194507</v>
      </c>
      <c r="Y46" s="346">
        <f t="shared" si="18"/>
        <v>-86.024588616142523</v>
      </c>
      <c r="AA46" s="345">
        <f t="shared" si="19"/>
        <v>59.743199574415229</v>
      </c>
      <c r="AB46" s="346">
        <f t="shared" si="20"/>
        <v>-0.28442430722081619</v>
      </c>
      <c r="AD46">
        <f t="shared" si="25"/>
        <v>0</v>
      </c>
      <c r="AE46">
        <f t="shared" si="21"/>
        <v>0</v>
      </c>
    </row>
    <row r="47" spans="1:31" x14ac:dyDescent="0.25">
      <c r="A47" s="347">
        <v>22.909000000000002</v>
      </c>
      <c r="B47" s="364">
        <f t="shared" si="22"/>
        <v>2.2909000000000002E-2</v>
      </c>
      <c r="C47" s="337">
        <f t="shared" si="0"/>
        <v>1.000013427676175</v>
      </c>
      <c r="D47" s="338">
        <f t="shared" si="1"/>
        <v>5.182186010688857E-3</v>
      </c>
      <c r="E47" s="338">
        <f t="shared" si="2"/>
        <v>1.0000000005967116</v>
      </c>
      <c r="F47" s="339">
        <f t="shared" si="3"/>
        <v>3.4545958075305359E-5</v>
      </c>
      <c r="G47" s="338">
        <f t="shared" si="4"/>
        <v>1</v>
      </c>
      <c r="H47" s="339">
        <f t="shared" si="5"/>
        <v>0</v>
      </c>
      <c r="I47" s="337">
        <f t="shared" si="6"/>
        <v>16.616064960360809</v>
      </c>
      <c r="J47" s="340">
        <f t="shared" si="7"/>
        <v>1.5105772166511577</v>
      </c>
      <c r="K47" s="348">
        <f t="shared" si="8"/>
        <v>1.0000075521027987</v>
      </c>
      <c r="L47" s="349">
        <f t="shared" si="9"/>
        <v>3.8864007180243331E-3</v>
      </c>
      <c r="M47" s="337">
        <f t="shared" si="10"/>
        <v>1.0000000182010673</v>
      </c>
      <c r="N47" s="340">
        <f t="shared" si="11"/>
        <v>1.9079343289127494E-4</v>
      </c>
      <c r="O47" s="341">
        <f t="shared" si="12"/>
        <v>1.0000000002836877</v>
      </c>
      <c r="P47" s="342">
        <f t="shared" si="13"/>
        <v>2.9549088055502427E-4</v>
      </c>
      <c r="Q47" s="343">
        <f t="shared" si="14"/>
        <v>70.798402539788668</v>
      </c>
      <c r="R47" s="344">
        <f t="shared" si="15"/>
        <v>-86.649824971373917</v>
      </c>
      <c r="S47" s="346">
        <f t="shared" si="16"/>
        <v>93.350175028626083</v>
      </c>
      <c r="U47" s="319">
        <f t="shared" si="23"/>
        <v>1000000000</v>
      </c>
      <c r="V47" s="319">
        <f t="shared" si="24"/>
        <v>524.82228100000009</v>
      </c>
      <c r="X47" s="345">
        <f t="shared" si="17"/>
        <v>73.296726211004639</v>
      </c>
      <c r="Y47" s="346">
        <f t="shared" si="18"/>
        <v>-86.337956541209891</v>
      </c>
      <c r="AA47" s="345">
        <f t="shared" si="19"/>
        <v>59.74317995123107</v>
      </c>
      <c r="AB47" s="346">
        <f t="shared" si="20"/>
        <v>-0.31186843016402638</v>
      </c>
      <c r="AD47">
        <f t="shared" si="25"/>
        <v>0</v>
      </c>
      <c r="AE47">
        <f t="shared" si="21"/>
        <v>0</v>
      </c>
    </row>
    <row r="48" spans="1:31" x14ac:dyDescent="0.25">
      <c r="A48" s="347">
        <v>25.119</v>
      </c>
      <c r="B48" s="364">
        <f t="shared" si="22"/>
        <v>2.5118999999999999E-2</v>
      </c>
      <c r="C48" s="337">
        <f t="shared" si="0"/>
        <v>1.0000161433140986</v>
      </c>
      <c r="D48" s="338">
        <f t="shared" si="1"/>
        <v>5.6820941437773073E-3</v>
      </c>
      <c r="E48" s="338">
        <f t="shared" si="2"/>
        <v>1.0000000007173926</v>
      </c>
      <c r="F48" s="339">
        <f t="shared" si="3"/>
        <v>3.787855955405214E-5</v>
      </c>
      <c r="G48" s="338">
        <f t="shared" si="4"/>
        <v>1</v>
      </c>
      <c r="H48" s="339">
        <f t="shared" si="5"/>
        <v>0</v>
      </c>
      <c r="I48" s="337">
        <f t="shared" si="6"/>
        <v>18.213442903228344</v>
      </c>
      <c r="J48" s="340">
        <f t="shared" si="7"/>
        <v>1.5158642030079981</v>
      </c>
      <c r="K48" s="348">
        <f t="shared" si="8"/>
        <v>1.0000090794593517</v>
      </c>
      <c r="L48" s="349">
        <f t="shared" si="9"/>
        <v>4.2613121582696888E-3</v>
      </c>
      <c r="M48" s="337">
        <f t="shared" si="10"/>
        <v>1.0000000218821143</v>
      </c>
      <c r="N48" s="340">
        <f t="shared" si="11"/>
        <v>2.0919901475554984E-4</v>
      </c>
      <c r="O48" s="341">
        <f t="shared" si="12"/>
        <v>1.0000000003410618</v>
      </c>
      <c r="P48" s="342">
        <f t="shared" si="13"/>
        <v>3.2399648391815837E-4</v>
      </c>
      <c r="Q48" s="343">
        <f t="shared" si="14"/>
        <v>70.001114842832791</v>
      </c>
      <c r="R48" s="344">
        <f t="shared" si="15"/>
        <v>-86.962405628200244</v>
      </c>
      <c r="S48" s="346">
        <f t="shared" si="16"/>
        <v>93.037594371799756</v>
      </c>
      <c r="U48" s="319">
        <f t="shared" si="23"/>
        <v>1000000000</v>
      </c>
      <c r="V48" s="319">
        <f t="shared" si="24"/>
        <v>630.96416099999999</v>
      </c>
      <c r="X48" s="345">
        <f t="shared" si="17"/>
        <v>72.499462100881416</v>
      </c>
      <c r="Y48" s="346">
        <f t="shared" si="18"/>
        <v>-86.62045226506595</v>
      </c>
      <c r="AA48" s="345">
        <f t="shared" si="19"/>
        <v>59.743156364398395</v>
      </c>
      <c r="AB48" s="346">
        <f t="shared" si="20"/>
        <v>-0.34195336313428609</v>
      </c>
      <c r="AD48">
        <f t="shared" si="25"/>
        <v>0</v>
      </c>
      <c r="AE48">
        <f t="shared" si="21"/>
        <v>0</v>
      </c>
    </row>
    <row r="49" spans="1:31" x14ac:dyDescent="0.25">
      <c r="A49" s="347">
        <v>27.542000000000002</v>
      </c>
      <c r="B49" s="364">
        <f t="shared" si="22"/>
        <v>2.7542000000000001E-2</v>
      </c>
      <c r="C49" s="337">
        <f t="shared" si="0"/>
        <v>1.0000194078865139</v>
      </c>
      <c r="D49" s="338">
        <f t="shared" si="1"/>
        <v>6.2301801949597073E-3</v>
      </c>
      <c r="E49" s="338">
        <f t="shared" si="2"/>
        <v>1.0000000008624683</v>
      </c>
      <c r="F49" s="339">
        <f t="shared" si="3"/>
        <v>4.1532357463943775E-5</v>
      </c>
      <c r="G49" s="338">
        <f t="shared" si="4"/>
        <v>1</v>
      </c>
      <c r="H49" s="339">
        <f t="shared" si="5"/>
        <v>0</v>
      </c>
      <c r="I49" s="337">
        <f t="shared" si="6"/>
        <v>19.965263207340925</v>
      </c>
      <c r="J49" s="340">
        <f t="shared" si="7"/>
        <v>1.5206883677787824</v>
      </c>
      <c r="K49" s="348">
        <f t="shared" si="8"/>
        <v>1.0000109155555972</v>
      </c>
      <c r="L49" s="349">
        <f t="shared" si="9"/>
        <v>4.6723562164832045E-3</v>
      </c>
      <c r="M49" s="337">
        <f t="shared" si="10"/>
        <v>1.000000026307255</v>
      </c>
      <c r="N49" s="340">
        <f t="shared" si="11"/>
        <v>2.2937852810221839E-4</v>
      </c>
      <c r="O49" s="341">
        <f t="shared" si="12"/>
        <v>1.0000000004100338</v>
      </c>
      <c r="P49" s="342">
        <f t="shared" si="13"/>
        <v>3.5524946021061785E-4</v>
      </c>
      <c r="Q49" s="343">
        <f t="shared" si="14"/>
        <v>69.203442570582453</v>
      </c>
      <c r="R49" s="344">
        <f t="shared" si="15"/>
        <v>-87.24939935476975</v>
      </c>
      <c r="S49" s="346">
        <f t="shared" si="16"/>
        <v>92.75060064523025</v>
      </c>
      <c r="U49" s="319">
        <f t="shared" si="23"/>
        <v>1000000000</v>
      </c>
      <c r="V49" s="319">
        <f t="shared" si="24"/>
        <v>758.56176400000004</v>
      </c>
      <c r="X49" s="345">
        <f t="shared" si="17"/>
        <v>71.701818183181743</v>
      </c>
      <c r="Y49" s="346">
        <f t="shared" si="18"/>
        <v>-86.874461657615669</v>
      </c>
      <c r="AA49" s="345">
        <f t="shared" si="19"/>
        <v>59.743128009847737</v>
      </c>
      <c r="AB49" s="346">
        <f t="shared" si="20"/>
        <v>-0.37493769715406883</v>
      </c>
      <c r="AD49">
        <f t="shared" si="25"/>
        <v>0</v>
      </c>
      <c r="AE49">
        <f t="shared" si="21"/>
        <v>0</v>
      </c>
    </row>
    <row r="50" spans="1:31" x14ac:dyDescent="0.25">
      <c r="A50" s="347">
        <v>30.2</v>
      </c>
      <c r="B50" s="364">
        <f t="shared" si="22"/>
        <v>3.0199999999999998E-2</v>
      </c>
      <c r="C50" s="337">
        <f t="shared" si="0"/>
        <v>1.0000233345983198</v>
      </c>
      <c r="D50" s="338">
        <f t="shared" si="1"/>
        <v>6.8314192633730855E-3</v>
      </c>
      <c r="E50" s="338">
        <f t="shared" si="2"/>
        <v>1.0000000010369698</v>
      </c>
      <c r="F50" s="339">
        <f t="shared" si="3"/>
        <v>4.5540527022917238E-5</v>
      </c>
      <c r="G50" s="338">
        <f t="shared" si="4"/>
        <v>1</v>
      </c>
      <c r="H50" s="339">
        <f t="shared" si="5"/>
        <v>0</v>
      </c>
      <c r="I50" s="337">
        <f t="shared" si="6"/>
        <v>21.887432388875897</v>
      </c>
      <c r="J50" s="340">
        <f t="shared" si="7"/>
        <v>1.5250920973911466</v>
      </c>
      <c r="K50" s="348">
        <f t="shared" si="8"/>
        <v>1.0000131240629386</v>
      </c>
      <c r="L50" s="349">
        <f t="shared" si="9"/>
        <v>5.1232644682760549E-3</v>
      </c>
      <c r="M50" s="337">
        <f t="shared" si="10"/>
        <v>1.0000000316299478</v>
      </c>
      <c r="N50" s="340">
        <f t="shared" si="11"/>
        <v>2.515151958501917E-4</v>
      </c>
      <c r="O50" s="341">
        <f t="shared" si="12"/>
        <v>1.0000000004929956</v>
      </c>
      <c r="P50" s="342">
        <f t="shared" si="13"/>
        <v>3.895335757435215E-4</v>
      </c>
      <c r="Q50" s="343">
        <f t="shared" si="14"/>
        <v>68.405032050426698</v>
      </c>
      <c r="R50" s="344">
        <f t="shared" si="15"/>
        <v>-87.513330818859217</v>
      </c>
      <c r="S50" s="346">
        <f t="shared" si="16"/>
        <v>92.486669181140783</v>
      </c>
      <c r="U50" s="319">
        <f t="shared" si="23"/>
        <v>1000000000</v>
      </c>
      <c r="V50" s="319">
        <f t="shared" si="24"/>
        <v>912.04</v>
      </c>
      <c r="X50" s="345">
        <f t="shared" si="17"/>
        <v>70.903441768487383</v>
      </c>
      <c r="Y50" s="346">
        <f t="shared" si="18"/>
        <v>-87.102209976640253</v>
      </c>
      <c r="AA50" s="345">
        <f t="shared" si="19"/>
        <v>59.743093904386342</v>
      </c>
      <c r="AB50" s="346">
        <f t="shared" si="20"/>
        <v>-0.41112084221895029</v>
      </c>
      <c r="AD50">
        <f t="shared" si="25"/>
        <v>0</v>
      </c>
      <c r="AE50">
        <f t="shared" si="21"/>
        <v>0</v>
      </c>
    </row>
    <row r="51" spans="1:31" x14ac:dyDescent="0.25">
      <c r="A51" s="347">
        <v>33.113</v>
      </c>
      <c r="B51" s="364">
        <f t="shared" si="22"/>
        <v>3.3112999999999997E-2</v>
      </c>
      <c r="C51" s="337">
        <f t="shared" si="0"/>
        <v>1.0000280532044652</v>
      </c>
      <c r="D51" s="338">
        <f t="shared" si="1"/>
        <v>7.4903335923561095E-3</v>
      </c>
      <c r="E51" s="338">
        <f t="shared" si="2"/>
        <v>1.0000000012466637</v>
      </c>
      <c r="F51" s="339">
        <f t="shared" si="3"/>
        <v>4.9933227519836045E-5</v>
      </c>
      <c r="G51" s="338">
        <f t="shared" si="4"/>
        <v>1</v>
      </c>
      <c r="H51" s="339">
        <f t="shared" si="5"/>
        <v>0</v>
      </c>
      <c r="I51" s="337">
        <f t="shared" si="6"/>
        <v>23.994413957428392</v>
      </c>
      <c r="J51" s="340">
        <f t="shared" si="7"/>
        <v>1.5291078856906932</v>
      </c>
      <c r="K51" s="348">
        <f t="shared" si="8"/>
        <v>1.0000157779618084</v>
      </c>
      <c r="L51" s="349">
        <f t="shared" si="9"/>
        <v>5.6174290129610907E-3</v>
      </c>
      <c r="M51" s="337">
        <f t="shared" si="10"/>
        <v>1.0000000380260876</v>
      </c>
      <c r="N51" s="340">
        <f t="shared" si="11"/>
        <v>2.7577558426073595E-4</v>
      </c>
      <c r="O51" s="341">
        <f t="shared" si="12"/>
        <v>1.000000000592689</v>
      </c>
      <c r="P51" s="342">
        <f t="shared" si="13"/>
        <v>4.2710679994279762E-4</v>
      </c>
      <c r="Q51" s="343">
        <f t="shared" si="14"/>
        <v>67.606707470846146</v>
      </c>
      <c r="R51" s="344">
        <f t="shared" si="15"/>
        <v>-87.756149129270128</v>
      </c>
      <c r="S51" s="346">
        <f t="shared" si="16"/>
        <v>92.243850870729872</v>
      </c>
      <c r="U51" s="319">
        <f t="shared" si="23"/>
        <v>1000000000</v>
      </c>
      <c r="V51" s="319">
        <f t="shared" si="24"/>
        <v>1096.470769</v>
      </c>
      <c r="X51" s="345">
        <f t="shared" si="17"/>
        <v>70.105158172190556</v>
      </c>
      <c r="Y51" s="346">
        <f t="shared" si="18"/>
        <v>-87.30537417292426</v>
      </c>
      <c r="AA51" s="345">
        <f t="shared" si="19"/>
        <v>59.743052921102617</v>
      </c>
      <c r="AB51" s="346">
        <f t="shared" si="20"/>
        <v>-0.45077495634586245</v>
      </c>
      <c r="AD51">
        <f t="shared" si="25"/>
        <v>0</v>
      </c>
      <c r="AE51">
        <f t="shared" si="21"/>
        <v>0</v>
      </c>
    </row>
    <row r="52" spans="1:31" x14ac:dyDescent="0.25">
      <c r="A52" s="347">
        <v>36.308</v>
      </c>
      <c r="B52" s="364">
        <f t="shared" si="22"/>
        <v>3.6308E-2</v>
      </c>
      <c r="C52" s="337">
        <f t="shared" si="0"/>
        <v>1.0000337278641678</v>
      </c>
      <c r="D52" s="338">
        <f t="shared" si="1"/>
        <v>8.2130282138901441E-3</v>
      </c>
      <c r="E52" s="338">
        <f t="shared" si="2"/>
        <v>1.0000000014988455</v>
      </c>
      <c r="F52" s="339">
        <f t="shared" si="3"/>
        <v>5.4751173994666966E-5</v>
      </c>
      <c r="G52" s="338">
        <f t="shared" si="4"/>
        <v>1</v>
      </c>
      <c r="H52" s="339">
        <f t="shared" si="5"/>
        <v>0</v>
      </c>
      <c r="I52" s="337">
        <f t="shared" si="6"/>
        <v>26.30573718314055</v>
      </c>
      <c r="J52" s="340">
        <f t="shared" si="7"/>
        <v>1.5327726439598284</v>
      </c>
      <c r="K52" s="348">
        <f t="shared" si="8"/>
        <v>1.0000189695838151</v>
      </c>
      <c r="L52" s="349">
        <f t="shared" si="9"/>
        <v>6.1594291860652553E-3</v>
      </c>
      <c r="M52" s="337">
        <f t="shared" si="10"/>
        <v>1.0000000457182121</v>
      </c>
      <c r="N52" s="340">
        <f t="shared" si="11"/>
        <v>3.0238455778673113E-4</v>
      </c>
      <c r="O52" s="341">
        <f t="shared" si="12"/>
        <v>1.0000000007125824</v>
      </c>
      <c r="P52" s="342">
        <f t="shared" si="13"/>
        <v>4.6831739153313859E-4</v>
      </c>
      <c r="Q52" s="343">
        <f t="shared" si="14"/>
        <v>66.80787924500774</v>
      </c>
      <c r="R52" s="344">
        <f t="shared" si="15"/>
        <v>-87.980087067410253</v>
      </c>
      <c r="S52" s="346">
        <f t="shared" si="16"/>
        <v>92.019912932589747</v>
      </c>
      <c r="U52" s="319">
        <f t="shared" si="23"/>
        <v>1000000000</v>
      </c>
      <c r="V52" s="319">
        <f t="shared" si="24"/>
        <v>1318.2708640000001</v>
      </c>
      <c r="X52" s="345">
        <f t="shared" si="17"/>
        <v>69.306379233148476</v>
      </c>
      <c r="Y52" s="346">
        <f t="shared" si="18"/>
        <v>-87.485819614353559</v>
      </c>
      <c r="AA52" s="345">
        <f t="shared" si="19"/>
        <v>59.743003634306284</v>
      </c>
      <c r="AB52" s="346">
        <f t="shared" si="20"/>
        <v>-0.49426745305670061</v>
      </c>
      <c r="AD52">
        <f t="shared" si="25"/>
        <v>0</v>
      </c>
      <c r="AE52">
        <f t="shared" si="21"/>
        <v>0</v>
      </c>
    </row>
    <row r="53" spans="1:31" x14ac:dyDescent="0.25">
      <c r="A53" s="347">
        <v>39.811</v>
      </c>
      <c r="B53" s="364">
        <f t="shared" si="22"/>
        <v>3.9810999999999999E-2</v>
      </c>
      <c r="C53" s="337">
        <f t="shared" si="0"/>
        <v>1.000040549815127</v>
      </c>
      <c r="D53" s="338">
        <f t="shared" si="1"/>
        <v>9.00538116181962E-3</v>
      </c>
      <c r="E53" s="338">
        <f t="shared" si="2"/>
        <v>1.000000001802015</v>
      </c>
      <c r="F53" s="339">
        <f t="shared" si="3"/>
        <v>6.0033573522671079E-5</v>
      </c>
      <c r="G53" s="338">
        <f t="shared" si="4"/>
        <v>1</v>
      </c>
      <c r="H53" s="339">
        <f t="shared" si="5"/>
        <v>0</v>
      </c>
      <c r="I53" s="337">
        <f t="shared" si="6"/>
        <v>28.840211221514213</v>
      </c>
      <c r="J53" s="340">
        <f t="shared" si="7"/>
        <v>1.5361155652826737</v>
      </c>
      <c r="K53" s="348">
        <f t="shared" si="8"/>
        <v>1.0000228064920136</v>
      </c>
      <c r="L53" s="349">
        <f t="shared" si="9"/>
        <v>6.7536743444121632E-3</v>
      </c>
      <c r="M53" s="337">
        <f t="shared" si="10"/>
        <v>1.0000000549655725</v>
      </c>
      <c r="N53" s="340">
        <f t="shared" si="11"/>
        <v>3.3155865252376823E-4</v>
      </c>
      <c r="O53" s="341">
        <f t="shared" si="12"/>
        <v>1.0000000008567169</v>
      </c>
      <c r="P53" s="342">
        <f t="shared" si="13"/>
        <v>5.1350071084848453E-4</v>
      </c>
      <c r="Q53" s="343">
        <f t="shared" si="14"/>
        <v>66.008894040973431</v>
      </c>
      <c r="R53" s="344">
        <f t="shared" si="15"/>
        <v>-88.186930797723733</v>
      </c>
      <c r="S53" s="346">
        <f t="shared" si="16"/>
        <v>91.813069202276267</v>
      </c>
      <c r="U53" s="319">
        <f t="shared" si="23"/>
        <v>1000000000</v>
      </c>
      <c r="V53" s="319">
        <f t="shared" si="24"/>
        <v>1584.9157210000001</v>
      </c>
      <c r="X53" s="345">
        <f t="shared" si="17"/>
        <v>68.507453280245386</v>
      </c>
      <c r="Y53" s="346">
        <f t="shared" si="18"/>
        <v>-87.644978710508937</v>
      </c>
      <c r="AA53" s="345">
        <f t="shared" si="19"/>
        <v>59.742944383175065</v>
      </c>
      <c r="AB53" s="346">
        <f t="shared" si="20"/>
        <v>-0.54195208721480093</v>
      </c>
      <c r="AD53">
        <f t="shared" si="25"/>
        <v>0</v>
      </c>
      <c r="AE53">
        <f t="shared" si="21"/>
        <v>0</v>
      </c>
    </row>
    <row r="54" spans="1:31" x14ac:dyDescent="0.25">
      <c r="A54" s="347">
        <v>43.652000000000001</v>
      </c>
      <c r="B54" s="364">
        <f t="shared" si="22"/>
        <v>4.3652000000000003E-2</v>
      </c>
      <c r="C54" s="337">
        <f t="shared" si="0"/>
        <v>1.0000487516385943</v>
      </c>
      <c r="D54" s="338">
        <f t="shared" si="1"/>
        <v>9.8741742008896898E-3</v>
      </c>
      <c r="E54" s="338">
        <f t="shared" si="2"/>
        <v>1.000000002166509</v>
      </c>
      <c r="F54" s="339">
        <f t="shared" si="3"/>
        <v>6.5825665036669411E-5</v>
      </c>
      <c r="G54" s="338">
        <f t="shared" si="4"/>
        <v>1</v>
      </c>
      <c r="H54" s="339">
        <f t="shared" si="5"/>
        <v>0</v>
      </c>
      <c r="I54" s="337">
        <f t="shared" si="6"/>
        <v>31.619541612564454</v>
      </c>
      <c r="J54" s="340">
        <f t="shared" si="7"/>
        <v>1.5391650404181945</v>
      </c>
      <c r="K54" s="348">
        <f t="shared" si="8"/>
        <v>1.0000274195048193</v>
      </c>
      <c r="L54" s="349">
        <f t="shared" si="9"/>
        <v>7.4052519618836828E-3</v>
      </c>
      <c r="M54" s="337">
        <f t="shared" si="10"/>
        <v>1.0000000660834751</v>
      </c>
      <c r="N54" s="340">
        <f t="shared" si="11"/>
        <v>3.6354771778385702E-4</v>
      </c>
      <c r="O54" s="341">
        <f t="shared" si="12"/>
        <v>1.0000000010300072</v>
      </c>
      <c r="P54" s="342">
        <f t="shared" si="13"/>
        <v>5.6304371217322409E-4</v>
      </c>
      <c r="Q54" s="343">
        <f t="shared" si="14"/>
        <v>65.209720117814911</v>
      </c>
      <c r="R54" s="344">
        <f t="shared" si="15"/>
        <v>-88.37843796075272</v>
      </c>
      <c r="S54" s="346">
        <f t="shared" si="16"/>
        <v>91.62156203924728</v>
      </c>
      <c r="U54" s="319">
        <f t="shared" si="23"/>
        <v>1000000000</v>
      </c>
      <c r="V54" s="319">
        <f t="shared" si="24"/>
        <v>1905.497104</v>
      </c>
      <c r="X54" s="345">
        <f t="shared" si="17"/>
        <v>67.708350592378792</v>
      </c>
      <c r="Y54" s="346">
        <f t="shared" si="18"/>
        <v>-87.7842009565871</v>
      </c>
      <c r="AA54" s="345">
        <f t="shared" si="19"/>
        <v>59.742873147883145</v>
      </c>
      <c r="AB54" s="346">
        <f t="shared" si="20"/>
        <v>-0.59423700416561764</v>
      </c>
      <c r="AD54">
        <f t="shared" si="25"/>
        <v>0</v>
      </c>
      <c r="AE54">
        <f t="shared" si="21"/>
        <v>0</v>
      </c>
    </row>
    <row r="55" spans="1:31" x14ac:dyDescent="0.25">
      <c r="A55" s="347">
        <v>47.863</v>
      </c>
      <c r="B55" s="364">
        <f t="shared" si="22"/>
        <v>4.7863000000000003E-2</v>
      </c>
      <c r="C55" s="337">
        <f t="shared" si="0"/>
        <v>1.0000586109304557</v>
      </c>
      <c r="D55" s="338">
        <f t="shared" si="1"/>
        <v>1.0826640097257813E-2</v>
      </c>
      <c r="E55" s="338">
        <f t="shared" si="2"/>
        <v>1.000000002604666</v>
      </c>
      <c r="F55" s="339">
        <f t="shared" si="3"/>
        <v>7.2175703398006947E-5</v>
      </c>
      <c r="G55" s="338">
        <f t="shared" si="4"/>
        <v>1</v>
      </c>
      <c r="H55" s="339">
        <f t="shared" si="5"/>
        <v>0</v>
      </c>
      <c r="I55" s="337">
        <f t="shared" si="6"/>
        <v>34.666883446135486</v>
      </c>
      <c r="J55" s="340">
        <f t="shared" si="7"/>
        <v>1.5419463514227145</v>
      </c>
      <c r="K55" s="348">
        <f t="shared" si="8"/>
        <v>1.000032964761858</v>
      </c>
      <c r="L55" s="349">
        <f t="shared" si="9"/>
        <v>8.1195882063769646E-3</v>
      </c>
      <c r="M55" s="337">
        <f t="shared" si="10"/>
        <v>1.0000000794482635</v>
      </c>
      <c r="N55" s="340">
        <f t="shared" si="11"/>
        <v>3.9861825944407804E-4</v>
      </c>
      <c r="O55" s="341">
        <f t="shared" si="12"/>
        <v>1.0000000012383201</v>
      </c>
      <c r="P55" s="342">
        <f t="shared" si="13"/>
        <v>6.1735914684553405E-4</v>
      </c>
      <c r="Q55" s="343">
        <f t="shared" si="14"/>
        <v>64.410497922938092</v>
      </c>
      <c r="R55" s="344">
        <f t="shared" si="15"/>
        <v>-88.55619677585112</v>
      </c>
      <c r="S55" s="346">
        <f t="shared" si="16"/>
        <v>91.44380322414888</v>
      </c>
      <c r="U55" s="319">
        <f t="shared" si="23"/>
        <v>1000000000</v>
      </c>
      <c r="V55" s="319">
        <f t="shared" si="24"/>
        <v>2290.8667689999997</v>
      </c>
      <c r="X55" s="345">
        <f t="shared" si="17"/>
        <v>66.90921402762973</v>
      </c>
      <c r="Y55" s="346">
        <f t="shared" si="18"/>
        <v>-87.904639280856685</v>
      </c>
      <c r="AA55" s="345">
        <f t="shared" si="19"/>
        <v>59.742787517755374</v>
      </c>
      <c r="AB55" s="346">
        <f t="shared" si="20"/>
        <v>-0.65155749499444526</v>
      </c>
      <c r="AD55">
        <f t="shared" si="25"/>
        <v>0</v>
      </c>
      <c r="AE55">
        <f t="shared" si="21"/>
        <v>0</v>
      </c>
    </row>
    <row r="56" spans="1:31" x14ac:dyDescent="0.25">
      <c r="A56" s="347">
        <v>52.481000000000002</v>
      </c>
      <c r="B56" s="364">
        <f t="shared" si="22"/>
        <v>5.2481E-2</v>
      </c>
      <c r="C56" s="337">
        <f t="shared" si="0"/>
        <v>1.0000704661286939</v>
      </c>
      <c r="D56" s="338">
        <f t="shared" si="1"/>
        <v>1.1871140724181257E-2</v>
      </c>
      <c r="E56" s="338">
        <f t="shared" si="2"/>
        <v>1.0000000031315288</v>
      </c>
      <c r="F56" s="339">
        <f t="shared" si="3"/>
        <v>7.9139483289813634E-5</v>
      </c>
      <c r="G56" s="338">
        <f t="shared" si="4"/>
        <v>1</v>
      </c>
      <c r="H56" s="339">
        <f t="shared" si="5"/>
        <v>0</v>
      </c>
      <c r="I56" s="337">
        <f t="shared" si="6"/>
        <v>38.009012302374536</v>
      </c>
      <c r="J56" s="340">
        <f t="shared" si="7"/>
        <v>1.5444837408904104</v>
      </c>
      <c r="K56" s="348">
        <f t="shared" si="8"/>
        <v>1.0000396326275309</v>
      </c>
      <c r="L56" s="349">
        <f t="shared" si="9"/>
        <v>8.9029566572917732E-3</v>
      </c>
      <c r="M56" s="337">
        <f t="shared" si="10"/>
        <v>1.0000000955187822</v>
      </c>
      <c r="N56" s="340">
        <f t="shared" si="11"/>
        <v>4.3707842487423983E-4</v>
      </c>
      <c r="O56" s="341">
        <f t="shared" si="12"/>
        <v>1.0000000014888075</v>
      </c>
      <c r="P56" s="342">
        <f t="shared" si="13"/>
        <v>6.7692425869227395E-4</v>
      </c>
      <c r="Q56" s="343">
        <f t="shared" si="14"/>
        <v>63.611017055672207</v>
      </c>
      <c r="R56" s="344">
        <f t="shared" si="15"/>
        <v>-88.721757694576908</v>
      </c>
      <c r="S56" s="346">
        <f t="shared" si="16"/>
        <v>91.278242305423092</v>
      </c>
      <c r="U56" s="319">
        <f t="shared" si="23"/>
        <v>1000000000</v>
      </c>
      <c r="V56" s="319">
        <f t="shared" si="24"/>
        <v>2754.255361</v>
      </c>
      <c r="X56" s="345">
        <f t="shared" si="17"/>
        <v>66.10983612426152</v>
      </c>
      <c r="Y56" s="346">
        <f t="shared" si="18"/>
        <v>-88.00734088757136</v>
      </c>
      <c r="AA56" s="345">
        <f t="shared" si="19"/>
        <v>59.7426845538577</v>
      </c>
      <c r="AB56" s="346">
        <f t="shared" si="20"/>
        <v>-0.71441680700553867</v>
      </c>
      <c r="AD56">
        <f t="shared" si="25"/>
        <v>0</v>
      </c>
      <c r="AE56">
        <f t="shared" si="21"/>
        <v>0</v>
      </c>
    </row>
    <row r="57" spans="1:31" x14ac:dyDescent="0.25">
      <c r="A57" s="347">
        <v>57.544000000000004</v>
      </c>
      <c r="B57" s="364">
        <f t="shared" si="22"/>
        <v>5.7544000000000005E-2</v>
      </c>
      <c r="C57" s="337">
        <f t="shared" si="0"/>
        <v>1.0000847175152046</v>
      </c>
      <c r="D57" s="338">
        <f t="shared" si="1"/>
        <v>1.3016261733354965E-2</v>
      </c>
      <c r="E57" s="338">
        <f t="shared" si="2"/>
        <v>1.0000000037648902</v>
      </c>
      <c r="F57" s="339">
        <f t="shared" si="3"/>
        <v>8.6774307358970855E-5</v>
      </c>
      <c r="G57" s="338">
        <f t="shared" si="4"/>
        <v>1</v>
      </c>
      <c r="H57" s="339">
        <f t="shared" si="5"/>
        <v>0</v>
      </c>
      <c r="I57" s="337">
        <f t="shared" si="6"/>
        <v>41.67342952671973</v>
      </c>
      <c r="J57" s="340">
        <f t="shared" si="7"/>
        <v>1.5467979180947278</v>
      </c>
      <c r="K57" s="348">
        <f t="shared" si="8"/>
        <v>1.0000476482567662</v>
      </c>
      <c r="L57" s="349">
        <f t="shared" si="9"/>
        <v>9.7617995143923809E-3</v>
      </c>
      <c r="M57" s="337">
        <f t="shared" si="10"/>
        <v>1.0000001148377473</v>
      </c>
      <c r="N57" s="340">
        <f t="shared" si="11"/>
        <v>4.7924468964068254E-4</v>
      </c>
      <c r="O57" s="341">
        <f t="shared" si="12"/>
        <v>1.0000000017899298</v>
      </c>
      <c r="P57" s="342">
        <f t="shared" si="13"/>
        <v>7.4222919022382883E-4</v>
      </c>
      <c r="Q57" s="343">
        <f t="shared" si="14"/>
        <v>62.811509572417663</v>
      </c>
      <c r="R57" s="344">
        <f t="shared" si="15"/>
        <v>-88.87647301425767</v>
      </c>
      <c r="S57" s="346">
        <f t="shared" si="16"/>
        <v>91.12352698574233</v>
      </c>
      <c r="U57" s="319">
        <f t="shared" si="23"/>
        <v>1000000000</v>
      </c>
      <c r="V57" s="319">
        <f t="shared" si="24"/>
        <v>3311.3119360000005</v>
      </c>
      <c r="X57" s="345">
        <f t="shared" si="17"/>
        <v>65.310452414487585</v>
      </c>
      <c r="Y57" s="346">
        <f t="shared" si="18"/>
        <v>-88.093141352554298</v>
      </c>
      <c r="AA57" s="345">
        <f t="shared" si="19"/>
        <v>59.742560780377104</v>
      </c>
      <c r="AB57" s="346">
        <f t="shared" si="20"/>
        <v>-0.78333166170336177</v>
      </c>
      <c r="AD57">
        <f t="shared" si="25"/>
        <v>0</v>
      </c>
      <c r="AE57">
        <f t="shared" si="21"/>
        <v>0</v>
      </c>
    </row>
    <row r="58" spans="1:31" x14ac:dyDescent="0.25">
      <c r="A58" s="347">
        <v>63.095999999999997</v>
      </c>
      <c r="B58" s="364">
        <f t="shared" si="22"/>
        <v>6.3095999999999999E-2</v>
      </c>
      <c r="C58" s="337">
        <f t="shared" si="0"/>
        <v>1.0001018528180754</v>
      </c>
      <c r="D58" s="338">
        <f t="shared" si="1"/>
        <v>1.427194267291184E-2</v>
      </c>
      <c r="E58" s="338">
        <f t="shared" si="2"/>
        <v>1.0000000045264308</v>
      </c>
      <c r="F58" s="339">
        <f t="shared" si="3"/>
        <v>9.5146526038195899E-5</v>
      </c>
      <c r="G58" s="338">
        <f t="shared" si="4"/>
        <v>1</v>
      </c>
      <c r="H58" s="339">
        <f t="shared" si="5"/>
        <v>0</v>
      </c>
      <c r="I58" s="337">
        <f t="shared" si="6"/>
        <v>45.691980770270803</v>
      </c>
      <c r="J58" s="340">
        <f t="shared" si="7"/>
        <v>1.5489089007993595</v>
      </c>
      <c r="K58" s="348">
        <f t="shared" si="8"/>
        <v>1.0000572859981582</v>
      </c>
      <c r="L58" s="349">
        <f t="shared" si="9"/>
        <v>1.0703575435709675E-2</v>
      </c>
      <c r="M58" s="337">
        <f t="shared" si="10"/>
        <v>1.0000001380664698</v>
      </c>
      <c r="N58" s="340">
        <f t="shared" si="11"/>
        <v>5.2548349904945636E-4</v>
      </c>
      <c r="O58" s="341">
        <f t="shared" si="12"/>
        <v>1.0000000021519957</v>
      </c>
      <c r="P58" s="342">
        <f t="shared" si="13"/>
        <v>8.1384147503090918E-4</v>
      </c>
      <c r="Q58" s="343">
        <f t="shared" si="14"/>
        <v>62.011829399993687</v>
      </c>
      <c r="R58" s="344">
        <f t="shared" si="15"/>
        <v>-89.021681524251292</v>
      </c>
      <c r="S58" s="346">
        <f t="shared" si="16"/>
        <v>90.978318475748708</v>
      </c>
      <c r="U58" s="319">
        <f t="shared" si="23"/>
        <v>1000000000</v>
      </c>
      <c r="V58" s="319">
        <f t="shared" si="24"/>
        <v>3981.1052159999995</v>
      </c>
      <c r="X58" s="345">
        <f t="shared" si="17"/>
        <v>64.510921060060639</v>
      </c>
      <c r="Y58" s="346">
        <f t="shared" si="18"/>
        <v>-88.162781255324688</v>
      </c>
      <c r="AA58" s="345">
        <f t="shared" si="19"/>
        <v>59.742411962380082</v>
      </c>
      <c r="AB58" s="346">
        <f t="shared" si="20"/>
        <v>-0.85890026892659654</v>
      </c>
      <c r="AD58">
        <f t="shared" si="25"/>
        <v>0</v>
      </c>
      <c r="AE58">
        <f t="shared" si="21"/>
        <v>0</v>
      </c>
    </row>
    <row r="59" spans="1:31" x14ac:dyDescent="0.25">
      <c r="A59" s="347">
        <v>69.183000000000007</v>
      </c>
      <c r="B59" s="364">
        <f t="shared" si="22"/>
        <v>6.9183000000000008E-2</v>
      </c>
      <c r="C59" s="337">
        <f t="shared" si="0"/>
        <v>1.0001224513851965</v>
      </c>
      <c r="D59" s="338">
        <f t="shared" si="1"/>
        <v>1.5648571258562703E-2</v>
      </c>
      <c r="E59" s="338">
        <f t="shared" si="2"/>
        <v>1.0000000054419056</v>
      </c>
      <c r="F59" s="339">
        <f t="shared" si="3"/>
        <v>1.0432550568788965E-4</v>
      </c>
      <c r="G59" s="338">
        <f t="shared" si="4"/>
        <v>1</v>
      </c>
      <c r="H59" s="339">
        <f t="shared" si="5"/>
        <v>0</v>
      </c>
      <c r="I59" s="337">
        <f t="shared" si="6"/>
        <v>50.097960971752364</v>
      </c>
      <c r="J59" s="340">
        <f t="shared" si="7"/>
        <v>1.5508341087981155</v>
      </c>
      <c r="K59" s="348">
        <f t="shared" si="8"/>
        <v>1.0000688717461925</v>
      </c>
      <c r="L59" s="349">
        <f t="shared" si="9"/>
        <v>1.1736080577462418E-2</v>
      </c>
      <c r="M59" s="337">
        <f t="shared" si="10"/>
        <v>1.0000001659905406</v>
      </c>
      <c r="N59" s="340">
        <f t="shared" si="11"/>
        <v>5.7617795483011719E-4</v>
      </c>
      <c r="O59" s="341">
        <f t="shared" si="12"/>
        <v>1.000000002587252</v>
      </c>
      <c r="P59" s="342">
        <f t="shared" si="13"/>
        <v>8.9235444401583814E-4</v>
      </c>
      <c r="Q59" s="343">
        <f t="shared" si="14"/>
        <v>61.212149596248189</v>
      </c>
      <c r="R59" s="344">
        <f t="shared" si="15"/>
        <v>-89.1585817617148</v>
      </c>
      <c r="S59" s="346">
        <f t="shared" si="16"/>
        <v>90.8414182382852</v>
      </c>
      <c r="U59" s="319">
        <f t="shared" si="23"/>
        <v>1000000000</v>
      </c>
      <c r="V59" s="319">
        <f t="shared" si="24"/>
        <v>4786.2874890000012</v>
      </c>
      <c r="X59" s="345">
        <f t="shared" si="17"/>
        <v>63.711420148961082</v>
      </c>
      <c r="Y59" s="346">
        <f t="shared" si="18"/>
        <v>-88.216833939812958</v>
      </c>
      <c r="AA59" s="345">
        <f t="shared" si="19"/>
        <v>59.742233069734134</v>
      </c>
      <c r="AB59" s="346">
        <f t="shared" si="20"/>
        <v>-0.94174782190183604</v>
      </c>
      <c r="AD59">
        <f t="shared" si="25"/>
        <v>0</v>
      </c>
      <c r="AE59">
        <f t="shared" si="21"/>
        <v>0</v>
      </c>
    </row>
    <row r="60" spans="1:31" x14ac:dyDescent="0.25">
      <c r="A60" s="347">
        <v>75.858000000000004</v>
      </c>
      <c r="B60" s="364">
        <f t="shared" si="22"/>
        <v>7.5858000000000009E-2</v>
      </c>
      <c r="C60" s="337">
        <f t="shared" si="0"/>
        <v>1.0001472184768763</v>
      </c>
      <c r="D60" s="338">
        <f t="shared" si="1"/>
        <v>1.7158112837863379E-2</v>
      </c>
      <c r="E60" s="338">
        <f t="shared" si="2"/>
        <v>1.0000000065426697</v>
      </c>
      <c r="F60" s="339">
        <f t="shared" si="3"/>
        <v>1.1439116841802693E-4</v>
      </c>
      <c r="G60" s="338">
        <f t="shared" si="4"/>
        <v>1</v>
      </c>
      <c r="H60" s="339">
        <f t="shared" si="5"/>
        <v>0</v>
      </c>
      <c r="I60" s="337">
        <f t="shared" si="6"/>
        <v>54.929733379243949</v>
      </c>
      <c r="J60" s="340">
        <f t="shared" si="7"/>
        <v>1.5525902445114848</v>
      </c>
      <c r="K60" s="348">
        <f t="shared" si="8"/>
        <v>1.0000828022360839</v>
      </c>
      <c r="L60" s="349">
        <f t="shared" si="9"/>
        <v>1.2868296155989422E-2</v>
      </c>
      <c r="M60" s="337">
        <f t="shared" si="10"/>
        <v>1.0000001995663563</v>
      </c>
      <c r="N60" s="340">
        <f t="shared" si="11"/>
        <v>6.3176945664621684E-4</v>
      </c>
      <c r="O60" s="341">
        <f t="shared" si="12"/>
        <v>1.0000000031106087</v>
      </c>
      <c r="P60" s="342">
        <f t="shared" si="13"/>
        <v>9.7845171784887775E-4</v>
      </c>
      <c r="Q60" s="343">
        <f t="shared" si="14"/>
        <v>60.412306385095675</v>
      </c>
      <c r="R60" s="344">
        <f t="shared" si="15"/>
        <v>-89.288361562692856</v>
      </c>
      <c r="S60" s="346">
        <f t="shared" si="16"/>
        <v>90.711638437307144</v>
      </c>
      <c r="U60" s="319">
        <f t="shared" si="23"/>
        <v>1000000000</v>
      </c>
      <c r="V60" s="319">
        <f t="shared" si="24"/>
        <v>5754.4361640000006</v>
      </c>
      <c r="X60" s="345">
        <f t="shared" si="17"/>
        <v>62.911792028015924</v>
      </c>
      <c r="Y60" s="346">
        <f t="shared" si="18"/>
        <v>-88.255767088767996</v>
      </c>
      <c r="AA60" s="345">
        <f t="shared" si="19"/>
        <v>59.742017979526793</v>
      </c>
      <c r="AB60" s="346">
        <f t="shared" si="20"/>
        <v>-1.0325944739248614</v>
      </c>
      <c r="AD60">
        <f t="shared" si="25"/>
        <v>0</v>
      </c>
      <c r="AE60">
        <f t="shared" si="21"/>
        <v>0</v>
      </c>
    </row>
    <row r="61" spans="1:31" x14ac:dyDescent="0.25">
      <c r="A61" s="347">
        <v>83.176000000000002</v>
      </c>
      <c r="B61" s="364">
        <f t="shared" si="22"/>
        <v>8.3176E-2</v>
      </c>
      <c r="C61" s="337">
        <f t="shared" si="0"/>
        <v>1.0001769901678697</v>
      </c>
      <c r="D61" s="338">
        <f t="shared" si="1"/>
        <v>1.8812977819160366E-2</v>
      </c>
      <c r="E61" s="338">
        <f t="shared" si="2"/>
        <v>1.0000000078658975</v>
      </c>
      <c r="F61" s="339">
        <f t="shared" si="3"/>
        <v>1.2542645226534428E-4</v>
      </c>
      <c r="G61" s="338">
        <f t="shared" si="4"/>
        <v>1</v>
      </c>
      <c r="H61" s="339">
        <f t="shared" si="5"/>
        <v>0</v>
      </c>
      <c r="I61" s="337">
        <f t="shared" si="6"/>
        <v>60.227110360462554</v>
      </c>
      <c r="J61" s="340">
        <f t="shared" si="7"/>
        <v>1.5541917454441871</v>
      </c>
      <c r="K61" s="348">
        <f t="shared" si="8"/>
        <v>1.0000995478109387</v>
      </c>
      <c r="L61" s="349">
        <f t="shared" si="9"/>
        <v>1.4109539574433868E-2</v>
      </c>
      <c r="M61" s="337">
        <f t="shared" si="10"/>
        <v>1.0000002399278181</v>
      </c>
      <c r="N61" s="340">
        <f t="shared" si="11"/>
        <v>6.9271606042950961E-4</v>
      </c>
      <c r="O61" s="341">
        <f t="shared" si="12"/>
        <v>1.0000000037397438</v>
      </c>
      <c r="P61" s="342">
        <f t="shared" si="13"/>
        <v>1.0728427147947439E-3</v>
      </c>
      <c r="Q61" s="343">
        <f t="shared" si="14"/>
        <v>59.612502213631615</v>
      </c>
      <c r="R61" s="344">
        <f t="shared" si="15"/>
        <v>-89.412087490762701</v>
      </c>
      <c r="S61" s="346">
        <f t="shared" si="16"/>
        <v>90.587912509237299</v>
      </c>
      <c r="U61" s="319">
        <f t="shared" si="23"/>
        <v>1000000000</v>
      </c>
      <c r="V61" s="319">
        <f t="shared" si="24"/>
        <v>6918.2469760000004</v>
      </c>
      <c r="X61" s="345">
        <f t="shared" si="17"/>
        <v>62.112246402233012</v>
      </c>
      <c r="Y61" s="346">
        <f t="shared" si="18"/>
        <v>-88.279900307072865</v>
      </c>
      <c r="AA61" s="345">
        <f t="shared" si="19"/>
        <v>59.741759433845623</v>
      </c>
      <c r="AB61" s="346">
        <f t="shared" si="20"/>
        <v>-1.1321871836898261</v>
      </c>
      <c r="AD61">
        <f t="shared" si="25"/>
        <v>0</v>
      </c>
      <c r="AE61">
        <f t="shared" si="21"/>
        <v>0</v>
      </c>
    </row>
    <row r="62" spans="1:31" x14ac:dyDescent="0.25">
      <c r="A62" s="347">
        <v>91.201000000000008</v>
      </c>
      <c r="B62" s="364">
        <f t="shared" si="22"/>
        <v>9.1201000000000004E-2</v>
      </c>
      <c r="C62" s="337">
        <f t="shared" si="0"/>
        <v>1.0002127867137764</v>
      </c>
      <c r="D62" s="338">
        <f t="shared" si="1"/>
        <v>2.0627602323344662E-2</v>
      </c>
      <c r="E62" s="338">
        <f t="shared" si="2"/>
        <v>1.0000000094569572</v>
      </c>
      <c r="F62" s="339">
        <f t="shared" si="3"/>
        <v>1.375278669438086E-4</v>
      </c>
      <c r="G62" s="338">
        <f t="shared" si="4"/>
        <v>1</v>
      </c>
      <c r="H62" s="339">
        <f t="shared" si="5"/>
        <v>0</v>
      </c>
      <c r="I62" s="337">
        <f t="shared" si="6"/>
        <v>66.03642044785596</v>
      </c>
      <c r="J62" s="340">
        <f t="shared" si="7"/>
        <v>1.5556525891971911</v>
      </c>
      <c r="K62" s="348">
        <f t="shared" si="8"/>
        <v>1.0001196824527734</v>
      </c>
      <c r="L62" s="349">
        <f t="shared" si="9"/>
        <v>1.547065075669472E-2</v>
      </c>
      <c r="M62" s="337">
        <f t="shared" si="10"/>
        <v>1.0000002884587604</v>
      </c>
      <c r="N62" s="340">
        <f t="shared" si="11"/>
        <v>7.5955077646467023E-4</v>
      </c>
      <c r="O62" s="341">
        <f t="shared" si="12"/>
        <v>1.0000000044962332</v>
      </c>
      <c r="P62" s="342">
        <f t="shared" si="13"/>
        <v>1.1763529402060463E-3</v>
      </c>
      <c r="Q62" s="343">
        <f t="shared" si="14"/>
        <v>58.812535856249902</v>
      </c>
      <c r="R62" s="344">
        <f t="shared" si="15"/>
        <v>-89.530838757991802</v>
      </c>
      <c r="S62" s="346">
        <f t="shared" si="16"/>
        <v>90.469161242008198</v>
      </c>
      <c r="U62" s="319">
        <f t="shared" si="23"/>
        <v>1000000000</v>
      </c>
      <c r="V62" s="319">
        <f t="shared" si="24"/>
        <v>8317.6224010000005</v>
      </c>
      <c r="X62" s="345">
        <f t="shared" si="17"/>
        <v>61.312590901865676</v>
      </c>
      <c r="Y62" s="346">
        <f t="shared" si="18"/>
        <v>-88.289443909621113</v>
      </c>
      <c r="AA62" s="345">
        <f t="shared" si="19"/>
        <v>59.741448576831253</v>
      </c>
      <c r="AB62" s="346">
        <f t="shared" si="20"/>
        <v>-1.2413948483706954</v>
      </c>
      <c r="AD62">
        <f t="shared" si="25"/>
        <v>0</v>
      </c>
      <c r="AE62">
        <f t="shared" si="21"/>
        <v>0</v>
      </c>
    </row>
    <row r="63" spans="1:31" x14ac:dyDescent="0.25">
      <c r="A63" s="347">
        <v>100</v>
      </c>
      <c r="B63" s="364">
        <f t="shared" si="22"/>
        <v>0.1</v>
      </c>
      <c r="C63" s="337">
        <f t="shared" si="0"/>
        <v>1.0002558208650931</v>
      </c>
      <c r="D63" s="338">
        <f t="shared" si="1"/>
        <v>2.2617088232865425E-2</v>
      </c>
      <c r="E63" s="338">
        <f t="shared" si="2"/>
        <v>1.0000000113697842</v>
      </c>
      <c r="F63" s="339">
        <f t="shared" si="3"/>
        <v>1.5079644605698464E-4</v>
      </c>
      <c r="G63" s="338">
        <f t="shared" si="4"/>
        <v>1</v>
      </c>
      <c r="H63" s="339">
        <f t="shared" si="5"/>
        <v>0</v>
      </c>
      <c r="I63" s="337">
        <f t="shared" si="6"/>
        <v>72.406165074960242</v>
      </c>
      <c r="J63" s="340">
        <f t="shared" si="7"/>
        <v>1.5569849090486922</v>
      </c>
      <c r="K63" s="348">
        <f t="shared" si="8"/>
        <v>1.0001438884798917</v>
      </c>
      <c r="L63" s="349">
        <f t="shared" si="9"/>
        <v>1.6962973133524496E-2</v>
      </c>
      <c r="M63" s="337">
        <f t="shared" si="10"/>
        <v>1.0000003468043366</v>
      </c>
      <c r="N63" s="340">
        <f t="shared" si="11"/>
        <v>8.3283159934692866E-4</v>
      </c>
      <c r="O63" s="341">
        <f t="shared" si="12"/>
        <v>1.0000000054057288</v>
      </c>
      <c r="P63" s="342">
        <f t="shared" si="13"/>
        <v>1.2898465959941647E-3</v>
      </c>
      <c r="Q63" s="343">
        <f t="shared" si="14"/>
        <v>58.012531436900154</v>
      </c>
      <c r="R63" s="344">
        <f t="shared" si="15"/>
        <v>-89.645601590491694</v>
      </c>
      <c r="S63" s="346">
        <f t="shared" si="16"/>
        <v>90.354398409508306</v>
      </c>
      <c r="U63" s="319">
        <f t="shared" si="23"/>
        <v>1000000000</v>
      </c>
      <c r="V63" s="319">
        <f t="shared" si="24"/>
        <v>10000</v>
      </c>
      <c r="X63" s="345">
        <f t="shared" si="17"/>
        <v>60.512960176130292</v>
      </c>
      <c r="Y63" s="346">
        <f t="shared" si="18"/>
        <v>-88.284475122073061</v>
      </c>
      <c r="AA63" s="345">
        <f t="shared" si="19"/>
        <v>59.741074883216889</v>
      </c>
      <c r="AB63" s="346">
        <f t="shared" si="20"/>
        <v>-1.3611264684186437</v>
      </c>
      <c r="AD63">
        <f t="shared" si="25"/>
        <v>0</v>
      </c>
      <c r="AE63">
        <f t="shared" si="21"/>
        <v>0</v>
      </c>
    </row>
    <row r="64" spans="1:31" x14ac:dyDescent="0.25">
      <c r="A64" s="347">
        <v>109.65</v>
      </c>
      <c r="B64" s="364">
        <f t="shared" si="22"/>
        <v>0.10965000000000001</v>
      </c>
      <c r="C64" s="337">
        <f t="shared" si="0"/>
        <v>1.000307568602935</v>
      </c>
      <c r="D64" s="338">
        <f t="shared" si="1"/>
        <v>2.479878188869996E-2</v>
      </c>
      <c r="E64" s="338">
        <f t="shared" si="2"/>
        <v>1.0000000136700309</v>
      </c>
      <c r="F64" s="339">
        <f t="shared" si="3"/>
        <v>1.6534830284792242E-4</v>
      </c>
      <c r="G64" s="338">
        <f t="shared" si="4"/>
        <v>1</v>
      </c>
      <c r="H64" s="339">
        <f t="shared" si="5"/>
        <v>0</v>
      </c>
      <c r="I64" s="337">
        <f t="shared" si="6"/>
        <v>79.392085881307651</v>
      </c>
      <c r="J64" s="340">
        <f t="shared" si="7"/>
        <v>1.5582002798112655</v>
      </c>
      <c r="K64" s="348">
        <f t="shared" si="8"/>
        <v>1.0001729963644097</v>
      </c>
      <c r="L64" s="349">
        <f t="shared" si="9"/>
        <v>1.8599539150514707E-2</v>
      </c>
      <c r="M64" s="337">
        <f t="shared" si="10"/>
        <v>1.0000004169670877</v>
      </c>
      <c r="N64" s="340">
        <f t="shared" si="11"/>
        <v>9.1319980596884457E-4</v>
      </c>
      <c r="O64" s="341">
        <f t="shared" si="12"/>
        <v>1.000000006499457</v>
      </c>
      <c r="P64" s="342">
        <f t="shared" si="13"/>
        <v>1.4143168703010713E-3</v>
      </c>
      <c r="Q64" s="343">
        <f t="shared" si="14"/>
        <v>57.212300951268844</v>
      </c>
      <c r="R64" s="344">
        <f t="shared" si="15"/>
        <v>-89.757373339321077</v>
      </c>
      <c r="S64" s="346">
        <f t="shared" si="16"/>
        <v>90.242626660678923</v>
      </c>
      <c r="U64" s="319">
        <f t="shared" si="23"/>
        <v>1000000000</v>
      </c>
      <c r="V64" s="319">
        <f t="shared" si="24"/>
        <v>12023.122500000001</v>
      </c>
      <c r="X64" s="345">
        <f t="shared" si="17"/>
        <v>59.713179028580186</v>
      </c>
      <c r="Y64" s="346">
        <f t="shared" si="18"/>
        <v>-88.264947170668194</v>
      </c>
      <c r="AA64" s="345">
        <f t="shared" si="19"/>
        <v>59.740625545135686</v>
      </c>
      <c r="AB64" s="346">
        <f t="shared" si="20"/>
        <v>-1.4924261686528835</v>
      </c>
      <c r="AD64">
        <f t="shared" si="25"/>
        <v>0</v>
      </c>
      <c r="AE64">
        <f t="shared" si="21"/>
        <v>0</v>
      </c>
    </row>
    <row r="65" spans="1:31" x14ac:dyDescent="0.25">
      <c r="A65" s="347">
        <v>120.23</v>
      </c>
      <c r="B65" s="364">
        <f t="shared" si="22"/>
        <v>0.12023</v>
      </c>
      <c r="C65" s="337">
        <f t="shared" si="0"/>
        <v>1.0003697744643305</v>
      </c>
      <c r="D65" s="338">
        <f t="shared" si="1"/>
        <v>2.7190459943800965E-2</v>
      </c>
      <c r="E65" s="338">
        <f t="shared" si="2"/>
        <v>1.0000000164353104</v>
      </c>
      <c r="F65" s="339">
        <f t="shared" si="3"/>
        <v>1.8130256648205071E-4</v>
      </c>
      <c r="G65" s="338">
        <f t="shared" si="4"/>
        <v>1</v>
      </c>
      <c r="H65" s="339">
        <f t="shared" si="5"/>
        <v>0</v>
      </c>
      <c r="I65" s="337">
        <f t="shared" si="6"/>
        <v>87.051373328135412</v>
      </c>
      <c r="J65" s="340">
        <f t="shared" si="7"/>
        <v>1.5593086045829099</v>
      </c>
      <c r="K65" s="348">
        <f t="shared" si="8"/>
        <v>1.0002079877711683</v>
      </c>
      <c r="L65" s="349">
        <f t="shared" si="9"/>
        <v>2.0393711210620859E-2</v>
      </c>
      <c r="M65" s="337">
        <f t="shared" si="10"/>
        <v>1.0000005013144007</v>
      </c>
      <c r="N65" s="340">
        <f t="shared" si="11"/>
        <v>1.0013133287528483E-3</v>
      </c>
      <c r="O65" s="341">
        <f t="shared" si="12"/>
        <v>1.0000000078143376</v>
      </c>
      <c r="P65" s="342">
        <f t="shared" si="13"/>
        <v>1.5507827502078502E-3</v>
      </c>
      <c r="Q65" s="343">
        <f t="shared" si="14"/>
        <v>56.412095682908955</v>
      </c>
      <c r="R65" s="344">
        <f t="shared" si="15"/>
        <v>-89.867063582906681</v>
      </c>
      <c r="S65" s="346">
        <f t="shared" si="16"/>
        <v>90.132936417093319</v>
      </c>
      <c r="U65" s="319">
        <f t="shared" si="23"/>
        <v>1000000000</v>
      </c>
      <c r="V65" s="319">
        <f t="shared" si="24"/>
        <v>14455.252900000001</v>
      </c>
      <c r="X65" s="345">
        <f t="shared" si="17"/>
        <v>58.913513877942627</v>
      </c>
      <c r="Y65" s="346">
        <f t="shared" si="18"/>
        <v>-88.23069954858326</v>
      </c>
      <c r="AA65" s="345">
        <f t="shared" si="19"/>
        <v>59.740085427413362</v>
      </c>
      <c r="AB65" s="346">
        <f t="shared" si="20"/>
        <v>-1.6363640343234243</v>
      </c>
      <c r="AD65">
        <f t="shared" si="25"/>
        <v>0</v>
      </c>
      <c r="AE65">
        <f t="shared" si="21"/>
        <v>0</v>
      </c>
    </row>
    <row r="66" spans="1:31" x14ac:dyDescent="0.25">
      <c r="A66" s="347">
        <v>131.83000000000001</v>
      </c>
      <c r="B66" s="364">
        <f t="shared" si="22"/>
        <v>0.13183</v>
      </c>
      <c r="C66" s="337">
        <f t="shared" si="0"/>
        <v>1.0004445529452821</v>
      </c>
      <c r="D66" s="338">
        <f t="shared" si="1"/>
        <v>2.9812357112404715E-2</v>
      </c>
      <c r="E66" s="338">
        <f t="shared" si="2"/>
        <v>1.0000000197597172</v>
      </c>
      <c r="F66" s="339">
        <f t="shared" si="3"/>
        <v>1.9879495372500532E-4</v>
      </c>
      <c r="G66" s="338">
        <f t="shared" si="4"/>
        <v>1</v>
      </c>
      <c r="H66" s="339">
        <f t="shared" si="5"/>
        <v>0</v>
      </c>
      <c r="I66" s="337">
        <f t="shared" si="6"/>
        <v>95.449182010921731</v>
      </c>
      <c r="J66" s="340">
        <f t="shared" si="7"/>
        <v>1.5603193559749045</v>
      </c>
      <c r="K66" s="348">
        <f t="shared" si="8"/>
        <v>1.0002500526593405</v>
      </c>
      <c r="L66" s="349">
        <f t="shared" si="9"/>
        <v>2.2360705050561626E-2</v>
      </c>
      <c r="M66" s="337">
        <f t="shared" si="10"/>
        <v>1.0000006027163435</v>
      </c>
      <c r="N66" s="340">
        <f t="shared" si="11"/>
        <v>1.0979217101048733E-3</v>
      </c>
      <c r="O66" s="341">
        <f t="shared" si="12"/>
        <v>1.0000000093951344</v>
      </c>
      <c r="P66" s="342">
        <f t="shared" si="13"/>
        <v>1.7004051086391765E-3</v>
      </c>
      <c r="Q66" s="343">
        <f t="shared" si="14"/>
        <v>55.611879172848191</v>
      </c>
      <c r="R66" s="344">
        <f t="shared" si="15"/>
        <v>-89.975604310863773</v>
      </c>
      <c r="S66" s="346">
        <f t="shared" si="16"/>
        <v>90.024395689136227</v>
      </c>
      <c r="U66" s="319">
        <f t="shared" si="23"/>
        <v>1000000000</v>
      </c>
      <c r="V66" s="319">
        <f t="shared" si="24"/>
        <v>17379.148900000004</v>
      </c>
      <c r="X66" s="345">
        <f t="shared" si="17"/>
        <v>58.113946606017841</v>
      </c>
      <c r="Y66" s="346">
        <f t="shared" si="18"/>
        <v>-88.181446144585465</v>
      </c>
      <c r="AA66" s="345">
        <f t="shared" si="19"/>
        <v>59.739436189277377</v>
      </c>
      <c r="AB66" s="346">
        <f t="shared" si="20"/>
        <v>-1.7941581662783044</v>
      </c>
      <c r="AD66">
        <f t="shared" si="25"/>
        <v>0</v>
      </c>
      <c r="AE66">
        <f t="shared" si="21"/>
        <v>0</v>
      </c>
    </row>
    <row r="67" spans="1:31" x14ac:dyDescent="0.25">
      <c r="A67" s="347">
        <v>144.54</v>
      </c>
      <c r="B67" s="364">
        <f t="shared" si="22"/>
        <v>0.14454</v>
      </c>
      <c r="C67" s="337">
        <f t="shared" si="0"/>
        <v>1.0005343817122949</v>
      </c>
      <c r="D67" s="338">
        <f t="shared" si="1"/>
        <v>3.2684670746842823E-2</v>
      </c>
      <c r="E67" s="338">
        <f t="shared" si="2"/>
        <v>1.0000000237535387</v>
      </c>
      <c r="F67" s="339">
        <f t="shared" si="3"/>
        <v>2.1796118133131378E-4</v>
      </c>
      <c r="G67" s="338">
        <f t="shared" si="4"/>
        <v>1</v>
      </c>
      <c r="H67" s="339">
        <f t="shared" si="5"/>
        <v>0</v>
      </c>
      <c r="I67" s="337">
        <f t="shared" si="6"/>
        <v>104.65066723854211</v>
      </c>
      <c r="J67" s="340">
        <f t="shared" si="7"/>
        <v>1.5612405805654244</v>
      </c>
      <c r="K67" s="348">
        <f t="shared" si="8"/>
        <v>1.0003005855525868</v>
      </c>
      <c r="L67" s="349">
        <f t="shared" si="9"/>
        <v>2.4515720622998741E-2</v>
      </c>
      <c r="M67" s="337">
        <f t="shared" si="10"/>
        <v>1.0000007245369495</v>
      </c>
      <c r="N67" s="340">
        <f t="shared" si="11"/>
        <v>1.2037744905595423E-3</v>
      </c>
      <c r="O67" s="341">
        <f t="shared" si="12"/>
        <v>1.0000000112943239</v>
      </c>
      <c r="P67" s="342">
        <f t="shared" si="13"/>
        <v>1.8643448219277869E-3</v>
      </c>
      <c r="Q67" s="343">
        <f t="shared" si="14"/>
        <v>54.81214125825916</v>
      </c>
      <c r="R67" s="344">
        <f t="shared" si="15"/>
        <v>-90.083844570898265</v>
      </c>
      <c r="S67" s="346">
        <f t="shared" si="16"/>
        <v>89.916155429101735</v>
      </c>
      <c r="U67" s="319">
        <f t="shared" si="23"/>
        <v>1000000000</v>
      </c>
      <c r="V67" s="319">
        <f t="shared" si="24"/>
        <v>20891.811599999997</v>
      </c>
      <c r="X67" s="345">
        <f t="shared" si="17"/>
        <v>57.314988534275685</v>
      </c>
      <c r="Y67" s="346">
        <f t="shared" si="18"/>
        <v>-88.116820046016244</v>
      </c>
      <c r="AA67" s="345">
        <f t="shared" si="19"/>
        <v>59.738656346430503</v>
      </c>
      <c r="AB67" s="346">
        <f t="shared" si="20"/>
        <v>-1.9670245248820124</v>
      </c>
      <c r="AD67">
        <f t="shared" si="25"/>
        <v>0</v>
      </c>
      <c r="AE67">
        <f t="shared" si="21"/>
        <v>0</v>
      </c>
    </row>
    <row r="68" spans="1:31" x14ac:dyDescent="0.25">
      <c r="A68" s="347">
        <v>158.49</v>
      </c>
      <c r="B68" s="364">
        <f t="shared" si="22"/>
        <v>0.15849000000000002</v>
      </c>
      <c r="C68" s="337">
        <f t="shared" si="0"/>
        <v>1.000642474288596</v>
      </c>
      <c r="D68" s="338">
        <f t="shared" si="1"/>
        <v>3.5836587432352414E-2</v>
      </c>
      <c r="E68" s="338">
        <f t="shared" si="2"/>
        <v>1.0000000285598518</v>
      </c>
      <c r="F68" s="339">
        <f t="shared" si="3"/>
        <v>2.3899728461679537E-4</v>
      </c>
      <c r="G68" s="338">
        <f t="shared" si="4"/>
        <v>1</v>
      </c>
      <c r="H68" s="339">
        <f t="shared" si="5"/>
        <v>0</v>
      </c>
      <c r="I68" s="337">
        <f t="shared" si="6"/>
        <v>114.74994337868188</v>
      </c>
      <c r="J68" s="340">
        <f t="shared" si="7"/>
        <v>1.5620816152371606</v>
      </c>
      <c r="K68" s="348">
        <f t="shared" si="8"/>
        <v>1.0003613953250357</v>
      </c>
      <c r="L68" s="349">
        <f t="shared" si="9"/>
        <v>2.6880718731926399E-2</v>
      </c>
      <c r="M68" s="337">
        <f t="shared" si="10"/>
        <v>1.0000008711403627</v>
      </c>
      <c r="N68" s="340">
        <f t="shared" si="11"/>
        <v>1.3199543404053306E-3</v>
      </c>
      <c r="O68" s="341">
        <f t="shared" si="12"/>
        <v>1.0000000135799902</v>
      </c>
      <c r="P68" s="342">
        <f t="shared" si="13"/>
        <v>2.0442787103006439E-3</v>
      </c>
      <c r="Q68" s="343">
        <f t="shared" si="14"/>
        <v>54.011520126370264</v>
      </c>
      <c r="R68" s="344">
        <f t="shared" si="15"/>
        <v>-90.192880208916208</v>
      </c>
      <c r="S68" s="346">
        <f t="shared" si="16"/>
        <v>89.807119791083792</v>
      </c>
      <c r="U68" s="319">
        <f t="shared" si="23"/>
        <v>1000000000</v>
      </c>
      <c r="V68" s="319">
        <f t="shared" si="24"/>
        <v>25119.080100000003</v>
      </c>
      <c r="X68" s="345">
        <f t="shared" si="17"/>
        <v>56.515305708543586</v>
      </c>
      <c r="Y68" s="346">
        <f t="shared" si="18"/>
        <v>-88.036159987901385</v>
      </c>
      <c r="AA68" s="345">
        <f t="shared" si="19"/>
        <v>59.737718040273705</v>
      </c>
      <c r="AB68" s="346">
        <f t="shared" si="20"/>
        <v>-2.1567202210148175</v>
      </c>
      <c r="AD68">
        <f t="shared" si="25"/>
        <v>0</v>
      </c>
      <c r="AE68">
        <f t="shared" si="21"/>
        <v>0</v>
      </c>
    </row>
    <row r="69" spans="1:31" x14ac:dyDescent="0.25">
      <c r="A69" s="347">
        <v>173.78</v>
      </c>
      <c r="B69" s="364">
        <f t="shared" si="22"/>
        <v>0.17377999999999999</v>
      </c>
      <c r="C69" s="337">
        <f t="shared" si="0"/>
        <v>1.0007723664690458</v>
      </c>
      <c r="D69" s="338">
        <f t="shared" si="1"/>
        <v>3.9290448495913059E-2</v>
      </c>
      <c r="E69" s="338">
        <f t="shared" si="2"/>
        <v>1.0000000343361661</v>
      </c>
      <c r="F69" s="339">
        <f t="shared" si="3"/>
        <v>2.6205405994553888E-4</v>
      </c>
      <c r="G69" s="338">
        <f t="shared" si="4"/>
        <v>1</v>
      </c>
      <c r="H69" s="339">
        <f t="shared" si="5"/>
        <v>0</v>
      </c>
      <c r="I69" s="337">
        <f t="shared" si="6"/>
        <v>125.81940674812532</v>
      </c>
      <c r="J69" s="340">
        <f t="shared" si="7"/>
        <v>1.562848343615437</v>
      </c>
      <c r="K69" s="348">
        <f t="shared" si="8"/>
        <v>1.0004344727270145</v>
      </c>
      <c r="L69" s="349">
        <f t="shared" si="9"/>
        <v>2.9472545864059809E-2</v>
      </c>
      <c r="M69" s="337">
        <f t="shared" si="10"/>
        <v>1.0000010473309873</v>
      </c>
      <c r="N69" s="340">
        <f t="shared" si="11"/>
        <v>1.4472940774332319E-3</v>
      </c>
      <c r="O69" s="341">
        <f t="shared" si="12"/>
        <v>1.0000000163271074</v>
      </c>
      <c r="P69" s="342">
        <f t="shared" si="13"/>
        <v>2.2414966455017488E-3</v>
      </c>
      <c r="Q69" s="343">
        <f t="shared" si="14"/>
        <v>53.211122616602552</v>
      </c>
      <c r="R69" s="344">
        <f t="shared" si="15"/>
        <v>-90.303476144130386</v>
      </c>
      <c r="S69" s="346">
        <f t="shared" si="16"/>
        <v>89.696523855869614</v>
      </c>
      <c r="U69" s="319">
        <f t="shared" si="23"/>
        <v>1000000000</v>
      </c>
      <c r="V69" s="319">
        <f t="shared" si="24"/>
        <v>30199.488400000002</v>
      </c>
      <c r="X69" s="345">
        <f t="shared" si="17"/>
        <v>55.716035604042354</v>
      </c>
      <c r="Y69" s="346">
        <f t="shared" si="18"/>
        <v>-87.938885561495638</v>
      </c>
      <c r="AA69" s="345">
        <f t="shared" si="19"/>
        <v>59.736590635007225</v>
      </c>
      <c r="AB69" s="346">
        <f t="shared" si="20"/>
        <v>-2.3645905826347247</v>
      </c>
      <c r="AD69">
        <f t="shared" si="25"/>
        <v>0</v>
      </c>
      <c r="AE69">
        <f t="shared" si="21"/>
        <v>0</v>
      </c>
    </row>
    <row r="70" spans="1:31" x14ac:dyDescent="0.25">
      <c r="A70" s="347">
        <v>190.55</v>
      </c>
      <c r="B70" s="364">
        <f t="shared" si="22"/>
        <v>0.19055000000000002</v>
      </c>
      <c r="C70" s="337">
        <f t="shared" si="0"/>
        <v>1.0009285554219332</v>
      </c>
      <c r="D70" s="338">
        <f t="shared" si="1"/>
        <v>4.3077545848299793E-2</v>
      </c>
      <c r="E70" s="338">
        <f t="shared" si="2"/>
        <v>1.0000000412828927</v>
      </c>
      <c r="F70" s="339">
        <f t="shared" si="3"/>
        <v>2.8734262223137699E-4</v>
      </c>
      <c r="G70" s="338">
        <f t="shared" si="4"/>
        <v>1</v>
      </c>
      <c r="H70" s="339">
        <f t="shared" si="5"/>
        <v>0</v>
      </c>
      <c r="I70" s="337">
        <f t="shared" si="6"/>
        <v>137.96041278857015</v>
      </c>
      <c r="J70" s="340">
        <f t="shared" si="7"/>
        <v>1.5635478071893076</v>
      </c>
      <c r="K70" s="348">
        <f t="shared" si="8"/>
        <v>1.0005223501966001</v>
      </c>
      <c r="L70" s="349">
        <f t="shared" si="9"/>
        <v>3.2314792994246465E-2</v>
      </c>
      <c r="M70" s="337">
        <f t="shared" si="10"/>
        <v>1.0000012592217824</v>
      </c>
      <c r="N70" s="340">
        <f t="shared" si="11"/>
        <v>1.5869596472427357E-3</v>
      </c>
      <c r="O70" s="341">
        <f t="shared" si="12"/>
        <v>1.0000000196310863</v>
      </c>
      <c r="P70" s="342">
        <f t="shared" si="13"/>
        <v>2.4578044467122415E-3</v>
      </c>
      <c r="Q70" s="343">
        <f t="shared" si="14"/>
        <v>52.410391208935145</v>
      </c>
      <c r="R70" s="344">
        <f t="shared" si="15"/>
        <v>-90.416635228859207</v>
      </c>
      <c r="S70" s="346">
        <f t="shared" si="16"/>
        <v>89.583364771140793</v>
      </c>
      <c r="U70" s="319">
        <f t="shared" si="23"/>
        <v>1000000000</v>
      </c>
      <c r="V70" s="319">
        <f t="shared" si="24"/>
        <v>36309.302500000005</v>
      </c>
      <c r="X70" s="345">
        <f t="shared" si="17"/>
        <v>54.916659651955719</v>
      </c>
      <c r="Y70" s="346">
        <f t="shared" si="18"/>
        <v>-87.824115354870926</v>
      </c>
      <c r="AA70" s="345">
        <f t="shared" si="19"/>
        <v>59.735235179426454</v>
      </c>
      <c r="AB70" s="346">
        <f t="shared" si="20"/>
        <v>-2.5925198739882833</v>
      </c>
      <c r="AD70">
        <f t="shared" si="25"/>
        <v>0</v>
      </c>
      <c r="AE70">
        <f t="shared" si="21"/>
        <v>0</v>
      </c>
    </row>
    <row r="71" spans="1:31" x14ac:dyDescent="0.25">
      <c r="A71" s="347">
        <v>208.93</v>
      </c>
      <c r="B71" s="364">
        <f t="shared" si="22"/>
        <v>0.20893</v>
      </c>
      <c r="C71" s="337">
        <f t="shared" si="0"/>
        <v>1.0011162225758214</v>
      </c>
      <c r="D71" s="338">
        <f t="shared" si="1"/>
        <v>4.7226798955985694E-2</v>
      </c>
      <c r="E71" s="338">
        <f t="shared" si="2"/>
        <v>1.0000000496310908</v>
      </c>
      <c r="F71" s="339">
        <f t="shared" si="3"/>
        <v>3.150590067104786E-4</v>
      </c>
      <c r="G71" s="338">
        <f t="shared" si="4"/>
        <v>1</v>
      </c>
      <c r="H71" s="339">
        <f t="shared" si="5"/>
        <v>0</v>
      </c>
      <c r="I71" s="337">
        <f t="shared" si="6"/>
        <v>151.2670778122295</v>
      </c>
      <c r="J71" s="340">
        <f t="shared" si="7"/>
        <v>1.5641854548296399</v>
      </c>
      <c r="K71" s="348">
        <f t="shared" si="8"/>
        <v>1.0006279463515744</v>
      </c>
      <c r="L71" s="349">
        <f t="shared" si="9"/>
        <v>3.5429307934882755E-2</v>
      </c>
      <c r="M71" s="337">
        <f t="shared" si="10"/>
        <v>1.00000151386056</v>
      </c>
      <c r="N71" s="340">
        <f t="shared" si="11"/>
        <v>1.7400337067044909E-3</v>
      </c>
      <c r="O71" s="341">
        <f t="shared" si="12"/>
        <v>1.0000000236019657</v>
      </c>
      <c r="P71" s="342">
        <f t="shared" si="13"/>
        <v>2.6948789585958337E-3</v>
      </c>
      <c r="Q71" s="343">
        <f t="shared" si="14"/>
        <v>51.609878671041983</v>
      </c>
      <c r="R71" s="344">
        <f t="shared" si="15"/>
        <v>-90.533221712140119</v>
      </c>
      <c r="S71" s="346">
        <f t="shared" si="16"/>
        <v>89.466778287859881</v>
      </c>
      <c r="U71" s="319">
        <f t="shared" si="23"/>
        <v>1000000000</v>
      </c>
      <c r="V71" s="319">
        <f t="shared" si="24"/>
        <v>43651.744900000005</v>
      </c>
      <c r="X71" s="345">
        <f t="shared" si="17"/>
        <v>54.117775467384391</v>
      </c>
      <c r="Y71" s="346">
        <f t="shared" si="18"/>
        <v>-87.690971809557496</v>
      </c>
      <c r="AA71" s="345">
        <f t="shared" si="19"/>
        <v>59.733606826104619</v>
      </c>
      <c r="AB71" s="346">
        <f t="shared" si="20"/>
        <v>-2.842249902582624</v>
      </c>
      <c r="AD71">
        <f t="shared" si="25"/>
        <v>0</v>
      </c>
      <c r="AE71">
        <f t="shared" si="21"/>
        <v>0</v>
      </c>
    </row>
    <row r="72" spans="1:31" x14ac:dyDescent="0.25">
      <c r="A72" s="347">
        <v>229.09</v>
      </c>
      <c r="B72" s="364">
        <f t="shared" si="22"/>
        <v>0.22909000000000002</v>
      </c>
      <c r="C72" s="337">
        <f t="shared" si="0"/>
        <v>1.001341876316604</v>
      </c>
      <c r="D72" s="338">
        <f t="shared" si="1"/>
        <v>5.1776008075100584E-2</v>
      </c>
      <c r="E72" s="338">
        <f t="shared" si="2"/>
        <v>1.0000000596711591</v>
      </c>
      <c r="F72" s="339">
        <f t="shared" si="3"/>
        <v>3.4545956714783152E-4</v>
      </c>
      <c r="G72" s="338">
        <f t="shared" si="4"/>
        <v>1</v>
      </c>
      <c r="H72" s="339">
        <f t="shared" si="5"/>
        <v>0</v>
      </c>
      <c r="I72" s="337">
        <f t="shared" si="6"/>
        <v>165.86247760326333</v>
      </c>
      <c r="J72" s="340">
        <f t="shared" si="7"/>
        <v>1.5647671990930032</v>
      </c>
      <c r="K72" s="348">
        <f t="shared" si="8"/>
        <v>1.0007549281733163</v>
      </c>
      <c r="L72" s="349">
        <f t="shared" si="9"/>
        <v>3.8844653393037033E-2</v>
      </c>
      <c r="M72" s="337">
        <f t="shared" si="10"/>
        <v>1.0000018201050895</v>
      </c>
      <c r="N72" s="340">
        <f t="shared" si="11"/>
        <v>1.9079320369726433E-3</v>
      </c>
      <c r="O72" s="341">
        <f t="shared" si="12"/>
        <v>1.000000028378083</v>
      </c>
      <c r="P72" s="342">
        <f t="shared" si="13"/>
        <v>2.954912979673143E-3</v>
      </c>
      <c r="Q72" s="343">
        <f t="shared" si="14"/>
        <v>50.808946023132563</v>
      </c>
      <c r="R72" s="344">
        <f t="shared" si="15"/>
        <v>-90.654295699482745</v>
      </c>
      <c r="S72" s="346">
        <f t="shared" si="16"/>
        <v>89.345704300517255</v>
      </c>
      <c r="U72" s="319">
        <f t="shared" si="23"/>
        <v>1000000000</v>
      </c>
      <c r="V72" s="319">
        <f t="shared" si="24"/>
        <v>52482.2281</v>
      </c>
      <c r="X72" s="345">
        <f t="shared" si="17"/>
        <v>53.318800371265887</v>
      </c>
      <c r="Y72" s="346">
        <f t="shared" si="18"/>
        <v>-87.538238285809882</v>
      </c>
      <c r="AA72" s="345">
        <f t="shared" si="19"/>
        <v>59.731649274313696</v>
      </c>
      <c r="AB72" s="346">
        <f t="shared" si="20"/>
        <v>-3.1160574136728578</v>
      </c>
      <c r="AD72">
        <f t="shared" si="25"/>
        <v>0</v>
      </c>
      <c r="AE72">
        <f t="shared" si="21"/>
        <v>0</v>
      </c>
    </row>
    <row r="73" spans="1:31" x14ac:dyDescent="0.25">
      <c r="A73" s="347">
        <v>251.19</v>
      </c>
      <c r="B73" s="364">
        <f t="shared" si="22"/>
        <v>0.25119000000000002</v>
      </c>
      <c r="C73" s="337">
        <f t="shared" si="0"/>
        <v>1.0016130434855406</v>
      </c>
      <c r="D73" s="338">
        <f t="shared" si="1"/>
        <v>5.6760518111540079E-2</v>
      </c>
      <c r="E73" s="338">
        <f t="shared" si="2"/>
        <v>1.0000000717392612</v>
      </c>
      <c r="F73" s="339">
        <f t="shared" si="3"/>
        <v>3.7878557760581515E-4</v>
      </c>
      <c r="G73" s="338">
        <f t="shared" si="4"/>
        <v>1</v>
      </c>
      <c r="H73" s="339">
        <f t="shared" si="5"/>
        <v>0</v>
      </c>
      <c r="I73" s="337">
        <f t="shared" si="6"/>
        <v>181.86244867733387</v>
      </c>
      <c r="J73" s="340">
        <f t="shared" si="7"/>
        <v>1.5652976378321444</v>
      </c>
      <c r="K73" s="348">
        <f t="shared" si="8"/>
        <v>1.0009075382441697</v>
      </c>
      <c r="L73" s="349">
        <f t="shared" si="9"/>
        <v>4.2587613705512221E-2</v>
      </c>
      <c r="M73" s="337">
        <f t="shared" si="10"/>
        <v>1.0000021882090584</v>
      </c>
      <c r="N73" s="340">
        <f t="shared" si="11"/>
        <v>2.0919871262703796E-3</v>
      </c>
      <c r="O73" s="341">
        <f t="shared" si="12"/>
        <v>1.0000000341196518</v>
      </c>
      <c r="P73" s="342">
        <f t="shared" si="13"/>
        <v>3.2399703416003066E-3</v>
      </c>
      <c r="Q73" s="343">
        <f t="shared" si="14"/>
        <v>50.00801776329682</v>
      </c>
      <c r="R73" s="344">
        <f t="shared" si="15"/>
        <v>-90.780791883734082</v>
      </c>
      <c r="S73" s="346">
        <f t="shared" si="16"/>
        <v>89.219208116265918</v>
      </c>
      <c r="U73" s="319">
        <f t="shared" si="23"/>
        <v>1000000000</v>
      </c>
      <c r="V73" s="319">
        <f t="shared" si="24"/>
        <v>63096.416100000002</v>
      </c>
      <c r="X73" s="345">
        <f t="shared" si="17"/>
        <v>52.520223909826811</v>
      </c>
      <c r="Y73" s="346">
        <f t="shared" si="18"/>
        <v>-87.364719937679524</v>
      </c>
      <c r="AA73" s="345">
        <f t="shared" si="19"/>
        <v>59.729297475917036</v>
      </c>
      <c r="AB73" s="346">
        <f t="shared" si="20"/>
        <v>-3.4160719460545659</v>
      </c>
      <c r="AD73">
        <f t="shared" si="25"/>
        <v>0</v>
      </c>
      <c r="AE73">
        <f t="shared" si="21"/>
        <v>0</v>
      </c>
    </row>
    <row r="74" spans="1:31" x14ac:dyDescent="0.25">
      <c r="A74" s="347">
        <v>275.42</v>
      </c>
      <c r="B74" s="364">
        <f t="shared" si="22"/>
        <v>0.27542</v>
      </c>
      <c r="C74" s="337">
        <f t="shared" si="0"/>
        <v>1.0019389277642674</v>
      </c>
      <c r="D74" s="338">
        <f t="shared" si="1"/>
        <v>6.2222183690837582E-2</v>
      </c>
      <c r="E74" s="338">
        <f t="shared" si="2"/>
        <v>1.0000000862468321</v>
      </c>
      <c r="F74" s="339">
        <f t="shared" si="3"/>
        <v>4.1532355099801305E-4</v>
      </c>
      <c r="G74" s="338">
        <f t="shared" si="4"/>
        <v>1</v>
      </c>
      <c r="H74" s="339">
        <f t="shared" si="5"/>
        <v>0</v>
      </c>
      <c r="I74" s="337">
        <f t="shared" si="6"/>
        <v>199.4045473248795</v>
      </c>
      <c r="J74" s="340">
        <f t="shared" si="7"/>
        <v>1.5657813750044209</v>
      </c>
      <c r="K74" s="348">
        <f t="shared" si="8"/>
        <v>1.0010909664133161</v>
      </c>
      <c r="L74" s="349">
        <f t="shared" si="9"/>
        <v>4.6689945299573994E-2</v>
      </c>
      <c r="M74" s="337">
        <f t="shared" si="10"/>
        <v>1.0000026307220895</v>
      </c>
      <c r="N74" s="340">
        <f t="shared" si="11"/>
        <v>2.2937812983839126E-3</v>
      </c>
      <c r="O74" s="341">
        <f t="shared" si="12"/>
        <v>1.0000000410228511</v>
      </c>
      <c r="P74" s="342">
        <f t="shared" si="13"/>
        <v>3.552501855357661E-3</v>
      </c>
      <c r="Q74" s="343">
        <f t="shared" si="14"/>
        <v>49.20693958260248</v>
      </c>
      <c r="R74" s="344">
        <f t="shared" si="15"/>
        <v>-90.91376730198202</v>
      </c>
      <c r="S74" s="346">
        <f t="shared" si="16"/>
        <v>89.08623269801798</v>
      </c>
      <c r="U74" s="319">
        <f t="shared" si="23"/>
        <v>1000000000</v>
      </c>
      <c r="V74" s="319">
        <f t="shared" si="24"/>
        <v>75856.176400000011</v>
      </c>
      <c r="X74" s="345">
        <f t="shared" si="17"/>
        <v>51.721971239802862</v>
      </c>
      <c r="Y74" s="346">
        <f t="shared" si="18"/>
        <v>-87.168951703710391</v>
      </c>
      <c r="AA74" s="345">
        <f t="shared" si="19"/>
        <v>59.726471965246631</v>
      </c>
      <c r="AB74" s="346">
        <f t="shared" si="20"/>
        <v>-3.7448155982716287</v>
      </c>
      <c r="AD74">
        <f t="shared" si="25"/>
        <v>0</v>
      </c>
      <c r="AE74">
        <f t="shared" si="21"/>
        <v>0</v>
      </c>
    </row>
    <row r="75" spans="1:31" x14ac:dyDescent="0.25">
      <c r="A75" s="347">
        <v>302</v>
      </c>
      <c r="B75" s="364">
        <f t="shared" si="22"/>
        <v>0.30199999999999999</v>
      </c>
      <c r="C75" s="337">
        <f t="shared" si="0"/>
        <v>1.0023307708108731</v>
      </c>
      <c r="D75" s="338">
        <f t="shared" si="1"/>
        <v>6.8209276781267064E-2</v>
      </c>
      <c r="E75" s="338">
        <f t="shared" si="2"/>
        <v>1.0000001036969748</v>
      </c>
      <c r="F75" s="339">
        <f t="shared" si="3"/>
        <v>4.5540523906123639E-4</v>
      </c>
      <c r="G75" s="338">
        <f t="shared" si="4"/>
        <v>1</v>
      </c>
      <c r="H75" s="339">
        <f t="shared" si="5"/>
        <v>0</v>
      </c>
      <c r="I75" s="337">
        <f t="shared" si="6"/>
        <v>218.64804974607335</v>
      </c>
      <c r="J75" s="340">
        <f t="shared" si="7"/>
        <v>1.5662227507331106</v>
      </c>
      <c r="K75" s="348">
        <f t="shared" si="8"/>
        <v>1.0013115548178844</v>
      </c>
      <c r="L75" s="349">
        <f t="shared" si="9"/>
        <v>5.1188337350664428E-2</v>
      </c>
      <c r="M75" s="337">
        <f t="shared" si="10"/>
        <v>1.0000031629898183</v>
      </c>
      <c r="N75" s="340">
        <f t="shared" si="11"/>
        <v>2.5151467079496067E-3</v>
      </c>
      <c r="O75" s="341">
        <f t="shared" si="12"/>
        <v>1.0000000493277001</v>
      </c>
      <c r="P75" s="342">
        <f t="shared" si="13"/>
        <v>3.8953453198328674E-3</v>
      </c>
      <c r="Q75" s="343">
        <f t="shared" si="14"/>
        <v>48.405241491546498</v>
      </c>
      <c r="R75" s="344">
        <f t="shared" si="15"/>
        <v>-91.054382830771573</v>
      </c>
      <c r="S75" s="346">
        <f t="shared" si="16"/>
        <v>88.945617169228427</v>
      </c>
      <c r="U75" s="319">
        <f t="shared" si="23"/>
        <v>1000000000</v>
      </c>
      <c r="V75" s="319">
        <f t="shared" si="24"/>
        <v>91204</v>
      </c>
      <c r="X75" s="345">
        <f t="shared" si="17"/>
        <v>50.923669324320919</v>
      </c>
      <c r="Y75" s="346">
        <f t="shared" si="18"/>
        <v>-86.949185094468305</v>
      </c>
      <c r="AA75" s="345">
        <f t="shared" si="19"/>
        <v>59.723075789672606</v>
      </c>
      <c r="AB75" s="346">
        <f t="shared" si="20"/>
        <v>-4.1051977363032615</v>
      </c>
      <c r="AD75">
        <f t="shared" si="25"/>
        <v>0</v>
      </c>
      <c r="AE75">
        <f t="shared" si="21"/>
        <v>0</v>
      </c>
    </row>
    <row r="76" spans="1:31" x14ac:dyDescent="0.25">
      <c r="A76" s="347">
        <v>331.13</v>
      </c>
      <c r="B76" s="364">
        <f t="shared" si="22"/>
        <v>0.33112999999999998</v>
      </c>
      <c r="C76" s="337">
        <f t="shared" si="0"/>
        <v>1.0028014357744406</v>
      </c>
      <c r="D76" s="338">
        <f t="shared" si="1"/>
        <v>7.4765116670971549E-2</v>
      </c>
      <c r="E76" s="338">
        <f t="shared" si="2"/>
        <v>1.000000124666353</v>
      </c>
      <c r="F76" s="339">
        <f t="shared" si="3"/>
        <v>4.9933223411340781E-4</v>
      </c>
      <c r="G76" s="338">
        <f t="shared" si="4"/>
        <v>1</v>
      </c>
      <c r="H76" s="339">
        <f t="shared" si="5"/>
        <v>0</v>
      </c>
      <c r="I76" s="337">
        <f t="shared" si="6"/>
        <v>239.73775279676633</v>
      </c>
      <c r="J76" s="340">
        <f t="shared" si="7"/>
        <v>1.566625090148982</v>
      </c>
      <c r="K76" s="348">
        <f t="shared" si="8"/>
        <v>1.0015765658481106</v>
      </c>
      <c r="L76" s="349">
        <f t="shared" si="9"/>
        <v>5.6115903823991016E-2</v>
      </c>
      <c r="M76" s="337">
        <f t="shared" si="10"/>
        <v>1.0000038026016065</v>
      </c>
      <c r="N76" s="340">
        <f t="shared" si="11"/>
        <v>2.757748921439037E-3</v>
      </c>
      <c r="O76" s="341">
        <f t="shared" si="12"/>
        <v>1.0000000593095475</v>
      </c>
      <c r="P76" s="342">
        <f t="shared" si="13"/>
        <v>4.2710806043785368E-3</v>
      </c>
      <c r="Q76" s="343">
        <f t="shared" si="14"/>
        <v>47.603640445502904</v>
      </c>
      <c r="R76" s="344">
        <f t="shared" si="15"/>
        <v>-91.203639673584021</v>
      </c>
      <c r="S76" s="346">
        <f t="shared" si="16"/>
        <v>88.796360326415979</v>
      </c>
      <c r="U76" s="319">
        <f t="shared" si="23"/>
        <v>1000000000</v>
      </c>
      <c r="V76" s="319">
        <f t="shared" si="24"/>
        <v>109647.0769</v>
      </c>
      <c r="X76" s="345">
        <f t="shared" si="17"/>
        <v>50.126145863097264</v>
      </c>
      <c r="Y76" s="346">
        <f t="shared" si="18"/>
        <v>-86.703808765390804</v>
      </c>
      <c r="AA76" s="345">
        <f t="shared" si="19"/>
        <v>59.71899820485266</v>
      </c>
      <c r="AB76" s="346">
        <f t="shared" si="20"/>
        <v>-4.4998309081932053</v>
      </c>
      <c r="AD76">
        <f t="shared" si="25"/>
        <v>0</v>
      </c>
      <c r="AE76">
        <f t="shared" si="21"/>
        <v>0</v>
      </c>
    </row>
    <row r="77" spans="1:31" x14ac:dyDescent="0.25">
      <c r="A77" s="347">
        <v>363.08</v>
      </c>
      <c r="B77" s="364">
        <f t="shared" si="22"/>
        <v>0.36307999999999996</v>
      </c>
      <c r="C77" s="337">
        <f t="shared" ref="C77:C140" si="26">SQRT(1+(A77/pole1)^2)</f>
        <v>1.0033671743636248</v>
      </c>
      <c r="D77" s="338">
        <f t="shared" ref="D77:D140" si="27">ATAN(A77/pole1)</f>
        <v>8.1948193546079698E-2</v>
      </c>
      <c r="E77" s="338">
        <f t="shared" ref="E77:E140" si="28">SQRT(1+(A77/Zero1)^2)</f>
        <v>1.0000001498845417</v>
      </c>
      <c r="F77" s="339">
        <f t="shared" ref="F77:F140" si="29">ATAN(A77/Zero1)</f>
        <v>5.4751168578473486E-4</v>
      </c>
      <c r="G77" s="338">
        <f t="shared" ref="G77:G140" si="30">IF(VIN_nom&gt;Vout, 1, SQRT(1+(A77/z_RHP)^2))</f>
        <v>1</v>
      </c>
      <c r="H77" s="339">
        <f t="shared" ref="H77:H140" si="31">IF(VIN_nom&gt;Vout, 0, -ATAN(A77/z_RHP))</f>
        <v>0</v>
      </c>
      <c r="I77" s="337">
        <f t="shared" ref="I77:I140" si="32">SQRT(1+(A77/Pole2)^2)</f>
        <v>262.86913260184491</v>
      </c>
      <c r="J77" s="340">
        <f t="shared" ref="J77:J140" si="33">ATAN(A77/Pole2)</f>
        <v>1.5669921433136531</v>
      </c>
      <c r="K77" s="348">
        <f t="shared" ref="K77:K140" si="34">SQRT(1+(A77/Zero2)^2)</f>
        <v>1.0018951805191703</v>
      </c>
      <c r="L77" s="349">
        <f t="shared" ref="L77:L140" si="35">ATAN(A77/Zero2)</f>
        <v>6.1517351384566155E-2</v>
      </c>
      <c r="M77" s="337">
        <f t="shared" ref="M77:M140" si="36">SQRT(1+(A77/pole4)^2)</f>
        <v>1.0000045718108674</v>
      </c>
      <c r="N77" s="340">
        <f t="shared" ref="N77:N140" si="37">ATAN(A77/pole4)</f>
        <v>3.0238364537596841E-3</v>
      </c>
      <c r="O77" s="341">
        <f t="shared" ref="O77:O140" si="38">SQRT((1-(V77/pterm2))^2+(A77/pterm1)^2)</f>
        <v>1.0000000713169914</v>
      </c>
      <c r="P77" s="342">
        <f t="shared" ref="P77:P140" si="39">IF((ATAN((A77/pterm1)/(1-A77^2/pterm2))&gt;0),ATAN((A77/pterm1)/(1-A77^2/pterm2)),PI()+ATAN((A77/pterm1)/(1-A77^2/pterm2)))</f>
        <v>4.6831905323093696E-3</v>
      </c>
      <c r="Q77" s="343">
        <f t="shared" ref="Q77:Q140" si="40">20*LOG10(((E77*K77*G77)/(C77*I77*O77*M77))*Adc)</f>
        <v>46.801434462228499</v>
      </c>
      <c r="R77" s="344">
        <f t="shared" ref="R77:R140" si="41">((F77+L77+H77)-(D77+J77+P77+N77))*radconv</f>
        <v>-91.362847484246927</v>
      </c>
      <c r="S77" s="346">
        <f t="shared" ref="S77:S140" si="42">IF(R77&gt;0,R77,R77+180)</f>
        <v>88.637152515753073</v>
      </c>
      <c r="U77" s="319">
        <f t="shared" si="23"/>
        <v>1000000000</v>
      </c>
      <c r="V77" s="319">
        <f t="shared" si="24"/>
        <v>131827.0864</v>
      </c>
      <c r="X77" s="345">
        <f t="shared" ref="X77:X140" si="43">20*LOG10((K77/(I77*M77))*AEA)</f>
        <v>49.328838598658464</v>
      </c>
      <c r="Y77" s="346">
        <f t="shared" ref="Y77:Y140" si="44">(L77-(J77+N77))*radconv</f>
        <v>-86.430604906372039</v>
      </c>
      <c r="AA77" s="345">
        <f t="shared" ref="AA77:AA140" si="45">20*LOG10((E77*G77/(C77*O77))*Acs*Am)</f>
        <v>59.714099486017062</v>
      </c>
      <c r="AB77" s="346">
        <f t="shared" ref="AB77:AB140" si="46">(F77+H77-(D77+P77))*radconv</f>
        <v>-4.9322425778748809</v>
      </c>
      <c r="AD77">
        <f t="shared" si="25"/>
        <v>0</v>
      </c>
      <c r="AE77">
        <f t="shared" ref="AE77:AE89" si="47">IF(AD77&gt;0,S75,0)</f>
        <v>0</v>
      </c>
    </row>
    <row r="78" spans="1:31" x14ac:dyDescent="0.25">
      <c r="A78" s="347">
        <v>398.11</v>
      </c>
      <c r="B78" s="364">
        <f t="shared" ref="B78:B141" si="48">A78/1000</f>
        <v>0.39811000000000002</v>
      </c>
      <c r="C78" s="337">
        <f t="shared" si="26"/>
        <v>1.0040468751279255</v>
      </c>
      <c r="D78" s="338">
        <f t="shared" si="27"/>
        <v>8.9813968035818245E-2</v>
      </c>
      <c r="E78" s="338">
        <f t="shared" si="28"/>
        <v>1.0000001802014817</v>
      </c>
      <c r="F78" s="339">
        <f t="shared" si="29"/>
        <v>6.0033566382700315E-4</v>
      </c>
      <c r="G78" s="338">
        <f t="shared" si="30"/>
        <v>1</v>
      </c>
      <c r="H78" s="339">
        <f t="shared" si="31"/>
        <v>0</v>
      </c>
      <c r="I78" s="337">
        <f t="shared" si="32"/>
        <v>288.23042575369351</v>
      </c>
      <c r="J78" s="340">
        <f t="shared" si="33"/>
        <v>1.5673268734796462</v>
      </c>
      <c r="K78" s="348">
        <f t="shared" si="34"/>
        <v>1.0022780803830362</v>
      </c>
      <c r="L78" s="349">
        <f t="shared" si="35"/>
        <v>6.7435362606569654E-2</v>
      </c>
      <c r="M78" s="337">
        <f t="shared" si="36"/>
        <v>1.0000054965423</v>
      </c>
      <c r="N78" s="340">
        <f t="shared" si="37"/>
        <v>3.3155744972716678E-3</v>
      </c>
      <c r="O78" s="341">
        <f t="shared" si="38"/>
        <v>1.0000000857566143</v>
      </c>
      <c r="P78" s="342">
        <f t="shared" si="39"/>
        <v>5.1350290140130019E-3</v>
      </c>
      <c r="Q78" s="343">
        <f t="shared" si="40"/>
        <v>45.998858844168346</v>
      </c>
      <c r="R78" s="344">
        <f t="shared" si="41"/>
        <v>-91.533201930601479</v>
      </c>
      <c r="S78" s="346">
        <f t="shared" si="42"/>
        <v>88.466798069398521</v>
      </c>
      <c r="U78" s="319">
        <f t="shared" ref="U78:U141" si="49">IF(Q78&lt;0,A78,1000000000)</f>
        <v>1000000000</v>
      </c>
      <c r="V78" s="319">
        <f t="shared" ref="V78:V141" si="50">A78^2</f>
        <v>158491.57210000002</v>
      </c>
      <c r="X78" s="345">
        <f t="shared" si="43"/>
        <v>48.532144844016486</v>
      </c>
      <c r="Y78" s="346">
        <f t="shared" si="44"/>
        <v>-86.127421824297514</v>
      </c>
      <c r="AA78" s="345">
        <f t="shared" si="45"/>
        <v>59.70821762259888</v>
      </c>
      <c r="AB78" s="346">
        <f t="shared" si="46"/>
        <v>-5.4057801063039674</v>
      </c>
      <c r="AD78">
        <f t="shared" ref="AD78:AD141" si="51">SUM((Q79&lt;0)*(Q78&gt;0))*A78</f>
        <v>0</v>
      </c>
      <c r="AE78">
        <f t="shared" si="47"/>
        <v>0</v>
      </c>
    </row>
    <row r="79" spans="1:31" x14ac:dyDescent="0.25">
      <c r="A79" s="347">
        <v>436.52</v>
      </c>
      <c r="B79" s="364">
        <f t="shared" si="48"/>
        <v>0.43651999999999996</v>
      </c>
      <c r="C79" s="337">
        <f t="shared" si="26"/>
        <v>1.0048634560929546</v>
      </c>
      <c r="D79" s="338">
        <f t="shared" si="27"/>
        <v>9.8425876144435709E-2</v>
      </c>
      <c r="E79" s="338">
        <f t="shared" si="28"/>
        <v>1.0000002166508861</v>
      </c>
      <c r="F79" s="339">
        <f t="shared" si="29"/>
        <v>6.5825655624286326E-4</v>
      </c>
      <c r="G79" s="338">
        <f t="shared" si="30"/>
        <v>1</v>
      </c>
      <c r="H79" s="339">
        <f t="shared" si="31"/>
        <v>0</v>
      </c>
      <c r="I79" s="337">
        <f t="shared" si="32"/>
        <v>316.03882859368639</v>
      </c>
      <c r="J79" s="340">
        <f t="shared" si="33"/>
        <v>1.5676321533510278</v>
      </c>
      <c r="K79" s="348">
        <f t="shared" si="34"/>
        <v>1.002738239096707</v>
      </c>
      <c r="L79" s="349">
        <f t="shared" si="35"/>
        <v>7.3918947063476279E-2</v>
      </c>
      <c r="M79" s="337">
        <f t="shared" si="36"/>
        <v>1.0000066083259025</v>
      </c>
      <c r="N79" s="340">
        <f t="shared" si="37"/>
        <v>3.6354613217965946E-3</v>
      </c>
      <c r="O79" s="341">
        <f t="shared" si="38"/>
        <v>1.0000001031234911</v>
      </c>
      <c r="P79" s="342">
        <f t="shared" si="39"/>
        <v>5.6304659990061819E-3</v>
      </c>
      <c r="Q79" s="343">
        <f t="shared" si="40"/>
        <v>45.195762564794315</v>
      </c>
      <c r="R79" s="344">
        <f t="shared" si="41"/>
        <v>-91.716033132232596</v>
      </c>
      <c r="S79" s="346">
        <f t="shared" si="42"/>
        <v>88.283966867767404</v>
      </c>
      <c r="U79" s="319">
        <f t="shared" si="49"/>
        <v>1000000000</v>
      </c>
      <c r="V79" s="319">
        <f t="shared" si="50"/>
        <v>190549.71039999998</v>
      </c>
      <c r="X79" s="345">
        <f t="shared" si="43"/>
        <v>47.736109672284826</v>
      </c>
      <c r="Y79" s="346">
        <f t="shared" si="44"/>
        <v>-85.791759211584179</v>
      </c>
      <c r="AA79" s="345">
        <f t="shared" si="45"/>
        <v>59.701156514956523</v>
      </c>
      <c r="AB79" s="346">
        <f t="shared" si="46"/>
        <v>-5.9242739206484396</v>
      </c>
      <c r="AD79">
        <f t="shared" si="51"/>
        <v>0</v>
      </c>
      <c r="AE79">
        <f t="shared" si="47"/>
        <v>0</v>
      </c>
    </row>
    <row r="80" spans="1:31" x14ac:dyDescent="0.25">
      <c r="A80" s="347">
        <v>478.63</v>
      </c>
      <c r="B80" s="364">
        <f t="shared" si="48"/>
        <v>0.47863</v>
      </c>
      <c r="C80" s="337">
        <f t="shared" si="26"/>
        <v>1.0058441875435939</v>
      </c>
      <c r="D80" s="338">
        <f t="shared" si="27"/>
        <v>0.10785051376913442</v>
      </c>
      <c r="E80" s="338">
        <f t="shared" si="28"/>
        <v>1.000000260466575</v>
      </c>
      <c r="F80" s="339">
        <f t="shared" si="29"/>
        <v>7.2175690990432771E-4</v>
      </c>
      <c r="G80" s="338">
        <f t="shared" si="30"/>
        <v>1</v>
      </c>
      <c r="H80" s="339">
        <f t="shared" si="31"/>
        <v>0</v>
      </c>
      <c r="I80" s="337">
        <f t="shared" si="32"/>
        <v>346.52601747458186</v>
      </c>
      <c r="J80" s="340">
        <f t="shared" si="33"/>
        <v>1.5679105365871271</v>
      </c>
      <c r="K80" s="348">
        <f t="shared" si="34"/>
        <v>1.003291114801262</v>
      </c>
      <c r="L80" s="349">
        <f t="shared" si="35"/>
        <v>8.1019922006684328E-2</v>
      </c>
      <c r="M80" s="337">
        <f t="shared" si="36"/>
        <v>1.0000079447951198</v>
      </c>
      <c r="N80" s="340">
        <f t="shared" si="37"/>
        <v>3.9861616927512524E-3</v>
      </c>
      <c r="O80" s="341">
        <f t="shared" si="38"/>
        <v>1.0000001240094385</v>
      </c>
      <c r="P80" s="342">
        <f t="shared" si="39"/>
        <v>6.1736295349285077E-3</v>
      </c>
      <c r="Q80" s="343">
        <f t="shared" si="40"/>
        <v>44.392157697936014</v>
      </c>
      <c r="R80" s="344">
        <f t="shared" si="41"/>
        <v>-91.912695708695225</v>
      </c>
      <c r="S80" s="346">
        <f t="shared" si="42"/>
        <v>88.087304291304775</v>
      </c>
      <c r="U80" s="319">
        <f t="shared" si="49"/>
        <v>1000000000</v>
      </c>
      <c r="V80" s="319">
        <f t="shared" si="50"/>
        <v>229086.67689999999</v>
      </c>
      <c r="X80" s="345">
        <f t="shared" si="43"/>
        <v>46.940977768282053</v>
      </c>
      <c r="Y80" s="346">
        <f t="shared" si="44"/>
        <v>-85.420947152131546</v>
      </c>
      <c r="AA80" s="345">
        <f t="shared" si="45"/>
        <v>59.692683552100981</v>
      </c>
      <c r="AB80" s="346">
        <f t="shared" si="46"/>
        <v>-6.4917485565636737</v>
      </c>
      <c r="AD80">
        <f t="shared" si="51"/>
        <v>0</v>
      </c>
      <c r="AE80">
        <f t="shared" si="47"/>
        <v>0</v>
      </c>
    </row>
    <row r="81" spans="1:31" x14ac:dyDescent="0.25">
      <c r="A81" s="347">
        <v>524.80999999999995</v>
      </c>
      <c r="B81" s="364">
        <f t="shared" si="48"/>
        <v>0.52481</v>
      </c>
      <c r="C81" s="337">
        <f t="shared" si="26"/>
        <v>1.0070222054584079</v>
      </c>
      <c r="D81" s="338">
        <f t="shared" si="27"/>
        <v>0.11816393184215378</v>
      </c>
      <c r="E81" s="338">
        <f t="shared" si="28"/>
        <v>1.000000313152843</v>
      </c>
      <c r="F81" s="339">
        <f t="shared" si="29"/>
        <v>7.9139466933199473E-4</v>
      </c>
      <c r="G81" s="338">
        <f t="shared" si="30"/>
        <v>1</v>
      </c>
      <c r="H81" s="339">
        <f t="shared" si="31"/>
        <v>0</v>
      </c>
      <c r="I81" s="337">
        <f t="shared" si="32"/>
        <v>379.95986843376738</v>
      </c>
      <c r="J81" s="340">
        <f t="shared" si="33"/>
        <v>1.5681644668603967</v>
      </c>
      <c r="K81" s="348">
        <f t="shared" si="34"/>
        <v>1.0039555182281161</v>
      </c>
      <c r="L81" s="349">
        <f t="shared" si="35"/>
        <v>8.8797788820205406E-2</v>
      </c>
      <c r="M81" s="337">
        <f t="shared" si="36"/>
        <v>1.0000095518330723</v>
      </c>
      <c r="N81" s="340">
        <f t="shared" si="37"/>
        <v>4.3707566945870207E-3</v>
      </c>
      <c r="O81" s="341">
        <f t="shared" si="38"/>
        <v>1.0000001491372223</v>
      </c>
      <c r="P81" s="342">
        <f t="shared" si="39"/>
        <v>6.7692927689455553E-3</v>
      </c>
      <c r="Q81" s="343">
        <f t="shared" si="40"/>
        <v>43.587689724445809</v>
      </c>
      <c r="R81" s="344">
        <f t="shared" si="41"/>
        <v>-92.124695937832087</v>
      </c>
      <c r="S81" s="346">
        <f t="shared" si="42"/>
        <v>87.875304062167913</v>
      </c>
      <c r="U81" s="319">
        <f t="shared" si="49"/>
        <v>1000000000</v>
      </c>
      <c r="V81" s="319">
        <f t="shared" si="50"/>
        <v>275425.53609999997</v>
      </c>
      <c r="X81" s="345">
        <f t="shared" si="43"/>
        <v>46.146676285616827</v>
      </c>
      <c r="Y81" s="346">
        <f t="shared" si="44"/>
        <v>-85.011893013010479</v>
      </c>
      <c r="AA81" s="345">
        <f t="shared" si="45"/>
        <v>59.682517061276002</v>
      </c>
      <c r="AB81" s="346">
        <f t="shared" si="46"/>
        <v>-7.1128029248216249</v>
      </c>
      <c r="AD81">
        <f t="shared" si="51"/>
        <v>0</v>
      </c>
      <c r="AE81">
        <f t="shared" si="47"/>
        <v>0</v>
      </c>
    </row>
    <row r="82" spans="1:31" x14ac:dyDescent="0.25">
      <c r="A82" s="347">
        <v>575.44000000000005</v>
      </c>
      <c r="B82" s="364">
        <f t="shared" si="48"/>
        <v>0.57544000000000006</v>
      </c>
      <c r="C82" s="337">
        <f t="shared" si="26"/>
        <v>1.0084365229138723</v>
      </c>
      <c r="D82" s="338">
        <f t="shared" si="27"/>
        <v>0.12944214436390347</v>
      </c>
      <c r="E82" s="338">
        <f t="shared" si="28"/>
        <v>1.0000003764889518</v>
      </c>
      <c r="F82" s="339">
        <f t="shared" si="29"/>
        <v>8.6774285797061688E-4</v>
      </c>
      <c r="G82" s="338">
        <f t="shared" si="30"/>
        <v>1</v>
      </c>
      <c r="H82" s="339">
        <f t="shared" si="31"/>
        <v>0</v>
      </c>
      <c r="I82" s="337">
        <f t="shared" si="32"/>
        <v>416.61549761362403</v>
      </c>
      <c r="J82" s="340">
        <f t="shared" si="33"/>
        <v>1.5683960297200967</v>
      </c>
      <c r="K82" s="348">
        <f t="shared" si="34"/>
        <v>1.0047536406447604</v>
      </c>
      <c r="L82" s="349">
        <f t="shared" si="35"/>
        <v>9.7312751480096188E-2</v>
      </c>
      <c r="M82" s="337">
        <f t="shared" si="36"/>
        <v>1.000011483709448</v>
      </c>
      <c r="N82" s="340">
        <f t="shared" si="37"/>
        <v>4.7924105735563495E-3</v>
      </c>
      <c r="O82" s="341">
        <f t="shared" si="38"/>
        <v>1.000000179363673</v>
      </c>
      <c r="P82" s="342">
        <f t="shared" si="39"/>
        <v>7.4223580538997965E-3</v>
      </c>
      <c r="Q82" s="343">
        <f t="shared" si="40"/>
        <v>42.78243134464735</v>
      </c>
      <c r="R82" s="344">
        <f t="shared" si="41"/>
        <v>-92.353488510743148</v>
      </c>
      <c r="S82" s="346">
        <f t="shared" si="42"/>
        <v>87.646511489256852</v>
      </c>
      <c r="U82" s="319">
        <f t="shared" si="49"/>
        <v>1000000000</v>
      </c>
      <c r="V82" s="319">
        <f t="shared" si="50"/>
        <v>331131.19360000006</v>
      </c>
      <c r="X82" s="345">
        <f t="shared" si="43"/>
        <v>45.353608001666345</v>
      </c>
      <c r="Y82" s="346">
        <f t="shared" si="44"/>
        <v>-84.561448151605589</v>
      </c>
      <c r="AA82" s="345">
        <f t="shared" si="45"/>
        <v>59.670326965428032</v>
      </c>
      <c r="AB82" s="346">
        <f t="shared" si="46"/>
        <v>-7.7920403591375456</v>
      </c>
      <c r="AD82">
        <f t="shared" si="51"/>
        <v>0</v>
      </c>
      <c r="AE82">
        <f t="shared" si="47"/>
        <v>0</v>
      </c>
    </row>
    <row r="83" spans="1:31" x14ac:dyDescent="0.25">
      <c r="A83" s="347">
        <v>630.96</v>
      </c>
      <c r="B83" s="364">
        <f t="shared" si="48"/>
        <v>0.63096000000000008</v>
      </c>
      <c r="C83" s="337">
        <f t="shared" si="26"/>
        <v>1.0101344469993618</v>
      </c>
      <c r="D83" s="338">
        <f t="shared" si="27"/>
        <v>0.14177158761716566</v>
      </c>
      <c r="E83" s="338">
        <f t="shared" si="28"/>
        <v>1.0000004526429711</v>
      </c>
      <c r="F83" s="339">
        <f t="shared" si="29"/>
        <v>9.5146497613716877E-4</v>
      </c>
      <c r="G83" s="338">
        <f t="shared" si="30"/>
        <v>1</v>
      </c>
      <c r="H83" s="339">
        <f t="shared" si="31"/>
        <v>0</v>
      </c>
      <c r="I83" s="337">
        <f t="shared" si="32"/>
        <v>456.81146074839199</v>
      </c>
      <c r="J83" s="340">
        <f t="shared" si="33"/>
        <v>1.5686072381125613</v>
      </c>
      <c r="K83" s="348">
        <f t="shared" si="34"/>
        <v>1.0057124478697741</v>
      </c>
      <c r="L83" s="349">
        <f t="shared" si="35"/>
        <v>0.10663382566035347</v>
      </c>
      <c r="M83" s="337">
        <f t="shared" si="36"/>
        <v>1.0000138065526198</v>
      </c>
      <c r="N83" s="340">
        <f t="shared" si="37"/>
        <v>5.254787107198032E-3</v>
      </c>
      <c r="O83" s="341">
        <f t="shared" si="38"/>
        <v>1.0000002157353927</v>
      </c>
      <c r="P83" s="342">
        <f t="shared" si="39"/>
        <v>8.1385019559549673E-3</v>
      </c>
      <c r="Q83" s="343">
        <f t="shared" si="40"/>
        <v>41.976052551255947</v>
      </c>
      <c r="R83" s="344">
        <f t="shared" si="41"/>
        <v>-92.600684034624933</v>
      </c>
      <c r="S83" s="346">
        <f t="shared" si="42"/>
        <v>87.399315965375067</v>
      </c>
      <c r="U83" s="319">
        <f t="shared" si="49"/>
        <v>1000000000</v>
      </c>
      <c r="V83" s="319">
        <f t="shared" si="50"/>
        <v>398110.52160000004</v>
      </c>
      <c r="X83" s="345">
        <f t="shared" si="43"/>
        <v>44.561841165115126</v>
      </c>
      <c r="Y83" s="346">
        <f t="shared" si="44"/>
        <v>-84.065983513391856</v>
      </c>
      <c r="AA83" s="345">
        <f t="shared" si="45"/>
        <v>59.655715008587848</v>
      </c>
      <c r="AB83" s="346">
        <f t="shared" si="46"/>
        <v>-8.5347005212330824</v>
      </c>
      <c r="AD83">
        <f t="shared" si="51"/>
        <v>0</v>
      </c>
      <c r="AE83">
        <f t="shared" si="47"/>
        <v>0</v>
      </c>
    </row>
    <row r="84" spans="1:31" x14ac:dyDescent="0.25">
      <c r="A84" s="347">
        <v>691.83</v>
      </c>
      <c r="B84" s="364">
        <f t="shared" si="48"/>
        <v>0.69183000000000006</v>
      </c>
      <c r="C84" s="337">
        <f t="shared" si="26"/>
        <v>1.0121718117362575</v>
      </c>
      <c r="D84" s="338">
        <f t="shared" si="27"/>
        <v>0.15523929785425725</v>
      </c>
      <c r="E84" s="338">
        <f t="shared" si="28"/>
        <v>1.0000005441904127</v>
      </c>
      <c r="F84" s="339">
        <f t="shared" si="29"/>
        <v>1.0432546821776362E-3</v>
      </c>
      <c r="G84" s="338">
        <f t="shared" si="30"/>
        <v>1</v>
      </c>
      <c r="H84" s="339">
        <f t="shared" si="31"/>
        <v>0</v>
      </c>
      <c r="I84" s="337">
        <f t="shared" si="32"/>
        <v>500.88079355543499</v>
      </c>
      <c r="J84" s="340">
        <f t="shared" si="33"/>
        <v>1.5687998424473397</v>
      </c>
      <c r="K84" s="348">
        <f t="shared" si="34"/>
        <v>1.0068638555287686</v>
      </c>
      <c r="L84" s="349">
        <f t="shared" si="35"/>
        <v>0.11683170537352296</v>
      </c>
      <c r="M84" s="337">
        <f t="shared" si="36"/>
        <v>1.0000165989176932</v>
      </c>
      <c r="N84" s="340">
        <f t="shared" si="37"/>
        <v>5.7617164270992172E-3</v>
      </c>
      <c r="O84" s="341">
        <f t="shared" si="38"/>
        <v>1.0000002594996837</v>
      </c>
      <c r="P84" s="342">
        <f t="shared" si="39"/>
        <v>8.9236593971773991E-3</v>
      </c>
      <c r="Q84" s="343">
        <f t="shared" si="40"/>
        <v>41.168518327119862</v>
      </c>
      <c r="R84" s="344">
        <f t="shared" si="41"/>
        <v>-92.86783889459096</v>
      </c>
      <c r="S84" s="346">
        <f t="shared" si="42"/>
        <v>87.13216110540904</v>
      </c>
      <c r="U84" s="319">
        <f t="shared" si="49"/>
        <v>1000000000</v>
      </c>
      <c r="V84" s="319">
        <f t="shared" si="50"/>
        <v>478628.74890000006</v>
      </c>
      <c r="X84" s="345">
        <f t="shared" si="43"/>
        <v>43.771807664719404</v>
      </c>
      <c r="Y84" s="346">
        <f t="shared" si="44"/>
        <v>-83.521768371263789</v>
      </c>
      <c r="AA84" s="345">
        <f t="shared" si="45"/>
        <v>59.638214284847486</v>
      </c>
      <c r="AB84" s="346">
        <f t="shared" si="46"/>
        <v>-9.3460705233271604</v>
      </c>
      <c r="AD84">
        <f t="shared" si="51"/>
        <v>0</v>
      </c>
      <c r="AE84">
        <f t="shared" si="47"/>
        <v>0</v>
      </c>
    </row>
    <row r="85" spans="1:31" x14ac:dyDescent="0.25">
      <c r="A85" s="347">
        <v>758.58</v>
      </c>
      <c r="B85" s="364">
        <f t="shared" si="48"/>
        <v>0.75858000000000003</v>
      </c>
      <c r="C85" s="337">
        <f t="shared" si="26"/>
        <v>1.0146161159292069</v>
      </c>
      <c r="D85" s="338">
        <f t="shared" si="27"/>
        <v>0.16994283006300037</v>
      </c>
      <c r="E85" s="338">
        <f t="shared" si="28"/>
        <v>1.0000006542667623</v>
      </c>
      <c r="F85" s="339">
        <f t="shared" si="29"/>
        <v>1.1439111902210573E-3</v>
      </c>
      <c r="G85" s="338">
        <f t="shared" si="30"/>
        <v>1</v>
      </c>
      <c r="H85" s="339">
        <f t="shared" si="31"/>
        <v>0</v>
      </c>
      <c r="I85" s="337">
        <f t="shared" si="32"/>
        <v>549.20721127046636</v>
      </c>
      <c r="J85" s="340">
        <f t="shared" si="33"/>
        <v>1.5689755193982793</v>
      </c>
      <c r="K85" s="348">
        <f t="shared" si="34"/>
        <v>1.0082465635140232</v>
      </c>
      <c r="L85" s="349">
        <f t="shared" si="35"/>
        <v>0.12798662402667549</v>
      </c>
      <c r="M85" s="337">
        <f t="shared" si="36"/>
        <v>1.0000199564384979</v>
      </c>
      <c r="N85" s="340">
        <f t="shared" si="37"/>
        <v>6.3176113557026157E-3</v>
      </c>
      <c r="O85" s="341">
        <f t="shared" si="38"/>
        <v>1.0000003121803613</v>
      </c>
      <c r="P85" s="342">
        <f t="shared" si="39"/>
        <v>9.7846687226908931E-3</v>
      </c>
      <c r="Q85" s="343">
        <f t="shared" si="40"/>
        <v>40.359422253684116</v>
      </c>
      <c r="R85" s="344">
        <f t="shared" si="41"/>
        <v>-93.156640463269397</v>
      </c>
      <c r="S85" s="346">
        <f t="shared" si="42"/>
        <v>86.843359536730603</v>
      </c>
      <c r="U85" s="319">
        <f t="shared" si="49"/>
        <v>1000000000</v>
      </c>
      <c r="V85" s="319">
        <f t="shared" si="50"/>
        <v>575443.61640000006</v>
      </c>
      <c r="X85" s="345">
        <f t="shared" si="43"/>
        <v>42.983661451163613</v>
      </c>
      <c r="Y85" s="346">
        <f t="shared" si="44"/>
        <v>-82.92455459205226</v>
      </c>
      <c r="AA85" s="345">
        <f t="shared" si="45"/>
        <v>59.617264424967537</v>
      </c>
      <c r="AB85" s="346">
        <f t="shared" si="46"/>
        <v>-10.232085871217146</v>
      </c>
      <c r="AD85">
        <f t="shared" si="51"/>
        <v>0</v>
      </c>
      <c r="AE85">
        <f t="shared" si="47"/>
        <v>0</v>
      </c>
    </row>
    <row r="86" spans="1:31" x14ac:dyDescent="0.25">
      <c r="A86" s="347">
        <v>831.76</v>
      </c>
      <c r="B86" s="364">
        <f t="shared" si="48"/>
        <v>0.83175999999999994</v>
      </c>
      <c r="C86" s="337">
        <f t="shared" si="26"/>
        <v>1.017546640761932</v>
      </c>
      <c r="D86" s="338">
        <f t="shared" si="27"/>
        <v>0.18597770909720118</v>
      </c>
      <c r="E86" s="338">
        <f t="shared" si="28"/>
        <v>1.0000007865894454</v>
      </c>
      <c r="F86" s="339">
        <f t="shared" si="29"/>
        <v>1.2542638715035887E-3</v>
      </c>
      <c r="G86" s="338">
        <f t="shared" si="30"/>
        <v>1</v>
      </c>
      <c r="H86" s="339">
        <f t="shared" si="31"/>
        <v>0</v>
      </c>
      <c r="I86" s="337">
        <f t="shared" si="32"/>
        <v>602.18890909508912</v>
      </c>
      <c r="J86" s="340">
        <f t="shared" si="33"/>
        <v>1.5691357175666285</v>
      </c>
      <c r="K86" s="348">
        <f t="shared" si="34"/>
        <v>1.0099062100830976</v>
      </c>
      <c r="L86" s="349">
        <f t="shared" si="35"/>
        <v>0.14017929921773195</v>
      </c>
      <c r="M86" s="337">
        <f t="shared" si="36"/>
        <v>1.0000239924968743</v>
      </c>
      <c r="N86" s="340">
        <f t="shared" si="37"/>
        <v>6.9270509142311107E-3</v>
      </c>
      <c r="O86" s="341">
        <f t="shared" si="38"/>
        <v>1.000000375592496</v>
      </c>
      <c r="P86" s="342">
        <f t="shared" si="39"/>
        <v>1.072862691628482E-2</v>
      </c>
      <c r="Q86" s="343">
        <f t="shared" si="40"/>
        <v>39.548691839528352</v>
      </c>
      <c r="R86" s="344">
        <f t="shared" si="41"/>
        <v>-93.468641599005451</v>
      </c>
      <c r="S86" s="346">
        <f t="shared" si="42"/>
        <v>86.531358400994549</v>
      </c>
      <c r="U86" s="319">
        <f t="shared" si="49"/>
        <v>1000000000</v>
      </c>
      <c r="V86" s="319">
        <f t="shared" si="50"/>
        <v>691824.69759999996</v>
      </c>
      <c r="X86" s="345">
        <f t="shared" si="43"/>
        <v>42.197981810785905</v>
      </c>
      <c r="Y86" s="346">
        <f t="shared" si="44"/>
        <v>-82.27006275538713</v>
      </c>
      <c r="AA86" s="345">
        <f t="shared" si="45"/>
        <v>59.592213651189482</v>
      </c>
      <c r="AB86" s="346">
        <f t="shared" si="46"/>
        <v>-11.198578843618325</v>
      </c>
      <c r="AD86">
        <f t="shared" si="51"/>
        <v>0</v>
      </c>
      <c r="AE86">
        <f t="shared" si="47"/>
        <v>0</v>
      </c>
    </row>
    <row r="87" spans="1:31" x14ac:dyDescent="0.25">
      <c r="A87" s="347">
        <v>912.01</v>
      </c>
      <c r="B87" s="364">
        <f t="shared" si="48"/>
        <v>0.91200999999999999</v>
      </c>
      <c r="C87" s="337">
        <f t="shared" si="26"/>
        <v>1.0210591905339383</v>
      </c>
      <c r="D87" s="338">
        <f t="shared" si="27"/>
        <v>0.20345091722850653</v>
      </c>
      <c r="E87" s="338">
        <f t="shared" si="28"/>
        <v>1.0000009456952741</v>
      </c>
      <c r="F87" s="339">
        <f t="shared" si="29"/>
        <v>1.3752778110462632E-3</v>
      </c>
      <c r="G87" s="338">
        <f t="shared" si="30"/>
        <v>1</v>
      </c>
      <c r="H87" s="339">
        <f t="shared" si="31"/>
        <v>0</v>
      </c>
      <c r="I87" s="337">
        <f t="shared" si="32"/>
        <v>660.2892415878066</v>
      </c>
      <c r="J87" s="340">
        <f t="shared" si="33"/>
        <v>1.5692818384172358</v>
      </c>
      <c r="K87" s="348">
        <f t="shared" si="34"/>
        <v>1.0118981781501735</v>
      </c>
      <c r="L87" s="349">
        <f t="shared" si="35"/>
        <v>0.15350173585527671</v>
      </c>
      <c r="M87" s="337">
        <f t="shared" si="36"/>
        <v>1.0000288454641655</v>
      </c>
      <c r="N87" s="340">
        <f t="shared" si="37"/>
        <v>7.5953631642636408E-3</v>
      </c>
      <c r="O87" s="341">
        <f t="shared" si="38"/>
        <v>1.0000004519622419</v>
      </c>
      <c r="P87" s="342">
        <f t="shared" si="39"/>
        <v>1.1763792748977708E-2</v>
      </c>
      <c r="Q87" s="343">
        <f t="shared" si="40"/>
        <v>38.735804582410239</v>
      </c>
      <c r="R87" s="344">
        <f t="shared" si="41"/>
        <v>-93.805503912379891</v>
      </c>
      <c r="S87" s="346">
        <f t="shared" si="42"/>
        <v>86.194496087620109</v>
      </c>
      <c r="U87" s="319">
        <f t="shared" si="49"/>
        <v>1000000000</v>
      </c>
      <c r="V87" s="319">
        <f t="shared" si="50"/>
        <v>831762.24009999994</v>
      </c>
      <c r="X87" s="345">
        <f t="shared" si="43"/>
        <v>41.415025712388491</v>
      </c>
      <c r="Y87" s="346">
        <f t="shared" si="44"/>
        <v>-81.553406941768856</v>
      </c>
      <c r="AA87" s="345">
        <f t="shared" si="45"/>
        <v>59.562282492468775</v>
      </c>
      <c r="AB87" s="346">
        <f t="shared" si="46"/>
        <v>-12.252096970611015</v>
      </c>
      <c r="AD87">
        <f t="shared" si="51"/>
        <v>0</v>
      </c>
      <c r="AE87">
        <f t="shared" si="47"/>
        <v>0</v>
      </c>
    </row>
    <row r="88" spans="1:31" x14ac:dyDescent="0.25">
      <c r="A88" s="347">
        <v>1000</v>
      </c>
      <c r="B88" s="364">
        <f t="shared" si="48"/>
        <v>1</v>
      </c>
      <c r="C88" s="337">
        <f t="shared" si="26"/>
        <v>1.0252661690751834</v>
      </c>
      <c r="D88" s="338">
        <f t="shared" si="27"/>
        <v>0.22246532025474358</v>
      </c>
      <c r="E88" s="338">
        <f t="shared" si="28"/>
        <v>1.0000011369777781</v>
      </c>
      <c r="F88" s="339">
        <f t="shared" si="29"/>
        <v>1.5079633289861801E-3</v>
      </c>
      <c r="G88" s="338">
        <f t="shared" si="30"/>
        <v>1</v>
      </c>
      <c r="H88" s="339">
        <f t="shared" si="31"/>
        <v>0</v>
      </c>
      <c r="I88" s="337">
        <f t="shared" si="32"/>
        <v>723.99328317757147</v>
      </c>
      <c r="J88" s="340">
        <f t="shared" si="33"/>
        <v>1.5694150980719221</v>
      </c>
      <c r="K88" s="348">
        <f t="shared" si="34"/>
        <v>1.0142878123924219</v>
      </c>
      <c r="L88" s="349">
        <f t="shared" si="35"/>
        <v>0.16804608328980425</v>
      </c>
      <c r="M88" s="337">
        <f t="shared" si="36"/>
        <v>1.0000346798383344</v>
      </c>
      <c r="N88" s="340">
        <f t="shared" si="37"/>
        <v>8.3281253738615134E-3</v>
      </c>
      <c r="O88" s="341">
        <f t="shared" si="38"/>
        <v>1.0000005439536477</v>
      </c>
      <c r="P88" s="342">
        <f t="shared" si="39"/>
        <v>1.2898813116745823E-2</v>
      </c>
      <c r="Q88" s="343">
        <f t="shared" si="40"/>
        <v>37.92052214611774</v>
      </c>
      <c r="R88" s="344">
        <f t="shared" si="41"/>
        <v>-94.168668186732233</v>
      </c>
      <c r="S88" s="346">
        <f t="shared" si="42"/>
        <v>85.831331813267767</v>
      </c>
      <c r="U88" s="319">
        <f t="shared" si="49"/>
        <v>1000000000</v>
      </c>
      <c r="V88" s="319">
        <f t="shared" si="50"/>
        <v>1000000</v>
      </c>
      <c r="X88" s="345">
        <f t="shared" si="43"/>
        <v>40.635456580652402</v>
      </c>
      <c r="Y88" s="346">
        <f t="shared" si="44"/>
        <v>-80.769696614892524</v>
      </c>
      <c r="AA88" s="345">
        <f t="shared" si="45"/>
        <v>59.526569187912372</v>
      </c>
      <c r="AB88" s="346">
        <f t="shared" si="46"/>
        <v>-13.398971571839709</v>
      </c>
      <c r="AD88">
        <f t="shared" si="51"/>
        <v>0</v>
      </c>
      <c r="AE88">
        <f t="shared" si="47"/>
        <v>0</v>
      </c>
    </row>
    <row r="89" spans="1:31" x14ac:dyDescent="0.25">
      <c r="A89" s="347">
        <v>1096.5</v>
      </c>
      <c r="B89" s="364">
        <f t="shared" si="48"/>
        <v>1.0965</v>
      </c>
      <c r="C89" s="337">
        <f t="shared" si="26"/>
        <v>1.0303024703607901</v>
      </c>
      <c r="D89" s="338">
        <f t="shared" si="27"/>
        <v>0.24313185266836054</v>
      </c>
      <c r="E89" s="338">
        <f t="shared" si="28"/>
        <v>1.0000013670021533</v>
      </c>
      <c r="F89" s="339">
        <f t="shared" si="29"/>
        <v>1.6534815366728546E-3</v>
      </c>
      <c r="G89" s="338">
        <f t="shared" si="30"/>
        <v>1</v>
      </c>
      <c r="H89" s="339">
        <f t="shared" si="31"/>
        <v>0</v>
      </c>
      <c r="I89" s="337">
        <f t="shared" si="32"/>
        <v>793.85850758084905</v>
      </c>
      <c r="J89" s="340">
        <f t="shared" si="33"/>
        <v>1.5695366561421136</v>
      </c>
      <c r="K89" s="348">
        <f t="shared" si="34"/>
        <v>1.0171540029199857</v>
      </c>
      <c r="L89" s="349">
        <f t="shared" si="35"/>
        <v>0.18391477974855097</v>
      </c>
      <c r="M89" s="337">
        <f t="shared" si="36"/>
        <v>1.0000416958481906</v>
      </c>
      <c r="N89" s="340">
        <f t="shared" si="37"/>
        <v>9.131746761251839E-3</v>
      </c>
      <c r="O89" s="341">
        <f t="shared" si="38"/>
        <v>1.0000006548327867</v>
      </c>
      <c r="P89" s="342">
        <f t="shared" si="39"/>
        <v>1.4143626367348582E-2</v>
      </c>
      <c r="Q89" s="343">
        <f t="shared" si="40"/>
        <v>37.102238746231492</v>
      </c>
      <c r="R89" s="344">
        <f t="shared" si="41"/>
        <v>-94.559557782799473</v>
      </c>
      <c r="S89" s="346">
        <f t="shared" si="42"/>
        <v>85.440442217200527</v>
      </c>
      <c r="U89" s="319">
        <f t="shared" si="49"/>
        <v>1000000000</v>
      </c>
      <c r="V89" s="319">
        <f t="shared" si="50"/>
        <v>1202312.25</v>
      </c>
      <c r="X89" s="345">
        <f t="shared" si="43"/>
        <v>39.85973442655429</v>
      </c>
      <c r="Y89" s="346">
        <f t="shared" si="44"/>
        <v>-79.913496158665438</v>
      </c>
      <c r="AA89" s="345">
        <f t="shared" si="45"/>
        <v>59.484007942124236</v>
      </c>
      <c r="AB89" s="346">
        <f t="shared" si="46"/>
        <v>-14.646061624134029</v>
      </c>
      <c r="AD89">
        <f t="shared" si="51"/>
        <v>0</v>
      </c>
      <c r="AE89">
        <f t="shared" si="47"/>
        <v>0</v>
      </c>
    </row>
    <row r="90" spans="1:31" x14ac:dyDescent="0.25">
      <c r="A90" s="347">
        <v>1202.3</v>
      </c>
      <c r="B90" s="364">
        <f t="shared" si="48"/>
        <v>1.2022999999999999</v>
      </c>
      <c r="C90" s="337">
        <f t="shared" si="26"/>
        <v>1.0363245467427507</v>
      </c>
      <c r="D90" s="338">
        <f t="shared" si="27"/>
        <v>0.26554858303117007</v>
      </c>
      <c r="E90" s="338">
        <f t="shared" si="28"/>
        <v>1.0000016435297161</v>
      </c>
      <c r="F90" s="339">
        <f t="shared" si="29"/>
        <v>1.8130236981801597E-3</v>
      </c>
      <c r="G90" s="338">
        <f t="shared" si="30"/>
        <v>1</v>
      </c>
      <c r="H90" s="339">
        <f t="shared" si="31"/>
        <v>0</v>
      </c>
      <c r="I90" s="337">
        <f t="shared" si="32"/>
        <v>870.45686844980457</v>
      </c>
      <c r="J90" s="340">
        <f t="shared" si="33"/>
        <v>1.5696475045428</v>
      </c>
      <c r="K90" s="348">
        <f t="shared" si="34"/>
        <v>1.0205889868722637</v>
      </c>
      <c r="L90" s="349">
        <f t="shared" si="35"/>
        <v>0.2012055105734748</v>
      </c>
      <c r="M90" s="337">
        <f t="shared" si="36"/>
        <v>1.0000501301961073</v>
      </c>
      <c r="N90" s="340">
        <f t="shared" si="37"/>
        <v>1.0012802005420767E-2</v>
      </c>
      <c r="O90" s="341">
        <f t="shared" si="38"/>
        <v>1.000000788498022</v>
      </c>
      <c r="P90" s="342">
        <f t="shared" si="39"/>
        <v>1.5508430831181995E-2</v>
      </c>
      <c r="Q90" s="343">
        <f t="shared" si="40"/>
        <v>36.280746088589446</v>
      </c>
      <c r="R90" s="344">
        <f t="shared" si="41"/>
        <v>-94.979144258249136</v>
      </c>
      <c r="S90" s="346">
        <f t="shared" si="42"/>
        <v>85.020855741750864</v>
      </c>
      <c r="U90" s="319">
        <f t="shared" si="49"/>
        <v>1000000000</v>
      </c>
      <c r="V90" s="319">
        <f t="shared" si="50"/>
        <v>1445525.2899999998</v>
      </c>
      <c r="X90" s="345">
        <f t="shared" si="43"/>
        <v>39.088861407813191</v>
      </c>
      <c r="Y90" s="346">
        <f t="shared" si="44"/>
        <v>-78.979642149167333</v>
      </c>
      <c r="AA90" s="345">
        <f t="shared" si="45"/>
        <v>59.433388303223268</v>
      </c>
      <c r="AB90" s="346">
        <f t="shared" si="46"/>
        <v>-15.999502109081817</v>
      </c>
      <c r="AD90">
        <f t="shared" si="51"/>
        <v>0</v>
      </c>
      <c r="AE90">
        <f t="shared" ref="AE90:AE153" si="52">IF(AD90&gt;0,S90,0)</f>
        <v>0</v>
      </c>
    </row>
    <row r="91" spans="1:31" x14ac:dyDescent="0.25">
      <c r="A91" s="347">
        <v>1318.3</v>
      </c>
      <c r="B91" s="364">
        <f t="shared" si="48"/>
        <v>1.3183</v>
      </c>
      <c r="C91" s="337">
        <f t="shared" si="26"/>
        <v>1.0435182565669447</v>
      </c>
      <c r="D91" s="338">
        <f t="shared" si="27"/>
        <v>0.28981555181298024</v>
      </c>
      <c r="E91" s="338">
        <f t="shared" si="28"/>
        <v>1.0000019759697811</v>
      </c>
      <c r="F91" s="339">
        <f t="shared" si="29"/>
        <v>1.9879469446890466E-3</v>
      </c>
      <c r="G91" s="338">
        <f t="shared" si="30"/>
        <v>1</v>
      </c>
      <c r="H91" s="339">
        <f t="shared" si="31"/>
        <v>0</v>
      </c>
      <c r="I91" s="337">
        <f t="shared" si="32"/>
        <v>954.43995864350018</v>
      </c>
      <c r="J91" s="340">
        <f t="shared" si="33"/>
        <v>1.5697485917604379</v>
      </c>
      <c r="K91" s="348">
        <f t="shared" si="34"/>
        <v>1.0247032665612665</v>
      </c>
      <c r="L91" s="349">
        <f t="shared" si="35"/>
        <v>0.22002371819242564</v>
      </c>
      <c r="M91" s="337">
        <f t="shared" si="36"/>
        <v>1.000060269836285</v>
      </c>
      <c r="N91" s="340">
        <f t="shared" si="37"/>
        <v>1.0978780387306179E-2</v>
      </c>
      <c r="O91" s="341">
        <f t="shared" si="38"/>
        <v>1.0000009497245455</v>
      </c>
      <c r="P91" s="342">
        <f t="shared" si="39"/>
        <v>1.7004846424810396E-2</v>
      </c>
      <c r="Q91" s="343">
        <f t="shared" si="40"/>
        <v>35.455491907201527</v>
      </c>
      <c r="R91" s="344">
        <f t="shared" si="41"/>
        <v>-95.428189566433957</v>
      </c>
      <c r="S91" s="346">
        <f t="shared" si="42"/>
        <v>84.571810433566043</v>
      </c>
      <c r="U91" s="319">
        <f t="shared" si="49"/>
        <v>1000000000</v>
      </c>
      <c r="V91" s="319">
        <f t="shared" si="50"/>
        <v>1737914.89</v>
      </c>
      <c r="X91" s="345">
        <f t="shared" si="43"/>
        <v>38.323691067554208</v>
      </c>
      <c r="Y91" s="346">
        <f t="shared" si="44"/>
        <v>-77.962576628754633</v>
      </c>
      <c r="AA91" s="345">
        <f t="shared" si="45"/>
        <v>59.373304462094353</v>
      </c>
      <c r="AB91" s="346">
        <f t="shared" si="46"/>
        <v>-17.465612937679325</v>
      </c>
      <c r="AD91">
        <f t="shared" si="51"/>
        <v>0</v>
      </c>
      <c r="AE91">
        <f t="shared" si="52"/>
        <v>0</v>
      </c>
    </row>
    <row r="92" spans="1:31" x14ac:dyDescent="0.25">
      <c r="A92" s="347">
        <v>1445.4</v>
      </c>
      <c r="B92" s="364">
        <f t="shared" si="48"/>
        <v>1.4454</v>
      </c>
      <c r="C92" s="337">
        <f t="shared" si="26"/>
        <v>1.0520954799068558</v>
      </c>
      <c r="D92" s="338">
        <f t="shared" si="27"/>
        <v>0.31600647158357292</v>
      </c>
      <c r="E92" s="338">
        <f t="shared" si="28"/>
        <v>1.0000023753510825</v>
      </c>
      <c r="F92" s="339">
        <f t="shared" si="29"/>
        <v>2.1796083962722979E-3</v>
      </c>
      <c r="G92" s="338">
        <f t="shared" si="30"/>
        <v>1</v>
      </c>
      <c r="H92" s="339">
        <f t="shared" si="31"/>
        <v>0</v>
      </c>
      <c r="I92" s="337">
        <f t="shared" si="32"/>
        <v>1046.4593710924507</v>
      </c>
      <c r="J92" s="340">
        <f t="shared" si="33"/>
        <v>1.5698407233765312</v>
      </c>
      <c r="K92" s="348">
        <f t="shared" si="34"/>
        <v>1.0296242740363206</v>
      </c>
      <c r="L92" s="349">
        <f t="shared" si="35"/>
        <v>0.24046191256659488</v>
      </c>
      <c r="M92" s="337">
        <f t="shared" si="36"/>
        <v>1.0000724510966192</v>
      </c>
      <c r="N92" s="340">
        <f t="shared" si="37"/>
        <v>1.2037169317448476E-2</v>
      </c>
      <c r="O92" s="341">
        <f t="shared" si="38"/>
        <v>1.0000011441883414</v>
      </c>
      <c r="P92" s="342">
        <f t="shared" si="39"/>
        <v>1.8644496470825875E-2</v>
      </c>
      <c r="Q92" s="343">
        <f t="shared" si="40"/>
        <v>34.626423702660702</v>
      </c>
      <c r="R92" s="344">
        <f t="shared" si="41"/>
        <v>-95.906680059679928</v>
      </c>
      <c r="S92" s="346">
        <f t="shared" si="42"/>
        <v>84.093319940320072</v>
      </c>
      <c r="U92" s="319">
        <f t="shared" si="49"/>
        <v>1000000000</v>
      </c>
      <c r="V92" s="319">
        <f t="shared" si="50"/>
        <v>2089181.1600000001</v>
      </c>
      <c r="X92" s="345">
        <f t="shared" si="43"/>
        <v>37.565723147459813</v>
      </c>
      <c r="Y92" s="346">
        <f t="shared" si="44"/>
        <v>-76.857474320526336</v>
      </c>
      <c r="AA92" s="345">
        <f t="shared" si="45"/>
        <v>59.302204177647923</v>
      </c>
      <c r="AB92" s="346">
        <f t="shared" si="46"/>
        <v>-19.049205739153599</v>
      </c>
      <c r="AD92">
        <f t="shared" si="51"/>
        <v>0</v>
      </c>
      <c r="AE92">
        <f t="shared" si="52"/>
        <v>0</v>
      </c>
    </row>
    <row r="93" spans="1:31" x14ac:dyDescent="0.25">
      <c r="A93" s="347">
        <v>1584.9</v>
      </c>
      <c r="B93" s="364">
        <f t="shared" si="48"/>
        <v>1.5849000000000002</v>
      </c>
      <c r="C93" s="337">
        <f t="shared" si="26"/>
        <v>1.062325813976277</v>
      </c>
      <c r="D93" s="338">
        <f t="shared" si="27"/>
        <v>0.34424420203281841</v>
      </c>
      <c r="E93" s="338">
        <f t="shared" si="28"/>
        <v>1.0000028559811331</v>
      </c>
      <c r="F93" s="339">
        <f t="shared" si="29"/>
        <v>2.3899683412035729E-3</v>
      </c>
      <c r="G93" s="338">
        <f t="shared" si="30"/>
        <v>1</v>
      </c>
      <c r="H93" s="339">
        <f t="shared" si="31"/>
        <v>0</v>
      </c>
      <c r="I93" s="337">
        <f t="shared" si="32"/>
        <v>1147.4562956997838</v>
      </c>
      <c r="J93" s="340">
        <f t="shared" si="33"/>
        <v>1.5699248337974456</v>
      </c>
      <c r="K93" s="348">
        <f t="shared" si="34"/>
        <v>1.0355153913222239</v>
      </c>
      <c r="L93" s="349">
        <f t="shared" si="35"/>
        <v>0.2626601338462195</v>
      </c>
      <c r="M93" s="337">
        <f t="shared" si="36"/>
        <v>1.0000871102801221</v>
      </c>
      <c r="N93" s="340">
        <f t="shared" si="37"/>
        <v>1.3198784572167719E-2</v>
      </c>
      <c r="O93" s="341">
        <f t="shared" si="38"/>
        <v>1.000001379330598</v>
      </c>
      <c r="P93" s="342">
        <f t="shared" si="39"/>
        <v>2.0444169069511818E-2</v>
      </c>
      <c r="Q93" s="343">
        <f t="shared" si="40"/>
        <v>33.791526996404329</v>
      </c>
      <c r="R93" s="344">
        <f t="shared" si="41"/>
        <v>-96.415154177042552</v>
      </c>
      <c r="S93" s="346">
        <f t="shared" si="42"/>
        <v>83.584845822957448</v>
      </c>
      <c r="U93" s="319">
        <f t="shared" si="49"/>
        <v>1000000000</v>
      </c>
      <c r="V93" s="319">
        <f t="shared" si="50"/>
        <v>2511908.0100000002</v>
      </c>
      <c r="X93" s="345">
        <f t="shared" si="43"/>
        <v>36.814875908627123</v>
      </c>
      <c r="Y93" s="346">
        <f t="shared" si="44"/>
        <v>-75.656984750779472</v>
      </c>
      <c r="AA93" s="345">
        <f t="shared" si="45"/>
        <v>59.218154710224233</v>
      </c>
      <c r="AB93" s="346">
        <f t="shared" si="46"/>
        <v>-20.758169426263073</v>
      </c>
      <c r="AD93">
        <f t="shared" si="51"/>
        <v>0</v>
      </c>
      <c r="AE93">
        <f t="shared" si="52"/>
        <v>0</v>
      </c>
    </row>
    <row r="94" spans="1:31" x14ac:dyDescent="0.25">
      <c r="A94" s="347">
        <v>1737.8</v>
      </c>
      <c r="B94" s="364">
        <f t="shared" si="48"/>
        <v>1.7378</v>
      </c>
      <c r="C94" s="337">
        <f t="shared" si="26"/>
        <v>1.0744919491580218</v>
      </c>
      <c r="D94" s="338">
        <f t="shared" si="27"/>
        <v>0.3745498670452459</v>
      </c>
      <c r="E94" s="338">
        <f t="shared" si="28"/>
        <v>1.000003433610779</v>
      </c>
      <c r="F94" s="339">
        <f t="shared" si="29"/>
        <v>2.6205346608449147E-3</v>
      </c>
      <c r="G94" s="338">
        <f t="shared" si="30"/>
        <v>1</v>
      </c>
      <c r="H94" s="339">
        <f t="shared" si="31"/>
        <v>0</v>
      </c>
      <c r="I94" s="337">
        <f t="shared" si="32"/>
        <v>1258.1547247636199</v>
      </c>
      <c r="J94" s="340">
        <f t="shared" si="33"/>
        <v>1.5700015119079784</v>
      </c>
      <c r="K94" s="348">
        <f t="shared" si="34"/>
        <v>1.0425514001994935</v>
      </c>
      <c r="L94" s="349">
        <f t="shared" si="35"/>
        <v>0.2866893098055413</v>
      </c>
      <c r="M94" s="337">
        <f t="shared" si="36"/>
        <v>1.0001047276696398</v>
      </c>
      <c r="N94" s="340">
        <f t="shared" si="37"/>
        <v>1.4471940474764451E-2</v>
      </c>
      <c r="O94" s="341">
        <f t="shared" si="38"/>
        <v>1.0000016635436459</v>
      </c>
      <c r="P94" s="342">
        <f t="shared" si="39"/>
        <v>2.241678816799958E-2</v>
      </c>
      <c r="Q94" s="343">
        <f t="shared" si="40"/>
        <v>32.951328271193972</v>
      </c>
      <c r="R94" s="344">
        <f t="shared" si="41"/>
        <v>-96.951922574471368</v>
      </c>
      <c r="S94" s="346">
        <f t="shared" si="42"/>
        <v>83.048077425528632</v>
      </c>
      <c r="U94" s="319">
        <f t="shared" si="49"/>
        <v>1000000000</v>
      </c>
      <c r="V94" s="319">
        <f t="shared" si="50"/>
        <v>3019948.84</v>
      </c>
      <c r="X94" s="345">
        <f t="shared" si="43"/>
        <v>36.07358325608881</v>
      </c>
      <c r="Y94" s="346">
        <f t="shared" si="44"/>
        <v>-74.35755417364382</v>
      </c>
      <c r="AA94" s="345">
        <f t="shared" si="45"/>
        <v>59.11924863755219</v>
      </c>
      <c r="AB94" s="346">
        <f t="shared" si="46"/>
        <v>-22.594368400827552</v>
      </c>
      <c r="AD94">
        <f t="shared" si="51"/>
        <v>0</v>
      </c>
      <c r="AE94">
        <f t="shared" si="52"/>
        <v>0</v>
      </c>
    </row>
    <row r="95" spans="1:31" x14ac:dyDescent="0.25">
      <c r="A95" s="347">
        <v>1905.5</v>
      </c>
      <c r="B95" s="364">
        <f t="shared" si="48"/>
        <v>1.9055</v>
      </c>
      <c r="C95" s="337">
        <f t="shared" si="26"/>
        <v>1.0889432060046933</v>
      </c>
      <c r="D95" s="338">
        <f t="shared" si="27"/>
        <v>0.40697722274438813</v>
      </c>
      <c r="E95" s="338">
        <f t="shared" si="28"/>
        <v>1.0000041282808334</v>
      </c>
      <c r="F95" s="339">
        <f t="shared" si="29"/>
        <v>2.8734183932117023E-3</v>
      </c>
      <c r="G95" s="338">
        <f t="shared" si="30"/>
        <v>1</v>
      </c>
      <c r="H95" s="339">
        <f t="shared" si="31"/>
        <v>0</v>
      </c>
      <c r="I95" s="337">
        <f t="shared" si="32"/>
        <v>1379.5682475612675</v>
      </c>
      <c r="J95" s="340">
        <f t="shared" si="33"/>
        <v>1.5700714622662013</v>
      </c>
      <c r="K95" s="348">
        <f t="shared" si="34"/>
        <v>1.0509506764319609</v>
      </c>
      <c r="L95" s="349">
        <f t="shared" si="35"/>
        <v>0.31265774002654578</v>
      </c>
      <c r="M95" s="337">
        <f t="shared" si="36"/>
        <v>1.0001259143303081</v>
      </c>
      <c r="N95" s="340">
        <f t="shared" si="37"/>
        <v>1.5868277771198883E-2</v>
      </c>
      <c r="O95" s="341">
        <f t="shared" si="38"/>
        <v>1.0000020076794711</v>
      </c>
      <c r="P95" s="342">
        <f t="shared" si="39"/>
        <v>2.4580446029034732E-2</v>
      </c>
      <c r="Q95" s="343">
        <f t="shared" si="40"/>
        <v>32.104620455441093</v>
      </c>
      <c r="R95" s="344">
        <f t="shared" si="41"/>
        <v>-97.515483132541632</v>
      </c>
      <c r="S95" s="346">
        <f t="shared" si="42"/>
        <v>82.484516867458368</v>
      </c>
      <c r="U95" s="319">
        <f t="shared" si="49"/>
        <v>1000000000</v>
      </c>
      <c r="V95" s="319">
        <f t="shared" si="50"/>
        <v>3630930.25</v>
      </c>
      <c r="X95" s="345">
        <f t="shared" si="43"/>
        <v>35.34291367265191</v>
      </c>
      <c r="Y95" s="346">
        <f t="shared" si="44"/>
        <v>-72.953684813960137</v>
      </c>
      <c r="AA95" s="345">
        <f t="shared" si="45"/>
        <v>59.003210405236217</v>
      </c>
      <c r="AB95" s="346">
        <f t="shared" si="46"/>
        <v>-24.561798318581502</v>
      </c>
      <c r="AD95">
        <f t="shared" si="51"/>
        <v>0</v>
      </c>
      <c r="AE95">
        <f t="shared" si="52"/>
        <v>0</v>
      </c>
    </row>
    <row r="96" spans="1:31" x14ac:dyDescent="0.25">
      <c r="A96" s="347">
        <v>2089.3000000000002</v>
      </c>
      <c r="B96" s="364">
        <f t="shared" si="48"/>
        <v>2.0893000000000002</v>
      </c>
      <c r="C96" s="337">
        <f t="shared" si="26"/>
        <v>1.106060174876659</v>
      </c>
      <c r="D96" s="338">
        <f t="shared" si="27"/>
        <v>0.44150420062668921</v>
      </c>
      <c r="E96" s="338">
        <f t="shared" si="28"/>
        <v>1.0000049630968977</v>
      </c>
      <c r="F96" s="339">
        <f t="shared" si="29"/>
        <v>3.1505797469296134E-3</v>
      </c>
      <c r="G96" s="338">
        <f t="shared" si="30"/>
        <v>1</v>
      </c>
      <c r="H96" s="339">
        <f t="shared" si="31"/>
        <v>0</v>
      </c>
      <c r="I96" s="337">
        <f t="shared" si="32"/>
        <v>1512.638054190463</v>
      </c>
      <c r="J96" s="340">
        <f t="shared" si="33"/>
        <v>1.5701352300638769</v>
      </c>
      <c r="K96" s="348">
        <f t="shared" si="34"/>
        <v>1.0609565033388049</v>
      </c>
      <c r="L96" s="349">
        <f t="shared" si="35"/>
        <v>0.34062602567714351</v>
      </c>
      <c r="M96" s="337">
        <f t="shared" si="36"/>
        <v>1.000151374713441</v>
      </c>
      <c r="N96" s="340">
        <f t="shared" si="37"/>
        <v>1.7398598831750212E-2</v>
      </c>
      <c r="O96" s="341">
        <f t="shared" si="38"/>
        <v>1.0000024246161754</v>
      </c>
      <c r="P96" s="342">
        <f t="shared" si="39"/>
        <v>2.6951955163375417E-2</v>
      </c>
      <c r="Q96" s="343">
        <f t="shared" si="40"/>
        <v>31.251400721634006</v>
      </c>
      <c r="R96" s="344">
        <f t="shared" si="41"/>
        <v>-98.10260036962184</v>
      </c>
      <c r="S96" s="346">
        <f t="shared" si="42"/>
        <v>81.89739963037816</v>
      </c>
      <c r="U96" s="319">
        <f t="shared" si="49"/>
        <v>1000000000</v>
      </c>
      <c r="V96" s="319">
        <f t="shared" si="50"/>
        <v>4365174.4900000012</v>
      </c>
      <c r="X96" s="345">
        <f t="shared" si="43"/>
        <v>34.625160821641813</v>
      </c>
      <c r="Y96" s="346">
        <f t="shared" si="44"/>
        <v>-71.442554647983087</v>
      </c>
      <c r="AA96" s="345">
        <f t="shared" si="45"/>
        <v>58.86774352243922</v>
      </c>
      <c r="AB96" s="346">
        <f t="shared" si="46"/>
        <v>-26.660045721638763</v>
      </c>
      <c r="AD96">
        <f t="shared" si="51"/>
        <v>0</v>
      </c>
      <c r="AE96">
        <f t="shared" si="52"/>
        <v>0</v>
      </c>
    </row>
    <row r="97" spans="1:31" x14ac:dyDescent="0.25">
      <c r="A97" s="347">
        <v>2290.9</v>
      </c>
      <c r="B97" s="364">
        <f t="shared" si="48"/>
        <v>2.2909000000000002</v>
      </c>
      <c r="C97" s="337">
        <f t="shared" si="26"/>
        <v>1.1263016143669924</v>
      </c>
      <c r="D97" s="338">
        <f t="shared" si="27"/>
        <v>0.47811969194243831</v>
      </c>
      <c r="E97" s="338">
        <f t="shared" si="28"/>
        <v>1.0000059670982984</v>
      </c>
      <c r="F97" s="339">
        <f t="shared" si="29"/>
        <v>3.4545820663536876E-3</v>
      </c>
      <c r="G97" s="338">
        <f t="shared" si="30"/>
        <v>1</v>
      </c>
      <c r="H97" s="339">
        <f t="shared" si="31"/>
        <v>0</v>
      </c>
      <c r="I97" s="337">
        <f t="shared" si="32"/>
        <v>1658.5949317628167</v>
      </c>
      <c r="J97" s="340">
        <f t="shared" si="33"/>
        <v>1.5701934067922878</v>
      </c>
      <c r="K97" s="348">
        <f t="shared" si="34"/>
        <v>1.0728665463691121</v>
      </c>
      <c r="L97" s="349">
        <f t="shared" si="35"/>
        <v>0.37067683992660405</v>
      </c>
      <c r="M97" s="337">
        <f t="shared" si="36"/>
        <v>1.0001819941136605</v>
      </c>
      <c r="N97" s="340">
        <f t="shared" si="37"/>
        <v>1.9077028930029036E-2</v>
      </c>
      <c r="O97" s="341">
        <f t="shared" si="38"/>
        <v>1.0000029309274636</v>
      </c>
      <c r="P97" s="342">
        <f t="shared" si="39"/>
        <v>2.9553302804513955E-2</v>
      </c>
      <c r="Q97" s="343">
        <f t="shared" si="40"/>
        <v>30.390476351434192</v>
      </c>
      <c r="R97" s="344">
        <f t="shared" si="41"/>
        <v>-98.709857092941675</v>
      </c>
      <c r="S97" s="346">
        <f t="shared" si="42"/>
        <v>81.290142907058325</v>
      </c>
      <c r="U97" s="319">
        <f t="shared" si="49"/>
        <v>1000000000</v>
      </c>
      <c r="V97" s="319">
        <f t="shared" si="50"/>
        <v>5248222.8100000005</v>
      </c>
      <c r="X97" s="345">
        <f t="shared" si="43"/>
        <v>33.921751155171435</v>
      </c>
      <c r="Y97" s="346">
        <f t="shared" si="44"/>
        <v>-69.820270060546605</v>
      </c>
      <c r="AA97" s="345">
        <f t="shared" si="45"/>
        <v>58.71022881870978</v>
      </c>
      <c r="AB97" s="346">
        <f t="shared" si="46"/>
        <v>-28.889587032395088</v>
      </c>
      <c r="AD97">
        <f t="shared" si="51"/>
        <v>0</v>
      </c>
      <c r="AE97">
        <f t="shared" si="52"/>
        <v>0</v>
      </c>
    </row>
    <row r="98" spans="1:31" x14ac:dyDescent="0.25">
      <c r="A98" s="347">
        <v>2511.9</v>
      </c>
      <c r="B98" s="364">
        <f t="shared" si="48"/>
        <v>2.5119000000000002</v>
      </c>
      <c r="C98" s="337">
        <f t="shared" si="26"/>
        <v>1.1501603749202629</v>
      </c>
      <c r="D98" s="338">
        <f t="shared" si="27"/>
        <v>0.51672062267060115</v>
      </c>
      <c r="E98" s="338">
        <f t="shared" si="28"/>
        <v>1.0000071739006438</v>
      </c>
      <c r="F98" s="339">
        <f t="shared" si="29"/>
        <v>3.7878378415062458E-3</v>
      </c>
      <c r="G98" s="338">
        <f t="shared" si="30"/>
        <v>1</v>
      </c>
      <c r="H98" s="339">
        <f t="shared" si="31"/>
        <v>0</v>
      </c>
      <c r="I98" s="337">
        <f t="shared" si="32"/>
        <v>1818.5972681964497</v>
      </c>
      <c r="J98" s="340">
        <f t="shared" si="33"/>
        <v>1.5702464524121063</v>
      </c>
      <c r="K98" s="348">
        <f t="shared" si="34"/>
        <v>1.0870096648146153</v>
      </c>
      <c r="L98" s="349">
        <f t="shared" si="35"/>
        <v>0.40283059007917227</v>
      </c>
      <c r="M98" s="337">
        <f t="shared" si="36"/>
        <v>1.0002187972091485</v>
      </c>
      <c r="N98" s="340">
        <f t="shared" si="37"/>
        <v>2.0916850770602451E-2</v>
      </c>
      <c r="O98" s="341">
        <f t="shared" si="38"/>
        <v>1.000003546558577</v>
      </c>
      <c r="P98" s="342">
        <f t="shared" si="39"/>
        <v>3.2405204067351895E-2</v>
      </c>
      <c r="Q98" s="343">
        <f t="shared" si="40"/>
        <v>29.521918019709396</v>
      </c>
      <c r="R98" s="344">
        <f t="shared" si="41"/>
        <v>-99.332014403585063</v>
      </c>
      <c r="S98" s="346">
        <f t="shared" si="42"/>
        <v>80.667985596414937</v>
      </c>
      <c r="U98" s="319">
        <f t="shared" si="49"/>
        <v>1000000000</v>
      </c>
      <c r="V98" s="319">
        <f t="shared" si="50"/>
        <v>6309641.6100000003</v>
      </c>
      <c r="X98" s="345">
        <f t="shared" si="43"/>
        <v>33.23526158256287</v>
      </c>
      <c r="Y98" s="346">
        <f t="shared" si="44"/>
        <v>-68.08644919596324</v>
      </c>
      <c r="AA98" s="345">
        <f t="shared" si="45"/>
        <v>58.528160059593546</v>
      </c>
      <c r="AB98" s="346">
        <f t="shared" si="46"/>
        <v>-31.245565207621812</v>
      </c>
      <c r="AD98">
        <f t="shared" si="51"/>
        <v>0</v>
      </c>
      <c r="AE98">
        <f t="shared" si="52"/>
        <v>0</v>
      </c>
    </row>
    <row r="99" spans="1:31" x14ac:dyDescent="0.25">
      <c r="A99" s="347">
        <v>2754.2</v>
      </c>
      <c r="B99" s="364">
        <f t="shared" si="48"/>
        <v>2.7542</v>
      </c>
      <c r="C99" s="337">
        <f t="shared" si="26"/>
        <v>1.1782026552936271</v>
      </c>
      <c r="D99" s="338">
        <f t="shared" si="27"/>
        <v>0.55717860815659104</v>
      </c>
      <c r="E99" s="338">
        <f t="shared" si="28"/>
        <v>1.0000086246464002</v>
      </c>
      <c r="F99" s="339">
        <f t="shared" si="29"/>
        <v>4.1532118688000696E-3</v>
      </c>
      <c r="G99" s="338">
        <f t="shared" si="30"/>
        <v>1</v>
      </c>
      <c r="H99" s="339">
        <f t="shared" si="31"/>
        <v>0</v>
      </c>
      <c r="I99" s="337">
        <f t="shared" si="32"/>
        <v>1994.0206491869662</v>
      </c>
      <c r="J99" s="340">
        <f t="shared" si="33"/>
        <v>1.5702948274536914</v>
      </c>
      <c r="K99" s="348">
        <f t="shared" si="34"/>
        <v>1.1037718529817209</v>
      </c>
      <c r="L99" s="349">
        <f t="shared" si="35"/>
        <v>0.43709705631745827</v>
      </c>
      <c r="M99" s="337">
        <f t="shared" si="36"/>
        <v>1.0002630379605151</v>
      </c>
      <c r="N99" s="340">
        <f t="shared" si="37"/>
        <v>2.2933831602236616E-2</v>
      </c>
      <c r="O99" s="341">
        <f t="shared" si="38"/>
        <v>1.0000042968192986</v>
      </c>
      <c r="P99" s="342">
        <f t="shared" si="39"/>
        <v>3.5532269003977407E-2</v>
      </c>
      <c r="Q99" s="343">
        <f t="shared" si="40"/>
        <v>28.645363859969258</v>
      </c>
      <c r="R99" s="344">
        <f t="shared" si="41"/>
        <v>-99.963331734126243</v>
      </c>
      <c r="S99" s="346">
        <f t="shared" si="42"/>
        <v>80.036668265873757</v>
      </c>
      <c r="U99" s="319">
        <f t="shared" si="49"/>
        <v>1000000000</v>
      </c>
      <c r="V99" s="319">
        <f t="shared" si="50"/>
        <v>7585617.6399999987</v>
      </c>
      <c r="X99" s="345">
        <f t="shared" si="43"/>
        <v>32.567933255839151</v>
      </c>
      <c r="Y99" s="346">
        <f t="shared" si="44"/>
        <v>-66.241461474301744</v>
      </c>
      <c r="AA99" s="345">
        <f t="shared" si="45"/>
        <v>58.318934226577134</v>
      </c>
      <c r="AB99" s="346">
        <f t="shared" si="46"/>
        <v>-33.72187025982452</v>
      </c>
      <c r="AD99">
        <f t="shared" si="51"/>
        <v>0</v>
      </c>
      <c r="AE99">
        <f t="shared" si="52"/>
        <v>0</v>
      </c>
    </row>
    <row r="100" spans="1:31" x14ac:dyDescent="0.25">
      <c r="A100" s="347">
        <v>3020</v>
      </c>
      <c r="B100" s="364">
        <f t="shared" si="48"/>
        <v>3.02</v>
      </c>
      <c r="C100" s="337">
        <f t="shared" si="26"/>
        <v>1.2110728348996664</v>
      </c>
      <c r="D100" s="338">
        <f t="shared" si="27"/>
        <v>0.59932923886559397</v>
      </c>
      <c r="E100" s="338">
        <f t="shared" si="28"/>
        <v>1.0000103696442573</v>
      </c>
      <c r="F100" s="339">
        <f t="shared" si="29"/>
        <v>4.5540212230642009E-3</v>
      </c>
      <c r="G100" s="338">
        <f t="shared" si="30"/>
        <v>1</v>
      </c>
      <c r="H100" s="339">
        <f t="shared" si="31"/>
        <v>0</v>
      </c>
      <c r="I100" s="337">
        <f t="shared" si="32"/>
        <v>2186.4578582209483</v>
      </c>
      <c r="J100" s="340">
        <f t="shared" si="33"/>
        <v>1.5703389660316405</v>
      </c>
      <c r="K100" s="348">
        <f t="shared" si="34"/>
        <v>1.1236026794116016</v>
      </c>
      <c r="L100" s="349">
        <f t="shared" si="35"/>
        <v>0.47346361943980309</v>
      </c>
      <c r="M100" s="337">
        <f t="shared" si="36"/>
        <v>1.0003162494751918</v>
      </c>
      <c r="N100" s="340">
        <f t="shared" si="37"/>
        <v>2.5146218518981571E-2</v>
      </c>
      <c r="O100" s="341">
        <f t="shared" si="38"/>
        <v>1.0000052139869124</v>
      </c>
      <c r="P100" s="342">
        <f t="shared" si="39"/>
        <v>3.8963011155588576E-2</v>
      </c>
      <c r="Q100" s="343">
        <f t="shared" si="40"/>
        <v>27.760343509659833</v>
      </c>
      <c r="R100" s="344">
        <f t="shared" si="41"/>
        <v>-100.59762614469088</v>
      </c>
      <c r="S100" s="346">
        <f t="shared" si="42"/>
        <v>79.402373855309122</v>
      </c>
      <c r="U100" s="319">
        <f t="shared" si="49"/>
        <v>1000000000</v>
      </c>
      <c r="V100" s="319">
        <f t="shared" si="50"/>
        <v>9120400</v>
      </c>
      <c r="X100" s="345">
        <f t="shared" si="43"/>
        <v>31.921911026939309</v>
      </c>
      <c r="Y100" s="346">
        <f t="shared" si="44"/>
        <v>-64.287100276971728</v>
      </c>
      <c r="AA100" s="345">
        <f t="shared" si="45"/>
        <v>58.079936105167548</v>
      </c>
      <c r="AB100" s="346">
        <f t="shared" si="46"/>
        <v>-36.310525867719122</v>
      </c>
      <c r="AD100">
        <f t="shared" si="51"/>
        <v>0</v>
      </c>
      <c r="AE100">
        <f t="shared" si="52"/>
        <v>0</v>
      </c>
    </row>
    <row r="101" spans="1:31" x14ac:dyDescent="0.25">
      <c r="A101" s="347">
        <v>3311.3</v>
      </c>
      <c r="B101" s="364">
        <f t="shared" si="48"/>
        <v>3.3113000000000001</v>
      </c>
      <c r="C101" s="337">
        <f t="shared" si="26"/>
        <v>1.2494286530762595</v>
      </c>
      <c r="D101" s="338">
        <f t="shared" si="27"/>
        <v>0.64289114531262992</v>
      </c>
      <c r="E101" s="338">
        <f t="shared" si="28"/>
        <v>1.0000124665583658</v>
      </c>
      <c r="F101" s="339">
        <f t="shared" si="29"/>
        <v>4.9932812567960285E-3</v>
      </c>
      <c r="G101" s="338">
        <f t="shared" si="30"/>
        <v>1</v>
      </c>
      <c r="H101" s="339">
        <f t="shared" si="31"/>
        <v>0</v>
      </c>
      <c r="I101" s="337">
        <f t="shared" si="32"/>
        <v>2397.356880317227</v>
      </c>
      <c r="J101" s="340">
        <f t="shared" si="33"/>
        <v>1.5703792007352726</v>
      </c>
      <c r="K101" s="348">
        <f t="shared" si="34"/>
        <v>1.146979391972444</v>
      </c>
      <c r="L101" s="349">
        <f t="shared" si="35"/>
        <v>0.51181864028450941</v>
      </c>
      <c r="M101" s="337">
        <f t="shared" si="36"/>
        <v>1.0003801886119612</v>
      </c>
      <c r="N101" s="340">
        <f t="shared" si="37"/>
        <v>2.757057120225356E-2</v>
      </c>
      <c r="O101" s="341">
        <f t="shared" si="38"/>
        <v>1.0000063374048993</v>
      </c>
      <c r="P101" s="342">
        <f t="shared" si="39"/>
        <v>4.2723403956738085E-2</v>
      </c>
      <c r="Q101" s="343">
        <f t="shared" si="40"/>
        <v>26.867998221940912</v>
      </c>
      <c r="R101" s="344">
        <f t="shared" si="41"/>
        <v>-101.22745606111788</v>
      </c>
      <c r="S101" s="346">
        <f t="shared" si="42"/>
        <v>78.772543938882123</v>
      </c>
      <c r="U101" s="319">
        <f t="shared" si="49"/>
        <v>1000000000</v>
      </c>
      <c r="V101" s="319">
        <f t="shared" si="50"/>
        <v>10964707.690000001</v>
      </c>
      <c r="X101" s="345">
        <f t="shared" si="43"/>
        <v>31.300381256192725</v>
      </c>
      <c r="Y101" s="346">
        <f t="shared" si="44"/>
        <v>-62.230729912594818</v>
      </c>
      <c r="AA101" s="345">
        <f t="shared" si="45"/>
        <v>57.809120588195213</v>
      </c>
      <c r="AB101" s="346">
        <f t="shared" si="46"/>
        <v>-38.996726148523095</v>
      </c>
      <c r="AD101">
        <f t="shared" si="51"/>
        <v>0</v>
      </c>
      <c r="AE101">
        <f t="shared" si="52"/>
        <v>0</v>
      </c>
    </row>
    <row r="102" spans="1:31" x14ac:dyDescent="0.25">
      <c r="A102" s="347">
        <v>3630.8</v>
      </c>
      <c r="B102" s="364">
        <f t="shared" si="48"/>
        <v>3.6308000000000002</v>
      </c>
      <c r="C102" s="337">
        <f t="shared" si="26"/>
        <v>1.2940512582755233</v>
      </c>
      <c r="D102" s="338">
        <f t="shared" si="27"/>
        <v>0.68760719343880827</v>
      </c>
      <c r="E102" s="338">
        <f t="shared" si="28"/>
        <v>1.0000149883429736</v>
      </c>
      <c r="F102" s="339">
        <f t="shared" si="29"/>
        <v>5.4750626968865972E-3</v>
      </c>
      <c r="G102" s="338">
        <f t="shared" si="30"/>
        <v>1</v>
      </c>
      <c r="H102" s="339">
        <f t="shared" si="31"/>
        <v>0</v>
      </c>
      <c r="I102" s="337">
        <f t="shared" si="32"/>
        <v>2628.6724952881891</v>
      </c>
      <c r="J102" s="340">
        <f t="shared" si="33"/>
        <v>1.5704159066299987</v>
      </c>
      <c r="K102" s="348">
        <f t="shared" si="34"/>
        <v>1.1744765960861234</v>
      </c>
      <c r="L102" s="349">
        <f t="shared" si="35"/>
        <v>0.55206547818790186</v>
      </c>
      <c r="M102" s="337">
        <f t="shared" si="36"/>
        <v>1.0004570776718091</v>
      </c>
      <c r="N102" s="340">
        <f t="shared" si="37"/>
        <v>3.0229245431852295E-2</v>
      </c>
      <c r="O102" s="341">
        <f t="shared" si="38"/>
        <v>1.0000077192181624</v>
      </c>
      <c r="P102" s="342">
        <f t="shared" si="39"/>
        <v>4.6848511145317122E-2</v>
      </c>
      <c r="Q102" s="343">
        <f t="shared" si="40"/>
        <v>25.968239408113405</v>
      </c>
      <c r="R102" s="344">
        <f t="shared" si="41"/>
        <v>-101.84670403943484</v>
      </c>
      <c r="S102" s="346">
        <f t="shared" si="42"/>
        <v>78.15329596056516</v>
      </c>
      <c r="U102" s="319">
        <f t="shared" si="49"/>
        <v>1000000000</v>
      </c>
      <c r="V102" s="319">
        <f t="shared" si="50"/>
        <v>13182708.640000001</v>
      </c>
      <c r="X102" s="345">
        <f t="shared" si="43"/>
        <v>30.705412901051151</v>
      </c>
      <c r="Y102" s="346">
        <f t="shared" si="44"/>
        <v>-60.079189864832045</v>
      </c>
      <c r="AA102" s="345">
        <f t="shared" si="45"/>
        <v>57.504330129509277</v>
      </c>
      <c r="AB102" s="346">
        <f t="shared" si="46"/>
        <v>-41.767514174602795</v>
      </c>
      <c r="AD102">
        <f t="shared" si="51"/>
        <v>0</v>
      </c>
      <c r="AE102">
        <f t="shared" si="52"/>
        <v>0</v>
      </c>
    </row>
    <row r="103" spans="1:31" x14ac:dyDescent="0.25">
      <c r="A103" s="347">
        <v>3981.1</v>
      </c>
      <c r="B103" s="364">
        <f t="shared" si="48"/>
        <v>3.9811000000000001</v>
      </c>
      <c r="C103" s="337">
        <f t="shared" si="26"/>
        <v>1.345738735942146</v>
      </c>
      <c r="D103" s="338">
        <f t="shared" si="27"/>
        <v>0.73312576659535056</v>
      </c>
      <c r="E103" s="338">
        <f t="shared" si="28"/>
        <v>1.0000180199874329</v>
      </c>
      <c r="F103" s="339">
        <f t="shared" si="29"/>
        <v>6.0032852401061317E-3</v>
      </c>
      <c r="G103" s="338">
        <f t="shared" si="30"/>
        <v>1</v>
      </c>
      <c r="H103" s="339">
        <f t="shared" si="31"/>
        <v>0</v>
      </c>
      <c r="I103" s="337">
        <f t="shared" si="32"/>
        <v>2882.2870837263144</v>
      </c>
      <c r="J103" s="340">
        <f t="shared" si="33"/>
        <v>1.5704493800852131</v>
      </c>
      <c r="K103" s="348">
        <f t="shared" si="34"/>
        <v>1.2067042063531623</v>
      </c>
      <c r="L103" s="349">
        <f t="shared" si="35"/>
        <v>0.59400909945663016</v>
      </c>
      <c r="M103" s="337">
        <f t="shared" si="36"/>
        <v>1.0005495047628574</v>
      </c>
      <c r="N103" s="340">
        <f t="shared" si="37"/>
        <v>3.3143724933163192E-2</v>
      </c>
      <c r="O103" s="341">
        <f t="shared" si="38"/>
        <v>1.0000094248893701</v>
      </c>
      <c r="P103" s="342">
        <f t="shared" si="39"/>
        <v>5.1372177984748572E-2</v>
      </c>
      <c r="Q103" s="343">
        <f t="shared" si="40"/>
        <v>25.062377138726557</v>
      </c>
      <c r="R103" s="344">
        <f t="shared" si="41"/>
        <v>-102.44936105332211</v>
      </c>
      <c r="S103" s="346">
        <f t="shared" si="42"/>
        <v>77.550638946677893</v>
      </c>
      <c r="U103" s="319">
        <f t="shared" si="49"/>
        <v>1000000000</v>
      </c>
      <c r="V103" s="319">
        <f t="shared" si="50"/>
        <v>15849157.209999999</v>
      </c>
      <c r="X103" s="345">
        <f t="shared" si="43"/>
        <v>30.13972459479497</v>
      </c>
      <c r="Y103" s="346">
        <f t="shared" si="44"/>
        <v>-57.844902648697712</v>
      </c>
      <c r="AA103" s="345">
        <f t="shared" si="45"/>
        <v>57.164156166378611</v>
      </c>
      <c r="AB103" s="346">
        <f t="shared" si="46"/>
        <v>-44.604458404624388</v>
      </c>
      <c r="AD103">
        <f t="shared" si="51"/>
        <v>0</v>
      </c>
      <c r="AE103">
        <f t="shared" si="52"/>
        <v>0</v>
      </c>
    </row>
    <row r="104" spans="1:31" x14ac:dyDescent="0.25">
      <c r="A104" s="347">
        <v>4365.2</v>
      </c>
      <c r="B104" s="364">
        <f t="shared" si="48"/>
        <v>4.3651999999999997</v>
      </c>
      <c r="C104" s="337">
        <f t="shared" si="26"/>
        <v>1.4053670478233526</v>
      </c>
      <c r="D104" s="338">
        <f t="shared" si="27"/>
        <v>0.77908337606943323</v>
      </c>
      <c r="E104" s="338">
        <f t="shared" si="28"/>
        <v>1.0000216648562672</v>
      </c>
      <c r="F104" s="339">
        <f t="shared" si="29"/>
        <v>6.5824714410446213E-3</v>
      </c>
      <c r="G104" s="338">
        <f t="shared" si="30"/>
        <v>1</v>
      </c>
      <c r="H104" s="339">
        <f t="shared" si="31"/>
        <v>0</v>
      </c>
      <c r="I104" s="337">
        <f t="shared" si="32"/>
        <v>3160.3726232656413</v>
      </c>
      <c r="J104" s="340">
        <f t="shared" si="33"/>
        <v>1.570479908405076</v>
      </c>
      <c r="K104" s="348">
        <f t="shared" si="34"/>
        <v>1.2443462599600219</v>
      </c>
      <c r="L104" s="349">
        <f t="shared" si="35"/>
        <v>0.63741834812319143</v>
      </c>
      <c r="M104" s="337">
        <f t="shared" si="36"/>
        <v>1.0006606165666321</v>
      </c>
      <c r="N104" s="340">
        <f t="shared" si="37"/>
        <v>3.633876973672559E-2</v>
      </c>
      <c r="O104" s="341">
        <f t="shared" si="38"/>
        <v>1.0000115398665668</v>
      </c>
      <c r="P104" s="342">
        <f t="shared" si="39"/>
        <v>5.63335092320114E-2</v>
      </c>
      <c r="Q104" s="343">
        <f t="shared" si="40"/>
        <v>24.151632942002411</v>
      </c>
      <c r="R104" s="344">
        <f t="shared" si="41"/>
        <v>-103.03126151578618</v>
      </c>
      <c r="S104" s="346">
        <f t="shared" si="42"/>
        <v>76.968738484213816</v>
      </c>
      <c r="U104" s="319">
        <f t="shared" si="49"/>
        <v>1000000000</v>
      </c>
      <c r="V104" s="319">
        <f t="shared" si="50"/>
        <v>19054971.039999999</v>
      </c>
      <c r="X104" s="345">
        <f t="shared" si="43"/>
        <v>29.605547367371639</v>
      </c>
      <c r="Y104" s="346">
        <f t="shared" si="44"/>
        <v>-55.542547632122144</v>
      </c>
      <c r="AA104" s="345">
        <f t="shared" si="45"/>
        <v>56.787589197077793</v>
      </c>
      <c r="AB104" s="346">
        <f t="shared" si="46"/>
        <v>-47.488713883664069</v>
      </c>
      <c r="AD104">
        <f t="shared" si="51"/>
        <v>0</v>
      </c>
      <c r="AE104">
        <f t="shared" si="52"/>
        <v>0</v>
      </c>
    </row>
    <row r="105" spans="1:31" x14ac:dyDescent="0.25">
      <c r="A105" s="347">
        <v>4786.3</v>
      </c>
      <c r="B105" s="364">
        <f t="shared" si="48"/>
        <v>4.7862999999999998</v>
      </c>
      <c r="C105" s="337">
        <f t="shared" si="26"/>
        <v>1.4738564928524358</v>
      </c>
      <c r="D105" s="338">
        <f t="shared" si="27"/>
        <v>0.82508829121206317</v>
      </c>
      <c r="E105" s="338">
        <f t="shared" si="28"/>
        <v>1.0000260463216901</v>
      </c>
      <c r="F105" s="339">
        <f t="shared" si="29"/>
        <v>7.2174450271791021E-3</v>
      </c>
      <c r="G105" s="338">
        <f t="shared" si="30"/>
        <v>1</v>
      </c>
      <c r="H105" s="339">
        <f t="shared" si="31"/>
        <v>0</v>
      </c>
      <c r="I105" s="337">
        <f t="shared" si="32"/>
        <v>3465.2458900746747</v>
      </c>
      <c r="J105" s="340">
        <f t="shared" si="33"/>
        <v>1.5705077469810531</v>
      </c>
      <c r="K105" s="348">
        <f t="shared" si="34"/>
        <v>1.2881405606205745</v>
      </c>
      <c r="L105" s="349">
        <f t="shared" si="35"/>
        <v>0.68200124153029162</v>
      </c>
      <c r="M105" s="337">
        <f t="shared" si="36"/>
        <v>1.0007941673171077</v>
      </c>
      <c r="N105" s="340">
        <f t="shared" si="37"/>
        <v>3.9840735140604801E-2</v>
      </c>
      <c r="O105" s="341">
        <f t="shared" si="38"/>
        <v>1.0000141751730318</v>
      </c>
      <c r="P105" s="342">
        <f t="shared" si="39"/>
        <v>6.1774317387125501E-2</v>
      </c>
      <c r="Q105" s="343">
        <f t="shared" si="40"/>
        <v>23.237705140510592</v>
      </c>
      <c r="R105" s="344">
        <f t="shared" si="41"/>
        <v>-103.59033426864163</v>
      </c>
      <c r="S105" s="346">
        <f t="shared" si="42"/>
        <v>76.409665731358373</v>
      </c>
      <c r="U105" s="319">
        <f t="shared" si="49"/>
        <v>1000000000</v>
      </c>
      <c r="V105" s="319">
        <f t="shared" si="50"/>
        <v>22908667.690000001</v>
      </c>
      <c r="X105" s="345">
        <f t="shared" si="43"/>
        <v>29.104913054373167</v>
      </c>
      <c r="Y105" s="346">
        <f t="shared" si="44"/>
        <v>-53.190378869280174</v>
      </c>
      <c r="AA105" s="345">
        <f t="shared" si="45"/>
        <v>56.374295708584441</v>
      </c>
      <c r="AB105" s="346">
        <f t="shared" si="46"/>
        <v>-50.399955399361431</v>
      </c>
      <c r="AD105">
        <f t="shared" si="51"/>
        <v>0</v>
      </c>
      <c r="AE105">
        <f t="shared" si="52"/>
        <v>0</v>
      </c>
    </row>
    <row r="106" spans="1:31" x14ac:dyDescent="0.25">
      <c r="A106" s="347">
        <v>5248.1</v>
      </c>
      <c r="B106" s="364">
        <f t="shared" si="48"/>
        <v>5.2481</v>
      </c>
      <c r="C106" s="337">
        <f t="shared" si="26"/>
        <v>1.5522152649138619</v>
      </c>
      <c r="D106" s="338">
        <f t="shared" si="27"/>
        <v>0.87076644775435141</v>
      </c>
      <c r="E106" s="338">
        <f t="shared" si="28"/>
        <v>1.0000313147988993</v>
      </c>
      <c r="F106" s="339">
        <f t="shared" si="29"/>
        <v>7.9137831333240816E-3</v>
      </c>
      <c r="G106" s="338">
        <f t="shared" si="30"/>
        <v>1</v>
      </c>
      <c r="H106" s="339">
        <f t="shared" si="31"/>
        <v>0</v>
      </c>
      <c r="I106" s="337">
        <f t="shared" si="32"/>
        <v>3799.5856566237044</v>
      </c>
      <c r="J106" s="340">
        <f t="shared" si="33"/>
        <v>1.5705331401998528</v>
      </c>
      <c r="K106" s="348">
        <f t="shared" si="34"/>
        <v>1.3389056195522335</v>
      </c>
      <c r="L106" s="349">
        <f t="shared" si="35"/>
        <v>0.72744076861548013</v>
      </c>
      <c r="M106" s="337">
        <f t="shared" si="36"/>
        <v>1.0009547321124006</v>
      </c>
      <c r="N106" s="340">
        <f t="shared" si="37"/>
        <v>4.3680044327510326E-2</v>
      </c>
      <c r="O106" s="341">
        <f t="shared" si="38"/>
        <v>1.0000174783077558</v>
      </c>
      <c r="P106" s="342">
        <f t="shared" si="39"/>
        <v>6.7743039266636773E-2</v>
      </c>
      <c r="Q106" s="343">
        <f t="shared" si="40"/>
        <v>22.322084289066435</v>
      </c>
      <c r="R106" s="344">
        <f t="shared" si="41"/>
        <v>-104.12752320512286</v>
      </c>
      <c r="S106" s="346">
        <f t="shared" si="42"/>
        <v>75.872476794877144</v>
      </c>
      <c r="U106" s="319">
        <f t="shared" si="49"/>
        <v>1000000000</v>
      </c>
      <c r="V106" s="319">
        <f t="shared" si="50"/>
        <v>27542553.610000003</v>
      </c>
      <c r="X106" s="345">
        <f t="shared" si="43"/>
        <v>28.639210155030639</v>
      </c>
      <c r="Y106" s="346">
        <f t="shared" si="44"/>
        <v>-50.80831687842754</v>
      </c>
      <c r="AA106" s="345">
        <f t="shared" si="45"/>
        <v>55.924377756482812</v>
      </c>
      <c r="AB106" s="346">
        <f t="shared" si="46"/>
        <v>-53.31920632669533</v>
      </c>
      <c r="AD106">
        <f t="shared" si="51"/>
        <v>0</v>
      </c>
      <c r="AE106">
        <f t="shared" si="52"/>
        <v>0</v>
      </c>
    </row>
    <row r="107" spans="1:31" x14ac:dyDescent="0.25">
      <c r="A107" s="347">
        <v>5370.3</v>
      </c>
      <c r="B107" s="364">
        <f t="shared" si="48"/>
        <v>5.3703000000000003</v>
      </c>
      <c r="C107" s="337">
        <f t="shared" si="26"/>
        <v>1.5734578922531894</v>
      </c>
      <c r="D107" s="338">
        <f t="shared" si="27"/>
        <v>0.88208482477467332</v>
      </c>
      <c r="E107" s="338">
        <f t="shared" si="28"/>
        <v>1.0000327900589796</v>
      </c>
      <c r="F107" s="339">
        <f t="shared" si="29"/>
        <v>8.0980445806021397E-3</v>
      </c>
      <c r="G107" s="338">
        <f t="shared" si="30"/>
        <v>1</v>
      </c>
      <c r="H107" s="339">
        <f t="shared" si="31"/>
        <v>0</v>
      </c>
      <c r="I107" s="337">
        <f t="shared" si="32"/>
        <v>3888.057548440539</v>
      </c>
      <c r="J107" s="340">
        <f t="shared" si="33"/>
        <v>1.570539128952898</v>
      </c>
      <c r="K107" s="348">
        <f t="shared" si="34"/>
        <v>1.352779352211283</v>
      </c>
      <c r="L107" s="349">
        <f t="shared" si="35"/>
        <v>0.7388866012270956</v>
      </c>
      <c r="M107" s="337">
        <f t="shared" si="36"/>
        <v>1.0009996884260306</v>
      </c>
      <c r="N107" s="340">
        <f t="shared" si="37"/>
        <v>4.4695778810424802E-2</v>
      </c>
      <c r="O107" s="341">
        <f t="shared" si="38"/>
        <v>1.0000184295243231</v>
      </c>
      <c r="P107" s="342">
        <f t="shared" si="39"/>
        <v>6.9322846646108702E-2</v>
      </c>
      <c r="Q107" s="343">
        <f t="shared" si="40"/>
        <v>22.093246368724412</v>
      </c>
      <c r="R107" s="344">
        <f t="shared" si="41"/>
        <v>-104.25871985909863</v>
      </c>
      <c r="S107" s="346">
        <f t="shared" si="42"/>
        <v>75.741280140901367</v>
      </c>
      <c r="U107" s="319">
        <f t="shared" si="49"/>
        <v>1000000000</v>
      </c>
      <c r="V107" s="319">
        <f t="shared" si="50"/>
        <v>28840122.090000004</v>
      </c>
      <c r="X107" s="345">
        <f t="shared" si="43"/>
        <v>28.52843118387672</v>
      </c>
      <c r="Y107" s="346">
        <f t="shared" si="44"/>
        <v>-50.211059405337252</v>
      </c>
      <c r="AA107" s="345">
        <f t="shared" si="45"/>
        <v>55.806318807294709</v>
      </c>
      <c r="AB107" s="346">
        <f t="shared" si="46"/>
        <v>-54.04766045376136</v>
      </c>
      <c r="AD107">
        <f t="shared" si="51"/>
        <v>0</v>
      </c>
      <c r="AE107">
        <f t="shared" si="52"/>
        <v>0</v>
      </c>
    </row>
    <row r="108" spans="1:31" x14ac:dyDescent="0.25">
      <c r="A108" s="347">
        <v>5432.85</v>
      </c>
      <c r="B108" s="364">
        <f t="shared" si="48"/>
        <v>5.4328500000000002</v>
      </c>
      <c r="C108" s="337">
        <f t="shared" si="26"/>
        <v>1.5844076771634494</v>
      </c>
      <c r="D108" s="338">
        <f t="shared" si="27"/>
        <v>0.88776051044662085</v>
      </c>
      <c r="E108" s="338">
        <f t="shared" si="28"/>
        <v>1.0000335583319193</v>
      </c>
      <c r="F108" s="339">
        <f t="shared" si="29"/>
        <v>8.1923615005859238E-3</v>
      </c>
      <c r="G108" s="338">
        <f t="shared" si="30"/>
        <v>1</v>
      </c>
      <c r="H108" s="339">
        <f t="shared" si="31"/>
        <v>0</v>
      </c>
      <c r="I108" s="337">
        <f t="shared" si="32"/>
        <v>3933.3432836247639</v>
      </c>
      <c r="J108" s="340">
        <f t="shared" si="33"/>
        <v>1.5705420901471736</v>
      </c>
      <c r="K108" s="348">
        <f t="shared" si="34"/>
        <v>1.3599483555233274</v>
      </c>
      <c r="L108" s="349">
        <f t="shared" si="35"/>
        <v>0.74465458423189446</v>
      </c>
      <c r="M108" s="337">
        <f t="shared" si="36"/>
        <v>1.001023099605499</v>
      </c>
      <c r="N108" s="340">
        <f t="shared" si="37"/>
        <v>4.5215662972536201E-2</v>
      </c>
      <c r="O108" s="341">
        <f t="shared" si="38"/>
        <v>1.0000189294443851</v>
      </c>
      <c r="P108" s="342">
        <f t="shared" si="39"/>
        <v>7.0131560735327308E-2</v>
      </c>
      <c r="Q108" s="343">
        <f t="shared" si="40"/>
        <v>21.978134969081303</v>
      </c>
      <c r="R108" s="344">
        <f t="shared" si="41"/>
        <v>-104.32432038649313</v>
      </c>
      <c r="S108" s="346">
        <f t="shared" si="42"/>
        <v>75.675679613506873</v>
      </c>
      <c r="U108" s="319">
        <f t="shared" si="49"/>
        <v>1000000000</v>
      </c>
      <c r="V108" s="319">
        <f t="shared" si="50"/>
        <v>29515859.122500002</v>
      </c>
      <c r="X108" s="345">
        <f t="shared" si="43"/>
        <v>28.473553712682861</v>
      </c>
      <c r="Y108" s="346">
        <f t="shared" si="44"/>
        <v>-49.910535154774678</v>
      </c>
      <c r="AA108" s="345">
        <f t="shared" si="45"/>
        <v>55.746084878845465</v>
      </c>
      <c r="AB108" s="346">
        <f t="shared" si="46"/>
        <v>-54.413785231718435</v>
      </c>
      <c r="AD108">
        <f t="shared" si="51"/>
        <v>0</v>
      </c>
      <c r="AE108">
        <f t="shared" si="52"/>
        <v>0</v>
      </c>
    </row>
    <row r="109" spans="1:31" x14ac:dyDescent="0.25">
      <c r="A109" s="347">
        <v>5495.4</v>
      </c>
      <c r="B109" s="364">
        <f t="shared" si="48"/>
        <v>5.4954000000000001</v>
      </c>
      <c r="C109" s="337">
        <f t="shared" si="26"/>
        <v>1.5954077996973082</v>
      </c>
      <c r="D109" s="338">
        <f t="shared" si="27"/>
        <v>0.89335810819304573</v>
      </c>
      <c r="E109" s="338">
        <f t="shared" si="28"/>
        <v>1.0000343355008252</v>
      </c>
      <c r="F109" s="339">
        <f t="shared" si="29"/>
        <v>8.2866782748133964E-3</v>
      </c>
      <c r="G109" s="338">
        <f t="shared" si="30"/>
        <v>1</v>
      </c>
      <c r="H109" s="339">
        <f t="shared" si="31"/>
        <v>0</v>
      </c>
      <c r="I109" s="337">
        <f t="shared" si="32"/>
        <v>3978.6290188426933</v>
      </c>
      <c r="J109" s="340">
        <f t="shared" si="33"/>
        <v>1.5705449839313643</v>
      </c>
      <c r="K109" s="348">
        <f t="shared" si="34"/>
        <v>1.3671621284353048</v>
      </c>
      <c r="L109" s="349">
        <f t="shared" si="35"/>
        <v>0.75036188642009294</v>
      </c>
      <c r="M109" s="337">
        <f t="shared" si="36"/>
        <v>1.0010467813283348</v>
      </c>
      <c r="N109" s="340">
        <f t="shared" si="37"/>
        <v>4.5735522677392726E-2</v>
      </c>
      <c r="O109" s="341">
        <f t="shared" si="38"/>
        <v>1.0000194383263454</v>
      </c>
      <c r="P109" s="342">
        <f t="shared" si="39"/>
        <v>7.0940319324397649E-2</v>
      </c>
      <c r="Q109" s="343">
        <f t="shared" si="40"/>
        <v>21.864356531733552</v>
      </c>
      <c r="R109" s="344">
        <f t="shared" si="41"/>
        <v>-104.38892085440577</v>
      </c>
      <c r="S109" s="346">
        <f t="shared" si="42"/>
        <v>75.611079145594232</v>
      </c>
      <c r="U109" s="319">
        <f t="shared" si="49"/>
        <v>1000000000</v>
      </c>
      <c r="V109" s="319">
        <f t="shared" si="50"/>
        <v>30199421.159999996</v>
      </c>
      <c r="X109" s="345">
        <f t="shared" si="43"/>
        <v>28.419868401757206</v>
      </c>
      <c r="Y109" s="346">
        <f t="shared" si="44"/>
        <v>-49.613482395293843</v>
      </c>
      <c r="AA109" s="345">
        <f t="shared" si="45"/>
        <v>55.685991752423377</v>
      </c>
      <c r="AB109" s="346">
        <f t="shared" si="46"/>
        <v>-54.775438459111925</v>
      </c>
      <c r="AD109">
        <f t="shared" si="51"/>
        <v>0</v>
      </c>
      <c r="AE109">
        <f t="shared" si="52"/>
        <v>0</v>
      </c>
    </row>
    <row r="110" spans="1:31" x14ac:dyDescent="0.25">
      <c r="A110" s="347">
        <v>5559.4</v>
      </c>
      <c r="B110" s="364">
        <f t="shared" si="48"/>
        <v>5.5593999999999992</v>
      </c>
      <c r="C110" s="337">
        <f t="shared" si="26"/>
        <v>1.6067139441606024</v>
      </c>
      <c r="D110" s="338">
        <f t="shared" si="27"/>
        <v>0.8990059530995187</v>
      </c>
      <c r="E110" s="338">
        <f t="shared" si="28"/>
        <v>1.0000351398933038</v>
      </c>
      <c r="F110" s="339">
        <f t="shared" si="29"/>
        <v>8.3831812964692935E-3</v>
      </c>
      <c r="G110" s="338">
        <f t="shared" si="30"/>
        <v>1</v>
      </c>
      <c r="H110" s="339">
        <f t="shared" si="31"/>
        <v>0</v>
      </c>
      <c r="I110" s="337">
        <f t="shared" si="32"/>
        <v>4024.9645433199976</v>
      </c>
      <c r="J110" s="340">
        <f t="shared" si="33"/>
        <v>1.5705478773987529</v>
      </c>
      <c r="K110" s="348">
        <f t="shared" si="34"/>
        <v>1.3745887302561783</v>
      </c>
      <c r="L110" s="349">
        <f t="shared" si="35"/>
        <v>0.75613929688174553</v>
      </c>
      <c r="M110" s="337">
        <f t="shared" si="36"/>
        <v>1.0010712920313738</v>
      </c>
      <c r="N110" s="340">
        <f t="shared" si="37"/>
        <v>4.6267407880999659E-2</v>
      </c>
      <c r="O110" s="341">
        <f t="shared" si="38"/>
        <v>1.0000199683951692</v>
      </c>
      <c r="P110" s="342">
        <f t="shared" si="39"/>
        <v>7.1767872702217975E-2</v>
      </c>
      <c r="Q110" s="343">
        <f t="shared" si="40"/>
        <v>21.749292132397137</v>
      </c>
      <c r="R110" s="344">
        <f t="shared" si="41"/>
        <v>-104.4540239558395</v>
      </c>
      <c r="S110" s="346">
        <f t="shared" si="42"/>
        <v>75.545976044160497</v>
      </c>
      <c r="U110" s="319">
        <f t="shared" si="49"/>
        <v>1000000000</v>
      </c>
      <c r="V110" s="319">
        <f t="shared" si="50"/>
        <v>30906928.359999996</v>
      </c>
      <c r="X110" s="345">
        <f t="shared" si="43"/>
        <v>28.366138657575529</v>
      </c>
      <c r="Y110" s="346">
        <f t="shared" si="44"/>
        <v>-49.313101719804841</v>
      </c>
      <c r="AA110" s="345">
        <f t="shared" si="45"/>
        <v>55.624657097268624</v>
      </c>
      <c r="AB110" s="346">
        <f t="shared" si="46"/>
        <v>-55.140922236034676</v>
      </c>
      <c r="AD110">
        <f t="shared" si="51"/>
        <v>0</v>
      </c>
      <c r="AE110">
        <f t="shared" si="52"/>
        <v>0</v>
      </c>
    </row>
    <row r="111" spans="1:31" x14ac:dyDescent="0.25">
      <c r="A111" s="347">
        <v>5623.4</v>
      </c>
      <c r="B111" s="364">
        <f t="shared" si="48"/>
        <v>5.6233999999999993</v>
      </c>
      <c r="C111" s="337">
        <f t="shared" si="26"/>
        <v>1.6180706226560644</v>
      </c>
      <c r="D111" s="338">
        <f t="shared" si="27"/>
        <v>0.90457469302755267</v>
      </c>
      <c r="E111" s="338">
        <f t="shared" si="28"/>
        <v>1.0000359535989283</v>
      </c>
      <c r="F111" s="339">
        <f t="shared" si="29"/>
        <v>8.4796841619794467E-3</v>
      </c>
      <c r="G111" s="338">
        <f t="shared" si="30"/>
        <v>1</v>
      </c>
      <c r="H111" s="339">
        <f t="shared" si="31"/>
        <v>0</v>
      </c>
      <c r="I111" s="337">
        <f t="shared" si="32"/>
        <v>4071.3000678302328</v>
      </c>
      <c r="J111" s="340">
        <f t="shared" si="33"/>
        <v>1.5705507050049536</v>
      </c>
      <c r="K111" s="348">
        <f t="shared" si="34"/>
        <v>1.3820607197633967</v>
      </c>
      <c r="L111" s="349">
        <f t="shared" si="35"/>
        <v>0.76185442627394795</v>
      </c>
      <c r="M111" s="337">
        <f t="shared" si="36"/>
        <v>1.0010960859254388</v>
      </c>
      <c r="N111" s="340">
        <f t="shared" si="37"/>
        <v>4.6799266888931157E-2</v>
      </c>
      <c r="O111" s="341">
        <f t="shared" si="38"/>
        <v>1.0000205080796791</v>
      </c>
      <c r="P111" s="342">
        <f t="shared" si="39"/>
        <v>7.2595473740728916E-2</v>
      </c>
      <c r="Q111" s="343">
        <f t="shared" si="40"/>
        <v>21.635567011903561</v>
      </c>
      <c r="R111" s="344">
        <f t="shared" si="41"/>
        <v>-104.51816058352536</v>
      </c>
      <c r="S111" s="346">
        <f t="shared" si="42"/>
        <v>75.481839416474642</v>
      </c>
      <c r="U111" s="319">
        <f t="shared" si="49"/>
        <v>1000000000</v>
      </c>
      <c r="V111" s="319">
        <f t="shared" si="50"/>
        <v>31622627.559999995</v>
      </c>
      <c r="X111" s="345">
        <f t="shared" si="43"/>
        <v>28.313589361013079</v>
      </c>
      <c r="Y111" s="346">
        <f t="shared" si="44"/>
        <v>-49.016284212273234</v>
      </c>
      <c r="AA111" s="345">
        <f t="shared" si="45"/>
        <v>55.563481273337516</v>
      </c>
      <c r="AB111" s="346">
        <f t="shared" si="46"/>
        <v>-55.501876371252131</v>
      </c>
      <c r="AD111">
        <f t="shared" si="51"/>
        <v>0</v>
      </c>
      <c r="AE111">
        <f t="shared" si="52"/>
        <v>0</v>
      </c>
    </row>
    <row r="112" spans="1:31" x14ac:dyDescent="0.25">
      <c r="A112" s="347">
        <v>5688.9</v>
      </c>
      <c r="B112" s="364">
        <f t="shared" si="48"/>
        <v>5.6888999999999994</v>
      </c>
      <c r="C112" s="337">
        <f t="shared" si="26"/>
        <v>1.6297446953777117</v>
      </c>
      <c r="D112" s="338">
        <f t="shared" si="27"/>
        <v>0.91019341171799406</v>
      </c>
      <c r="E112" s="338">
        <f t="shared" si="28"/>
        <v>1.0000367960188727</v>
      </c>
      <c r="F112" s="339">
        <f t="shared" si="29"/>
        <v>8.5784486498466216E-3</v>
      </c>
      <c r="G112" s="338">
        <f t="shared" si="30"/>
        <v>1</v>
      </c>
      <c r="H112" s="339">
        <f t="shared" si="31"/>
        <v>0</v>
      </c>
      <c r="I112" s="337">
        <f t="shared" si="32"/>
        <v>4118.7215812291142</v>
      </c>
      <c r="J112" s="340">
        <f t="shared" si="33"/>
        <v>1.5705535330080134</v>
      </c>
      <c r="K112" s="348">
        <f t="shared" si="34"/>
        <v>1.3897540658723841</v>
      </c>
      <c r="L112" s="349">
        <f t="shared" si="35"/>
        <v>0.76763967822478085</v>
      </c>
      <c r="M112" s="337">
        <f t="shared" si="36"/>
        <v>1.001121754129179</v>
      </c>
      <c r="N112" s="340">
        <f t="shared" si="37"/>
        <v>4.7343563906599037E-2</v>
      </c>
      <c r="O112" s="341">
        <f t="shared" si="38"/>
        <v>1.0000210704947765</v>
      </c>
      <c r="P112" s="342">
        <f t="shared" si="39"/>
        <v>7.3442521594294846E-2</v>
      </c>
      <c r="Q112" s="343">
        <f t="shared" si="40"/>
        <v>21.520534807436679</v>
      </c>
      <c r="R112" s="344">
        <f t="shared" si="41"/>
        <v>-104.58284036391836</v>
      </c>
      <c r="S112" s="346">
        <f t="shared" si="42"/>
        <v>75.417159636081635</v>
      </c>
      <c r="U112" s="319">
        <f t="shared" si="49"/>
        <v>1000000000</v>
      </c>
      <c r="V112" s="319">
        <f t="shared" si="50"/>
        <v>32363583.209999997</v>
      </c>
      <c r="X112" s="345">
        <f t="shared" si="43"/>
        <v>28.260996787394337</v>
      </c>
      <c r="Y112" s="346">
        <f t="shared" si="44"/>
        <v>-48.716161646281442</v>
      </c>
      <c r="AA112" s="345">
        <f t="shared" si="45"/>
        <v>55.501041642489369</v>
      </c>
      <c r="AB112" s="346">
        <f t="shared" si="46"/>
        <v>-55.86667871763693</v>
      </c>
      <c r="AD112">
        <f t="shared" si="51"/>
        <v>0</v>
      </c>
      <c r="AE112">
        <f t="shared" si="52"/>
        <v>0</v>
      </c>
    </row>
    <row r="113" spans="1:31" x14ac:dyDescent="0.25">
      <c r="A113" s="347">
        <v>5754.4</v>
      </c>
      <c r="B113" s="364">
        <f t="shared" si="48"/>
        <v>5.7543999999999995</v>
      </c>
      <c r="C113" s="337">
        <f t="shared" si="26"/>
        <v>1.6414694863633861</v>
      </c>
      <c r="D113" s="338">
        <f t="shared" si="27"/>
        <v>0.91573203572008843</v>
      </c>
      <c r="E113" s="338">
        <f t="shared" si="28"/>
        <v>1.0000376481935838</v>
      </c>
      <c r="F113" s="339">
        <f t="shared" si="29"/>
        <v>8.6772129703543196E-3</v>
      </c>
      <c r="G113" s="338">
        <f t="shared" si="30"/>
        <v>1</v>
      </c>
      <c r="H113" s="339">
        <f t="shared" si="31"/>
        <v>0</v>
      </c>
      <c r="I113" s="337">
        <f t="shared" si="32"/>
        <v>4166.1430946601859</v>
      </c>
      <c r="J113" s="340">
        <f t="shared" si="33"/>
        <v>1.5705562966310542</v>
      </c>
      <c r="K113" s="348">
        <f t="shared" si="34"/>
        <v>1.3974934128252796</v>
      </c>
      <c r="L113" s="349">
        <f t="shared" si="35"/>
        <v>0.77336104221989133</v>
      </c>
      <c r="M113" s="337">
        <f t="shared" si="36"/>
        <v>1.0011477189092328</v>
      </c>
      <c r="N113" s="340">
        <f t="shared" si="37"/>
        <v>4.7887832852803215E-2</v>
      </c>
      <c r="O113" s="341">
        <f t="shared" si="38"/>
        <v>1.0000216432376496</v>
      </c>
      <c r="P113" s="342">
        <f t="shared" si="39"/>
        <v>7.428962051889397E-2</v>
      </c>
      <c r="Q113" s="343">
        <f t="shared" si="40"/>
        <v>21.406848585974195</v>
      </c>
      <c r="R113" s="344">
        <f t="shared" si="41"/>
        <v>-104.64658920559511</v>
      </c>
      <c r="S113" s="346">
        <f t="shared" si="42"/>
        <v>75.353410794404894</v>
      </c>
      <c r="U113" s="319">
        <f t="shared" si="49"/>
        <v>1000000000</v>
      </c>
      <c r="V113" s="319">
        <f t="shared" si="50"/>
        <v>33113119.359999996</v>
      </c>
      <c r="X113" s="345">
        <f t="shared" si="43"/>
        <v>28.209572895117681</v>
      </c>
      <c r="Y113" s="346">
        <f t="shared" si="44"/>
        <v>-48.419694293438674</v>
      </c>
      <c r="AA113" s="345">
        <f t="shared" si="45"/>
        <v>55.438779313303542</v>
      </c>
      <c r="AB113" s="346">
        <f t="shared" si="46"/>
        <v>-56.226894912156432</v>
      </c>
      <c r="AD113">
        <f t="shared" si="51"/>
        <v>0</v>
      </c>
      <c r="AE113">
        <f t="shared" si="52"/>
        <v>0</v>
      </c>
    </row>
    <row r="114" spans="1:31" x14ac:dyDescent="0.25">
      <c r="A114" s="347">
        <v>5821.4</v>
      </c>
      <c r="B114" s="364">
        <f t="shared" si="48"/>
        <v>5.8213999999999997</v>
      </c>
      <c r="C114" s="337">
        <f t="shared" si="26"/>
        <v>1.6535141330097618</v>
      </c>
      <c r="D114" s="338">
        <f t="shared" si="27"/>
        <v>0.92131605729390309</v>
      </c>
      <c r="E114" s="338">
        <f t="shared" si="28"/>
        <v>1.0000385299761323</v>
      </c>
      <c r="F114" s="339">
        <f t="shared" si="29"/>
        <v>8.7782388940336759E-3</v>
      </c>
      <c r="G114" s="338">
        <f t="shared" si="30"/>
        <v>1</v>
      </c>
      <c r="H114" s="339">
        <f t="shared" si="31"/>
        <v>0</v>
      </c>
      <c r="I114" s="337">
        <f t="shared" si="32"/>
        <v>4214.6505969806285</v>
      </c>
      <c r="J114" s="340">
        <f t="shared" si="33"/>
        <v>1.5705590592002592</v>
      </c>
      <c r="K114" s="348">
        <f t="shared" si="34"/>
        <v>1.4054567975565513</v>
      </c>
      <c r="L114" s="349">
        <f t="shared" si="35"/>
        <v>0.77914804364004242</v>
      </c>
      <c r="M114" s="337">
        <f t="shared" si="36"/>
        <v>1.001174585120332</v>
      </c>
      <c r="N114" s="340">
        <f t="shared" si="37"/>
        <v>4.8444536596362872E-2</v>
      </c>
      <c r="O114" s="341">
        <f t="shared" si="38"/>
        <v>1.0000222399193985</v>
      </c>
      <c r="P114" s="342">
        <f t="shared" si="39"/>
        <v>7.5156172100350999E-2</v>
      </c>
      <c r="Q114" s="343">
        <f t="shared" si="40"/>
        <v>21.291922766478603</v>
      </c>
      <c r="R114" s="344">
        <f t="shared" si="41"/>
        <v>-104.71087576494806</v>
      </c>
      <c r="S114" s="346">
        <f t="shared" si="42"/>
        <v>75.289124235051943</v>
      </c>
      <c r="U114" s="319">
        <f t="shared" si="49"/>
        <v>1000000000</v>
      </c>
      <c r="V114" s="319">
        <f t="shared" si="50"/>
        <v>33888697.959999993</v>
      </c>
      <c r="X114" s="345">
        <f t="shared" si="43"/>
        <v>28.15814654638746</v>
      </c>
      <c r="Y114" s="346">
        <f t="shared" si="44"/>
        <v>-48.120178594186712</v>
      </c>
      <c r="AA114" s="345">
        <f t="shared" si="45"/>
        <v>55.375279842538163</v>
      </c>
      <c r="AB114" s="346">
        <f t="shared" si="46"/>
        <v>-56.590697170761345</v>
      </c>
      <c r="AD114">
        <f t="shared" si="51"/>
        <v>0</v>
      </c>
      <c r="AE114">
        <f t="shared" si="52"/>
        <v>0</v>
      </c>
    </row>
    <row r="115" spans="1:31" x14ac:dyDescent="0.25">
      <c r="A115" s="347">
        <v>5888.4</v>
      </c>
      <c r="B115" s="364">
        <f t="shared" si="48"/>
        <v>5.8883999999999999</v>
      </c>
      <c r="C115" s="337">
        <f t="shared" si="26"/>
        <v>1.6656095917606974</v>
      </c>
      <c r="D115" s="338">
        <f t="shared" si="27"/>
        <v>0.9268191473932762</v>
      </c>
      <c r="E115" s="338">
        <f t="shared" si="28"/>
        <v>1.0000394219652931</v>
      </c>
      <c r="F115" s="339">
        <f t="shared" si="29"/>
        <v>8.8792646385231697E-3</v>
      </c>
      <c r="G115" s="338">
        <f t="shared" si="30"/>
        <v>1</v>
      </c>
      <c r="H115" s="339">
        <f t="shared" si="31"/>
        <v>0</v>
      </c>
      <c r="I115" s="337">
        <f t="shared" si="32"/>
        <v>4263.1580993325051</v>
      </c>
      <c r="J115" s="340">
        <f t="shared" si="33"/>
        <v>1.5705617589027683</v>
      </c>
      <c r="K115" s="348">
        <f t="shared" si="34"/>
        <v>1.4134667189036452</v>
      </c>
      <c r="L115" s="349">
        <f t="shared" si="35"/>
        <v>0.78486964659116465</v>
      </c>
      <c r="M115" s="337">
        <f t="shared" si="36"/>
        <v>1.0012017615978073</v>
      </c>
      <c r="N115" s="340">
        <f t="shared" si="37"/>
        <v>4.9001210290264913E-2</v>
      </c>
      <c r="O115" s="341">
        <f t="shared" si="38"/>
        <v>1.0000228476878938</v>
      </c>
      <c r="P115" s="342">
        <f t="shared" si="39"/>
        <v>7.6022778349016371E-2</v>
      </c>
      <c r="Q115" s="343">
        <f t="shared" si="40"/>
        <v>21.178347918687884</v>
      </c>
      <c r="R115" s="344">
        <f t="shared" si="41"/>
        <v>-104.77427016739894</v>
      </c>
      <c r="S115" s="346">
        <f t="shared" si="42"/>
        <v>75.225729832601061</v>
      </c>
      <c r="U115" s="319">
        <f t="shared" si="49"/>
        <v>1000000000</v>
      </c>
      <c r="V115" s="319">
        <f t="shared" si="50"/>
        <v>34673254.559999995</v>
      </c>
      <c r="X115" s="345">
        <f t="shared" si="43"/>
        <v>28.107875267212975</v>
      </c>
      <c r="Y115" s="346">
        <f t="shared" si="44"/>
        <v>-47.824404627486096</v>
      </c>
      <c r="AA115" s="345">
        <f t="shared" si="45"/>
        <v>55.311976273921928</v>
      </c>
      <c r="AB115" s="346">
        <f t="shared" si="46"/>
        <v>-56.949865539912835</v>
      </c>
      <c r="AD115">
        <f t="shared" si="51"/>
        <v>0</v>
      </c>
      <c r="AE115">
        <f t="shared" si="52"/>
        <v>0</v>
      </c>
    </row>
    <row r="116" spans="1:31" x14ac:dyDescent="0.25">
      <c r="A116" s="347">
        <v>5957</v>
      </c>
      <c r="B116" s="364">
        <f t="shared" si="48"/>
        <v>5.9569999999999999</v>
      </c>
      <c r="C116" s="337">
        <f t="shared" si="26"/>
        <v>1.6780453964824678</v>
      </c>
      <c r="D116" s="338">
        <f t="shared" si="27"/>
        <v>0.93237128448692796</v>
      </c>
      <c r="E116" s="338">
        <f t="shared" si="28"/>
        <v>1.0000403458307918</v>
      </c>
      <c r="F116" s="339">
        <f t="shared" si="29"/>
        <v>8.9827027502921118E-3</v>
      </c>
      <c r="G116" s="338">
        <f t="shared" si="30"/>
        <v>1</v>
      </c>
      <c r="H116" s="339">
        <f t="shared" si="31"/>
        <v>0</v>
      </c>
      <c r="I116" s="337">
        <f t="shared" si="32"/>
        <v>4312.8239898317088</v>
      </c>
      <c r="J116" s="340">
        <f t="shared" si="33"/>
        <v>1.5705644601545425</v>
      </c>
      <c r="K116" s="348">
        <f t="shared" si="34"/>
        <v>1.4217153173484536</v>
      </c>
      <c r="L116" s="349">
        <f t="shared" si="35"/>
        <v>0.79066089169036791</v>
      </c>
      <c r="M116" s="337">
        <f t="shared" si="36"/>
        <v>1.0012299085082677</v>
      </c>
      <c r="N116" s="340">
        <f t="shared" si="37"/>
        <v>4.9571146191946337E-2</v>
      </c>
      <c r="O116" s="341">
        <f t="shared" si="38"/>
        <v>1.0000234816080247</v>
      </c>
      <c r="P116" s="342">
        <f t="shared" si="39"/>
        <v>7.6910136962591732E-2</v>
      </c>
      <c r="Q116" s="343">
        <f t="shared" si="40"/>
        <v>21.063431591843326</v>
      </c>
      <c r="R116" s="344">
        <f t="shared" si="41"/>
        <v>-104.8382953162189</v>
      </c>
      <c r="S116" s="346">
        <f t="shared" si="42"/>
        <v>75.161704683781096</v>
      </c>
      <c r="U116" s="319">
        <f t="shared" si="49"/>
        <v>1000000000</v>
      </c>
      <c r="V116" s="319">
        <f t="shared" si="50"/>
        <v>35485849</v>
      </c>
      <c r="X116" s="345">
        <f t="shared" si="43"/>
        <v>28.057566273207456</v>
      </c>
      <c r="Y116" s="346">
        <f t="shared" si="44"/>
        <v>-47.525400416919666</v>
      </c>
      <c r="AA116" s="345">
        <f t="shared" si="45"/>
        <v>55.247368941082897</v>
      </c>
      <c r="AB116" s="346">
        <f t="shared" si="46"/>
        <v>-57.312894899299231</v>
      </c>
      <c r="AD116">
        <f t="shared" si="51"/>
        <v>0</v>
      </c>
      <c r="AE116">
        <f t="shared" si="52"/>
        <v>0</v>
      </c>
    </row>
    <row r="117" spans="1:31" x14ac:dyDescent="0.25">
      <c r="A117" s="347">
        <v>6025.6</v>
      </c>
      <c r="B117" s="364">
        <f t="shared" si="48"/>
        <v>6.0256000000000007</v>
      </c>
      <c r="C117" s="337">
        <f t="shared" si="26"/>
        <v>1.6905321670544307</v>
      </c>
      <c r="D117" s="338">
        <f t="shared" si="27"/>
        <v>0.93784156868950319</v>
      </c>
      <c r="E117" s="338">
        <f t="shared" si="28"/>
        <v>1.0000412803961454</v>
      </c>
      <c r="F117" s="339">
        <f t="shared" si="29"/>
        <v>9.0861406698364115E-3</v>
      </c>
      <c r="G117" s="338">
        <f t="shared" si="30"/>
        <v>1</v>
      </c>
      <c r="H117" s="339">
        <f t="shared" si="31"/>
        <v>0</v>
      </c>
      <c r="I117" s="337">
        <f t="shared" si="32"/>
        <v>4362.4898803616643</v>
      </c>
      <c r="J117" s="340">
        <f t="shared" si="33"/>
        <v>1.5705670999001229</v>
      </c>
      <c r="K117" s="348">
        <f t="shared" si="34"/>
        <v>1.4300110470121776</v>
      </c>
      <c r="L117" s="349">
        <f t="shared" si="35"/>
        <v>0.79638513499129204</v>
      </c>
      <c r="M117" s="337">
        <f t="shared" si="36"/>
        <v>1.0012583806268205</v>
      </c>
      <c r="N117" s="340">
        <f t="shared" si="37"/>
        <v>5.0141049864962844E-2</v>
      </c>
      <c r="O117" s="341">
        <f t="shared" si="38"/>
        <v>1.0000241274587141</v>
      </c>
      <c r="P117" s="342">
        <f t="shared" si="39"/>
        <v>7.7797554204336122E-2</v>
      </c>
      <c r="Q117" s="343">
        <f t="shared" si="40"/>
        <v>20.949873478671002</v>
      </c>
      <c r="R117" s="344">
        <f t="shared" si="41"/>
        <v>-104.90146755964793</v>
      </c>
      <c r="S117" s="346">
        <f t="shared" si="42"/>
        <v>75.098532440352074</v>
      </c>
      <c r="U117" s="319">
        <f t="shared" si="49"/>
        <v>1000000000</v>
      </c>
      <c r="V117" s="319">
        <f t="shared" si="50"/>
        <v>36307855.360000007</v>
      </c>
      <c r="X117" s="345">
        <f t="shared" si="43"/>
        <v>28.008400315130334</v>
      </c>
      <c r="Y117" s="346">
        <f t="shared" si="44"/>
        <v>-47.230229756006985</v>
      </c>
      <c r="AA117" s="345">
        <f t="shared" si="45"/>
        <v>55.182976785987698</v>
      </c>
      <c r="AB117" s="346">
        <f t="shared" si="46"/>
        <v>-57.671237803640935</v>
      </c>
      <c r="AD117">
        <f t="shared" si="51"/>
        <v>0</v>
      </c>
      <c r="AE117">
        <f t="shared" si="52"/>
        <v>0</v>
      </c>
    </row>
    <row r="118" spans="1:31" x14ac:dyDescent="0.25">
      <c r="A118" s="347">
        <v>6095.8</v>
      </c>
      <c r="B118" s="364">
        <f t="shared" si="48"/>
        <v>6.0958000000000006</v>
      </c>
      <c r="C118" s="337">
        <f t="shared" si="26"/>
        <v>1.7033617676253117</v>
      </c>
      <c r="D118" s="338">
        <f t="shared" si="27"/>
        <v>0.94335624127043505</v>
      </c>
      <c r="E118" s="338">
        <f t="shared" si="28"/>
        <v>1.0000422478360143</v>
      </c>
      <c r="F118" s="339">
        <f t="shared" si="29"/>
        <v>9.1919909342984239E-3</v>
      </c>
      <c r="G118" s="338">
        <f t="shared" si="30"/>
        <v>1</v>
      </c>
      <c r="H118" s="339">
        <f t="shared" si="31"/>
        <v>0</v>
      </c>
      <c r="I118" s="337">
        <f t="shared" si="32"/>
        <v>4413.3141590396908</v>
      </c>
      <c r="J118" s="340">
        <f t="shared" si="33"/>
        <v>1.570569739705802</v>
      </c>
      <c r="K118" s="348">
        <f t="shared" si="34"/>
        <v>1.4385482053071508</v>
      </c>
      <c r="L118" s="349">
        <f t="shared" si="35"/>
        <v>0.80217434571686141</v>
      </c>
      <c r="M118" s="337">
        <f t="shared" si="36"/>
        <v>1.0012878534632539</v>
      </c>
      <c r="N118" s="340">
        <f t="shared" si="37"/>
        <v>5.0724212003618506E-2</v>
      </c>
      <c r="O118" s="341">
        <f t="shared" si="38"/>
        <v>1.0000248008895503</v>
      </c>
      <c r="P118" s="342">
        <f t="shared" si="39"/>
        <v>7.870573061519695E-2</v>
      </c>
      <c r="Q118" s="343">
        <f t="shared" si="40"/>
        <v>20.83504355503997</v>
      </c>
      <c r="R118" s="344">
        <f t="shared" si="41"/>
        <v>-104.96527156374033</v>
      </c>
      <c r="S118" s="346">
        <f t="shared" si="42"/>
        <v>75.03472843625967</v>
      </c>
      <c r="U118" s="319">
        <f t="shared" si="49"/>
        <v>1000000000</v>
      </c>
      <c r="V118" s="319">
        <f t="shared" si="50"/>
        <v>37158777.640000001</v>
      </c>
      <c r="X118" s="345">
        <f t="shared" si="43"/>
        <v>27.959236964717427</v>
      </c>
      <c r="Y118" s="346">
        <f t="shared" si="44"/>
        <v>-46.932096393420267</v>
      </c>
      <c r="AA118" s="345">
        <f t="shared" si="45"/>
        <v>55.117310212769574</v>
      </c>
      <c r="AB118" s="346">
        <f t="shared" si="46"/>
        <v>-58.033175170320078</v>
      </c>
      <c r="AD118">
        <f t="shared" si="51"/>
        <v>0</v>
      </c>
      <c r="AE118">
        <f t="shared" si="52"/>
        <v>0</v>
      </c>
    </row>
    <row r="119" spans="1:31" x14ac:dyDescent="0.25">
      <c r="A119" s="347">
        <v>6166</v>
      </c>
      <c r="B119" s="364">
        <f t="shared" si="48"/>
        <v>6.1660000000000004</v>
      </c>
      <c r="C119" s="337">
        <f t="shared" si="26"/>
        <v>1.7162423947841252</v>
      </c>
      <c r="D119" s="338">
        <f t="shared" si="27"/>
        <v>0.94878830029193584</v>
      </c>
      <c r="E119" s="338">
        <f t="shared" si="28"/>
        <v>1.0000432264806132</v>
      </c>
      <c r="F119" s="339">
        <f t="shared" si="29"/>
        <v>9.2978409927757816E-3</v>
      </c>
      <c r="G119" s="338">
        <f t="shared" si="30"/>
        <v>1</v>
      </c>
      <c r="H119" s="339">
        <f t="shared" si="31"/>
        <v>0</v>
      </c>
      <c r="I119" s="337">
        <f t="shared" si="32"/>
        <v>4464.1384377477725</v>
      </c>
      <c r="J119" s="340">
        <f t="shared" si="33"/>
        <v>1.5705723194030319</v>
      </c>
      <c r="K119" s="348">
        <f t="shared" si="34"/>
        <v>1.4471330067024546</v>
      </c>
      <c r="L119" s="349">
        <f t="shared" si="35"/>
        <v>0.80789505982185406</v>
      </c>
      <c r="M119" s="337">
        <f t="shared" si="36"/>
        <v>1.0013176667956249</v>
      </c>
      <c r="N119" s="340">
        <f t="shared" si="37"/>
        <v>5.1307339614317604E-2</v>
      </c>
      <c r="O119" s="341">
        <f t="shared" si="38"/>
        <v>1.000025487151768</v>
      </c>
      <c r="P119" s="342">
        <f t="shared" si="39"/>
        <v>7.9613969833388754E-2</v>
      </c>
      <c r="Q119" s="343">
        <f t="shared" si="40"/>
        <v>20.721577246040617</v>
      </c>
      <c r="R119" s="344">
        <f t="shared" si="41"/>
        <v>-105.02826491494621</v>
      </c>
      <c r="S119" s="346">
        <f t="shared" si="42"/>
        <v>74.971735085053794</v>
      </c>
      <c r="U119" s="319">
        <f t="shared" si="49"/>
        <v>1000000000</v>
      </c>
      <c r="V119" s="319">
        <f t="shared" si="50"/>
        <v>38019556</v>
      </c>
      <c r="X119" s="345">
        <f t="shared" si="43"/>
        <v>27.911202727928245</v>
      </c>
      <c r="Y119" s="346">
        <f t="shared" si="44"/>
        <v>-46.637882175841334</v>
      </c>
      <c r="AA119" s="345">
        <f t="shared" si="45"/>
        <v>55.051878140559403</v>
      </c>
      <c r="AB119" s="346">
        <f t="shared" si="46"/>
        <v>-58.390382739104886</v>
      </c>
      <c r="AD119">
        <f t="shared" si="51"/>
        <v>0</v>
      </c>
      <c r="AE119">
        <f t="shared" si="52"/>
        <v>0</v>
      </c>
    </row>
    <row r="120" spans="1:31" x14ac:dyDescent="0.25">
      <c r="A120" s="347">
        <v>6237.8</v>
      </c>
      <c r="B120" s="364">
        <f t="shared" si="48"/>
        <v>6.2378</v>
      </c>
      <c r="C120" s="337">
        <f t="shared" si="26"/>
        <v>1.7294681934725118</v>
      </c>
      <c r="D120" s="338">
        <f t="shared" si="27"/>
        <v>0.95426030118443317</v>
      </c>
      <c r="E120" s="338">
        <f t="shared" si="28"/>
        <v>1.0000442390211761</v>
      </c>
      <c r="F120" s="339">
        <f t="shared" si="29"/>
        <v>9.4061033726464769E-3</v>
      </c>
      <c r="G120" s="338">
        <f t="shared" si="30"/>
        <v>1</v>
      </c>
      <c r="H120" s="339">
        <f t="shared" si="31"/>
        <v>0</v>
      </c>
      <c r="I120" s="337">
        <f t="shared" si="32"/>
        <v>4516.1211046045883</v>
      </c>
      <c r="J120" s="340">
        <f t="shared" si="33"/>
        <v>1.5705748978329601</v>
      </c>
      <c r="K120" s="348">
        <f t="shared" si="34"/>
        <v>1.455961878948665</v>
      </c>
      <c r="L120" s="349">
        <f t="shared" si="35"/>
        <v>0.81367618059237756</v>
      </c>
      <c r="M120" s="337">
        <f t="shared" si="36"/>
        <v>1.0013485118277095</v>
      </c>
      <c r="N120" s="340">
        <f t="shared" si="37"/>
        <v>5.1903721755328112E-2</v>
      </c>
      <c r="O120" s="341">
        <f t="shared" si="38"/>
        <v>1.0000262025098565</v>
      </c>
      <c r="P120" s="342">
        <f t="shared" si="39"/>
        <v>8.0542975375523726E-2</v>
      </c>
      <c r="Q120" s="343">
        <f t="shared" si="40"/>
        <v>20.606905786203654</v>
      </c>
      <c r="R120" s="344">
        <f t="shared" si="41"/>
        <v>-105.09189668271594</v>
      </c>
      <c r="S120" s="346">
        <f t="shared" si="42"/>
        <v>74.908103317284059</v>
      </c>
      <c r="U120" s="319">
        <f t="shared" si="49"/>
        <v>1000000000</v>
      </c>
      <c r="V120" s="319">
        <f t="shared" si="50"/>
        <v>38910148.840000004</v>
      </c>
      <c r="X120" s="345">
        <f t="shared" si="43"/>
        <v>27.863207758872175</v>
      </c>
      <c r="Y120" s="346">
        <f t="shared" si="44"/>
        <v>-46.340966267305191</v>
      </c>
      <c r="AA120" s="345">
        <f t="shared" si="45"/>
        <v>54.98520164977851</v>
      </c>
      <c r="AB120" s="346">
        <f t="shared" si="46"/>
        <v>-58.750930415410743</v>
      </c>
      <c r="AD120">
        <f t="shared" si="51"/>
        <v>0</v>
      </c>
      <c r="AE120">
        <f t="shared" si="52"/>
        <v>0</v>
      </c>
    </row>
    <row r="121" spans="1:31" x14ac:dyDescent="0.25">
      <c r="A121" s="347">
        <v>6309.6</v>
      </c>
      <c r="B121" s="364">
        <f t="shared" si="48"/>
        <v>6.3096000000000005</v>
      </c>
      <c r="C121" s="337">
        <f t="shared" si="26"/>
        <v>1.7427449903731336</v>
      </c>
      <c r="D121" s="338">
        <f t="shared" si="27"/>
        <v>0.95964908643600766</v>
      </c>
      <c r="E121" s="338">
        <f t="shared" si="28"/>
        <v>1.0000452632829764</v>
      </c>
      <c r="F121" s="339">
        <f t="shared" si="29"/>
        <v>9.5143655320180792E-3</v>
      </c>
      <c r="G121" s="338">
        <f t="shared" si="30"/>
        <v>1</v>
      </c>
      <c r="H121" s="339">
        <f t="shared" si="31"/>
        <v>0</v>
      </c>
      <c r="I121" s="337">
        <f t="shared" si="32"/>
        <v>4568.1037714907452</v>
      </c>
      <c r="J121" s="340">
        <f t="shared" si="33"/>
        <v>1.5705774175804808</v>
      </c>
      <c r="K121" s="348">
        <f t="shared" si="34"/>
        <v>1.4648388239056565</v>
      </c>
      <c r="L121" s="349">
        <f t="shared" si="35"/>
        <v>0.81938742296694678</v>
      </c>
      <c r="M121" s="337">
        <f t="shared" si="36"/>
        <v>1.0013797129890647</v>
      </c>
      <c r="N121" s="340">
        <f t="shared" si="37"/>
        <v>5.2500066944076058E-2</v>
      </c>
      <c r="O121" s="341">
        <f t="shared" si="38"/>
        <v>1.0000269316608446</v>
      </c>
      <c r="P121" s="342">
        <f t="shared" si="39"/>
        <v>8.1472048130876468E-2</v>
      </c>
      <c r="Q121" s="343">
        <f t="shared" si="40"/>
        <v>20.493601561095069</v>
      </c>
      <c r="R121" s="344">
        <f t="shared" si="41"/>
        <v>-105.15476266684215</v>
      </c>
      <c r="S121" s="346">
        <f t="shared" si="42"/>
        <v>74.845237333157854</v>
      </c>
      <c r="U121" s="319">
        <f t="shared" si="49"/>
        <v>1000000000</v>
      </c>
      <c r="V121" s="319">
        <f t="shared" si="50"/>
        <v>39811052.160000004</v>
      </c>
      <c r="X121" s="345">
        <f t="shared" si="43"/>
        <v>27.816326243887097</v>
      </c>
      <c r="Y121" s="346">
        <f t="shared" si="44"/>
        <v>-46.048048616477949</v>
      </c>
      <c r="AA121" s="345">
        <f t="shared" si="45"/>
        <v>54.918778939654999</v>
      </c>
      <c r="AB121" s="346">
        <f t="shared" si="46"/>
        <v>-59.106714050364189</v>
      </c>
      <c r="AD121">
        <f t="shared" si="51"/>
        <v>0</v>
      </c>
      <c r="AE121">
        <f t="shared" si="52"/>
        <v>0</v>
      </c>
    </row>
    <row r="122" spans="1:31" x14ac:dyDescent="0.25">
      <c r="A122" s="347">
        <v>6383.05</v>
      </c>
      <c r="B122" s="364">
        <f t="shared" si="48"/>
        <v>6.3830499999999999</v>
      </c>
      <c r="C122" s="337">
        <f t="shared" si="26"/>
        <v>1.7563784584688102</v>
      </c>
      <c r="D122" s="338">
        <f t="shared" si="27"/>
        <v>0.96507724769307146</v>
      </c>
      <c r="E122" s="338">
        <f t="shared" si="28"/>
        <v>1.0000463232111616</v>
      </c>
      <c r="F122" s="339">
        <f t="shared" si="29"/>
        <v>9.6251153792904498E-3</v>
      </c>
      <c r="G122" s="338">
        <f t="shared" si="30"/>
        <v>1</v>
      </c>
      <c r="H122" s="339">
        <f t="shared" si="31"/>
        <v>0</v>
      </c>
      <c r="I122" s="337">
        <f t="shared" si="32"/>
        <v>4621.2810261550067</v>
      </c>
      <c r="J122" s="340">
        <f t="shared" si="33"/>
        <v>1.5705799365770881</v>
      </c>
      <c r="K122" s="348">
        <f t="shared" si="34"/>
        <v>1.4739686023837038</v>
      </c>
      <c r="L122" s="349">
        <f t="shared" si="35"/>
        <v>0.82515853849754606</v>
      </c>
      <c r="M122" s="337">
        <f t="shared" si="36"/>
        <v>1.0014119996333932</v>
      </c>
      <c r="N122" s="340">
        <f t="shared" si="37"/>
        <v>5.3110077769847157E-2</v>
      </c>
      <c r="O122" s="341">
        <f t="shared" si="38"/>
        <v>1.0000276920385074</v>
      </c>
      <c r="P122" s="342">
        <f t="shared" si="39"/>
        <v>8.2422541787483969E-2</v>
      </c>
      <c r="Q122" s="343">
        <f t="shared" si="40"/>
        <v>20.379078381972107</v>
      </c>
      <c r="R122" s="344">
        <f t="shared" si="41"/>
        <v>-105.21832198427053</v>
      </c>
      <c r="S122" s="346">
        <f t="shared" si="42"/>
        <v>74.781678015729469</v>
      </c>
      <c r="U122" s="319">
        <f t="shared" si="49"/>
        <v>1000000000</v>
      </c>
      <c r="V122" s="319">
        <f t="shared" si="50"/>
        <v>40743327.302500002</v>
      </c>
      <c r="X122" s="345">
        <f t="shared" si="43"/>
        <v>27.769485642148055</v>
      </c>
      <c r="Y122" s="346">
        <f t="shared" si="44"/>
        <v>-45.752483426802655</v>
      </c>
      <c r="AA122" s="345">
        <f t="shared" si="45"/>
        <v>54.851096362271079</v>
      </c>
      <c r="AB122" s="346">
        <f t="shared" si="46"/>
        <v>-59.465838557467876</v>
      </c>
      <c r="AD122">
        <f t="shared" si="51"/>
        <v>0</v>
      </c>
      <c r="AE122">
        <f t="shared" si="52"/>
        <v>0</v>
      </c>
    </row>
    <row r="123" spans="1:31" x14ac:dyDescent="0.25">
      <c r="A123" s="347">
        <v>6456.5</v>
      </c>
      <c r="B123" s="364">
        <f t="shared" si="48"/>
        <v>6.4565000000000001</v>
      </c>
      <c r="C123" s="337">
        <f t="shared" si="26"/>
        <v>1.7700628800522575</v>
      </c>
      <c r="D123" s="338">
        <f t="shared" si="27"/>
        <v>0.97042163377189872</v>
      </c>
      <c r="E123" s="338">
        <f t="shared" si="28"/>
        <v>1.0000473954054174</v>
      </c>
      <c r="F123" s="339">
        <f t="shared" si="29"/>
        <v>9.7358649904417741E-3</v>
      </c>
      <c r="G123" s="338">
        <f t="shared" si="30"/>
        <v>1</v>
      </c>
      <c r="H123" s="339">
        <f t="shared" si="31"/>
        <v>0</v>
      </c>
      <c r="I123" s="337">
        <f t="shared" si="32"/>
        <v>4674.4582808479236</v>
      </c>
      <c r="J123" s="340">
        <f t="shared" si="33"/>
        <v>1.5705823982608194</v>
      </c>
      <c r="K123" s="348">
        <f t="shared" si="34"/>
        <v>1.4831468671954529</v>
      </c>
      <c r="L123" s="349">
        <f t="shared" si="35"/>
        <v>0.83085841429680674</v>
      </c>
      <c r="M123" s="337">
        <f t="shared" si="36"/>
        <v>1.0014446588922441</v>
      </c>
      <c r="N123" s="340">
        <f t="shared" si="37"/>
        <v>5.3720049035060835E-2</v>
      </c>
      <c r="O123" s="341">
        <f t="shared" si="38"/>
        <v>1.0000284672555144</v>
      </c>
      <c r="P123" s="342">
        <f t="shared" si="39"/>
        <v>8.3373107397094859E-2</v>
      </c>
      <c r="Q123" s="343">
        <f t="shared" si="40"/>
        <v>20.265926187569107</v>
      </c>
      <c r="R123" s="344">
        <f t="shared" si="41"/>
        <v>-105.28116165918978</v>
      </c>
      <c r="S123" s="346">
        <f t="shared" si="42"/>
        <v>74.718838340810223</v>
      </c>
      <c r="U123" s="319">
        <f t="shared" si="49"/>
        <v>1000000000</v>
      </c>
      <c r="V123" s="319">
        <f t="shared" si="50"/>
        <v>41686392.25</v>
      </c>
      <c r="X123" s="345">
        <f t="shared" si="43"/>
        <v>27.723742721310014</v>
      </c>
      <c r="Y123" s="346">
        <f t="shared" si="44"/>
        <v>-45.460994422632488</v>
      </c>
      <c r="AA123" s="345">
        <f t="shared" si="45"/>
        <v>54.783687088706124</v>
      </c>
      <c r="AB123" s="346">
        <f t="shared" si="46"/>
        <v>-59.820167236557324</v>
      </c>
      <c r="AD123">
        <f t="shared" si="51"/>
        <v>0</v>
      </c>
      <c r="AE123">
        <f t="shared" si="52"/>
        <v>0</v>
      </c>
    </row>
    <row r="124" spans="1:31" x14ac:dyDescent="0.25">
      <c r="A124" s="347">
        <v>6531.7</v>
      </c>
      <c r="B124" s="364">
        <f t="shared" si="48"/>
        <v>6.5316999999999998</v>
      </c>
      <c r="C124" s="337">
        <f t="shared" si="26"/>
        <v>1.7841249075864267</v>
      </c>
      <c r="D124" s="338">
        <f t="shared" si="27"/>
        <v>0.97580825877952326</v>
      </c>
      <c r="E124" s="338">
        <f t="shared" si="28"/>
        <v>1.0000485058533692</v>
      </c>
      <c r="F124" s="339">
        <f t="shared" si="29"/>
        <v>9.8492530446613602E-3</v>
      </c>
      <c r="G124" s="338">
        <f t="shared" si="30"/>
        <v>1</v>
      </c>
      <c r="H124" s="339">
        <f t="shared" si="31"/>
        <v>0</v>
      </c>
      <c r="I124" s="337">
        <f t="shared" si="32"/>
        <v>4728.9025225771802</v>
      </c>
      <c r="J124" s="340">
        <f t="shared" si="33"/>
        <v>1.5705848612375757</v>
      </c>
      <c r="K124" s="348">
        <f t="shared" si="34"/>
        <v>1.4925931097453746</v>
      </c>
      <c r="L124" s="349">
        <f t="shared" si="35"/>
        <v>0.83662127716420565</v>
      </c>
      <c r="M124" s="337">
        <f t="shared" si="36"/>
        <v>1.0014784822807705</v>
      </c>
      <c r="N124" s="340">
        <f t="shared" si="37"/>
        <v>5.4344511856497524E-2</v>
      </c>
      <c r="O124" s="341">
        <f t="shared" si="38"/>
        <v>1.0000292765342265</v>
      </c>
      <c r="P124" s="342">
        <f t="shared" si="39"/>
        <v>8.434639632513273E-2</v>
      </c>
      <c r="Q124" s="343">
        <f t="shared" si="40"/>
        <v>20.151468208624507</v>
      </c>
      <c r="R124" s="344">
        <f t="shared" si="41"/>
        <v>-105.34479371097815</v>
      </c>
      <c r="S124" s="346">
        <f t="shared" si="42"/>
        <v>74.655206289021848</v>
      </c>
      <c r="U124" s="319">
        <f t="shared" si="49"/>
        <v>1000000000</v>
      </c>
      <c r="V124" s="319">
        <f t="shared" si="50"/>
        <v>42663104.890000001</v>
      </c>
      <c r="X124" s="345">
        <f t="shared" si="43"/>
        <v>27.678013360880584</v>
      </c>
      <c r="Y124" s="346">
        <f t="shared" si="44"/>
        <v>-45.166726904385953</v>
      </c>
      <c r="AA124" s="345">
        <f t="shared" si="45"/>
        <v>54.71495847019095</v>
      </c>
      <c r="AB124" s="346">
        <f t="shared" si="46"/>
        <v>-60.178066806592184</v>
      </c>
      <c r="AD124">
        <f t="shared" si="51"/>
        <v>0</v>
      </c>
      <c r="AE124">
        <f t="shared" si="52"/>
        <v>0</v>
      </c>
    </row>
    <row r="125" spans="1:31" x14ac:dyDescent="0.25">
      <c r="A125" s="347">
        <v>6606.9</v>
      </c>
      <c r="B125" s="364">
        <f t="shared" si="48"/>
        <v>6.6068999999999996</v>
      </c>
      <c r="C125" s="337">
        <f t="shared" si="26"/>
        <v>1.7982378923017048</v>
      </c>
      <c r="D125" s="338">
        <f t="shared" si="27"/>
        <v>0.98111048468744633</v>
      </c>
      <c r="E125" s="338">
        <f t="shared" si="28"/>
        <v>1.0000496291587668</v>
      </c>
      <c r="F125" s="339">
        <f t="shared" si="29"/>
        <v>9.9626408456125713E-3</v>
      </c>
      <c r="G125" s="338">
        <f t="shared" si="30"/>
        <v>1</v>
      </c>
      <c r="H125" s="339">
        <f t="shared" si="31"/>
        <v>0</v>
      </c>
      <c r="I125" s="337">
        <f t="shared" si="32"/>
        <v>4783.3467643344711</v>
      </c>
      <c r="J125" s="340">
        <f t="shared" si="33"/>
        <v>1.5705872681469348</v>
      </c>
      <c r="K125" s="348">
        <f t="shared" si="34"/>
        <v>1.502088297773154</v>
      </c>
      <c r="L125" s="349">
        <f t="shared" si="35"/>
        <v>0.84231146916882227</v>
      </c>
      <c r="M125" s="337">
        <f t="shared" si="36"/>
        <v>1.0015126961731851</v>
      </c>
      <c r="N125" s="340">
        <f t="shared" si="37"/>
        <v>5.4968932255348761E-2</v>
      </c>
      <c r="O125" s="341">
        <f t="shared" si="38"/>
        <v>1.0000301018126501</v>
      </c>
      <c r="P125" s="342">
        <f t="shared" si="39"/>
        <v>8.5319762406580207E-2</v>
      </c>
      <c r="Q125" s="343">
        <f t="shared" si="40"/>
        <v>20.038386819925783</v>
      </c>
      <c r="R125" s="344">
        <f t="shared" si="41"/>
        <v>-105.40775257630473</v>
      </c>
      <c r="S125" s="346">
        <f t="shared" si="42"/>
        <v>74.59224742369527</v>
      </c>
      <c r="U125" s="319">
        <f t="shared" si="49"/>
        <v>1000000000</v>
      </c>
      <c r="V125" s="319">
        <f t="shared" si="50"/>
        <v>43651127.609999992</v>
      </c>
      <c r="X125" s="345">
        <f t="shared" si="43"/>
        <v>27.633367154491623</v>
      </c>
      <c r="Y125" s="346">
        <f t="shared" si="44"/>
        <v>-44.876617476814836</v>
      </c>
      <c r="AA125" s="345">
        <f t="shared" si="45"/>
        <v>54.646523287881188</v>
      </c>
      <c r="AB125" s="346">
        <f t="shared" si="46"/>
        <v>-60.531135099489902</v>
      </c>
      <c r="AD125">
        <f t="shared" si="51"/>
        <v>0</v>
      </c>
      <c r="AE125">
        <f t="shared" si="52"/>
        <v>0</v>
      </c>
    </row>
    <row r="126" spans="1:31" x14ac:dyDescent="0.25">
      <c r="A126" s="347">
        <v>6683.85</v>
      </c>
      <c r="B126" s="364">
        <f t="shared" si="48"/>
        <v>6.6838500000000005</v>
      </c>
      <c r="C126" s="337">
        <f t="shared" si="26"/>
        <v>1.8127308122956858</v>
      </c>
      <c r="D126" s="338">
        <f t="shared" si="27"/>
        <v>0.98645048127617196</v>
      </c>
      <c r="E126" s="338">
        <f t="shared" si="28"/>
        <v>1.0000507919146111</v>
      </c>
      <c r="F126" s="339">
        <f t="shared" si="29"/>
        <v>1.0078667060223838E-2</v>
      </c>
      <c r="G126" s="338">
        <f t="shared" si="30"/>
        <v>1</v>
      </c>
      <c r="H126" s="339">
        <f t="shared" si="31"/>
        <v>0</v>
      </c>
      <c r="I126" s="337">
        <f t="shared" si="32"/>
        <v>4839.057993128773</v>
      </c>
      <c r="J126" s="340">
        <f t="shared" si="33"/>
        <v>1.5705896750026391</v>
      </c>
      <c r="K126" s="348">
        <f t="shared" si="34"/>
        <v>1.511854156134689</v>
      </c>
      <c r="L126" s="349">
        <f t="shared" si="35"/>
        <v>0.84805989969770668</v>
      </c>
      <c r="M126" s="337">
        <f t="shared" si="36"/>
        <v>1.0015481104657147</v>
      </c>
      <c r="N126" s="340">
        <f t="shared" si="37"/>
        <v>5.5607839295699645E-2</v>
      </c>
      <c r="O126" s="341">
        <f t="shared" si="38"/>
        <v>1.0000309630977342</v>
      </c>
      <c r="P126" s="342">
        <f t="shared" si="39"/>
        <v>8.631586073959123E-2</v>
      </c>
      <c r="Q126" s="343">
        <f t="shared" si="40"/>
        <v>19.924068350783884</v>
      </c>
      <c r="R126" s="344">
        <f t="shared" si="41"/>
        <v>-105.47152003303508</v>
      </c>
      <c r="S126" s="346">
        <f t="shared" si="42"/>
        <v>74.528479966964923</v>
      </c>
      <c r="U126" s="319">
        <f t="shared" si="49"/>
        <v>1000000000</v>
      </c>
      <c r="V126" s="319">
        <f t="shared" si="50"/>
        <v>44673850.822500005</v>
      </c>
      <c r="X126" s="345">
        <f t="shared" si="43"/>
        <v>27.588769506891197</v>
      </c>
      <c r="Y126" s="346">
        <f t="shared" si="44"/>
        <v>-44.584001247938289</v>
      </c>
      <c r="AA126" s="345">
        <f t="shared" si="45"/>
        <v>54.576802466339707</v>
      </c>
      <c r="AB126" s="346">
        <f t="shared" si="46"/>
        <v>-60.887518785096809</v>
      </c>
      <c r="AD126">
        <f t="shared" si="51"/>
        <v>0</v>
      </c>
      <c r="AE126">
        <f t="shared" si="52"/>
        <v>0</v>
      </c>
    </row>
    <row r="127" spans="1:31" x14ac:dyDescent="0.25">
      <c r="A127" s="347">
        <v>6760.8</v>
      </c>
      <c r="B127" s="364">
        <f t="shared" si="48"/>
        <v>6.7608000000000006</v>
      </c>
      <c r="C127" s="337">
        <f t="shared" si="26"/>
        <v>1.827274602509706</v>
      </c>
      <c r="D127" s="338">
        <f t="shared" si="27"/>
        <v>0.9917056206835233</v>
      </c>
      <c r="E127" s="338">
        <f t="shared" si="28"/>
        <v>1.0000519681331901</v>
      </c>
      <c r="F127" s="339">
        <f t="shared" si="29"/>
        <v>1.0194693003466856E-2</v>
      </c>
      <c r="G127" s="338">
        <f t="shared" si="30"/>
        <v>1</v>
      </c>
      <c r="H127" s="339">
        <f t="shared" si="31"/>
        <v>0</v>
      </c>
      <c r="I127" s="337">
        <f t="shared" si="32"/>
        <v>4894.7692219504706</v>
      </c>
      <c r="J127" s="340">
        <f t="shared" si="33"/>
        <v>1.5705920270696978</v>
      </c>
      <c r="K127" s="348">
        <f t="shared" si="34"/>
        <v>1.5216693306830824</v>
      </c>
      <c r="L127" s="349">
        <f t="shared" si="35"/>
        <v>0.85373435789823182</v>
      </c>
      <c r="M127" s="337">
        <f t="shared" si="36"/>
        <v>1.0015839335633838</v>
      </c>
      <c r="N127" s="340">
        <f t="shared" si="37"/>
        <v>5.6246700893951458E-2</v>
      </c>
      <c r="O127" s="341">
        <f t="shared" si="38"/>
        <v>1.0000318416236997</v>
      </c>
      <c r="P127" s="342">
        <f t="shared" si="39"/>
        <v>8.731204171184935E-2</v>
      </c>
      <c r="Q127" s="343">
        <f t="shared" si="40"/>
        <v>19.811130158105769</v>
      </c>
      <c r="R127" s="344">
        <f t="shared" si="41"/>
        <v>-105.53466284125605</v>
      </c>
      <c r="S127" s="346">
        <f t="shared" si="42"/>
        <v>74.465337158743949</v>
      </c>
      <c r="U127" s="319">
        <f t="shared" si="49"/>
        <v>1000000000</v>
      </c>
      <c r="V127" s="319">
        <f t="shared" si="50"/>
        <v>45708416.640000001</v>
      </c>
      <c r="X127" s="345">
        <f t="shared" si="43"/>
        <v>27.545238751322486</v>
      </c>
      <c r="Y127" s="346">
        <f t="shared" si="44"/>
        <v>-44.295617578483686</v>
      </c>
      <c r="AA127" s="345">
        <f t="shared" si="45"/>
        <v>54.507395029230295</v>
      </c>
      <c r="AB127" s="346">
        <f t="shared" si="46"/>
        <v>-61.239045262772379</v>
      </c>
      <c r="AD127">
        <f t="shared" si="51"/>
        <v>0</v>
      </c>
      <c r="AE127">
        <f t="shared" si="52"/>
        <v>0</v>
      </c>
    </row>
    <row r="128" spans="1:31" x14ac:dyDescent="0.25">
      <c r="A128" s="347">
        <v>6839.55</v>
      </c>
      <c r="B128" s="364">
        <f t="shared" si="48"/>
        <v>6.83955</v>
      </c>
      <c r="C128" s="337">
        <f t="shared" si="26"/>
        <v>1.8422100102211372</v>
      </c>
      <c r="D128" s="338">
        <f t="shared" si="27"/>
        <v>0.99699762740132369</v>
      </c>
      <c r="E128" s="338">
        <f t="shared" si="28"/>
        <v>1.0000531858043991</v>
      </c>
      <c r="F128" s="339">
        <f t="shared" si="29"/>
        <v>1.0313432719639012E-2</v>
      </c>
      <c r="G128" s="338">
        <f t="shared" si="30"/>
        <v>1</v>
      </c>
      <c r="H128" s="339">
        <f t="shared" si="31"/>
        <v>0</v>
      </c>
      <c r="I128" s="337">
        <f t="shared" si="32"/>
        <v>4951.7836374386698</v>
      </c>
      <c r="J128" s="340">
        <f t="shared" si="33"/>
        <v>1.5705943793593833</v>
      </c>
      <c r="K128" s="348">
        <f t="shared" si="34"/>
        <v>1.5317641708055878</v>
      </c>
      <c r="L128" s="349">
        <f t="shared" si="35"/>
        <v>0.85946607013264187</v>
      </c>
      <c r="M128" s="337">
        <f t="shared" si="36"/>
        <v>1.0016210178435028</v>
      </c>
      <c r="N128" s="340">
        <f t="shared" si="37"/>
        <v>5.6900459035137747E-2</v>
      </c>
      <c r="O128" s="341">
        <f t="shared" si="38"/>
        <v>1.0000327588124345</v>
      </c>
      <c r="P128" s="342">
        <f t="shared" si="39"/>
        <v>8.8331611701611329E-2</v>
      </c>
      <c r="Q128" s="343">
        <f t="shared" si="40"/>
        <v>19.696948364520242</v>
      </c>
      <c r="R128" s="344">
        <f t="shared" si="41"/>
        <v>-105.59867570231661</v>
      </c>
      <c r="S128" s="346">
        <f t="shared" si="42"/>
        <v>74.401324297683388</v>
      </c>
      <c r="U128" s="319">
        <f t="shared" si="49"/>
        <v>1000000000</v>
      </c>
      <c r="V128" s="319">
        <f t="shared" si="50"/>
        <v>46779444.202500001</v>
      </c>
      <c r="X128" s="345">
        <f t="shared" si="43"/>
        <v>27.501760745920837</v>
      </c>
      <c r="Y128" s="346">
        <f t="shared" si="44"/>
        <v>-44.004807016319653</v>
      </c>
      <c r="AA128" s="345">
        <f t="shared" si="45"/>
        <v>54.436691241046432</v>
      </c>
      <c r="AB128" s="346">
        <f t="shared" si="46"/>
        <v>-61.593868685996974</v>
      </c>
      <c r="AD128">
        <f t="shared" si="51"/>
        <v>0</v>
      </c>
      <c r="AE128">
        <f t="shared" si="52"/>
        <v>0</v>
      </c>
    </row>
    <row r="129" spans="1:31" x14ac:dyDescent="0.25">
      <c r="A129" s="347">
        <v>6918.3</v>
      </c>
      <c r="B129" s="364">
        <f t="shared" si="48"/>
        <v>6.9183000000000003</v>
      </c>
      <c r="C129" s="337">
        <f t="shared" si="26"/>
        <v>1.8571961790144291</v>
      </c>
      <c r="D129" s="338">
        <f t="shared" si="27"/>
        <v>1.0022043729989936</v>
      </c>
      <c r="E129" s="338">
        <f t="shared" si="28"/>
        <v>1.0000544175754438</v>
      </c>
      <c r="F129" s="339">
        <f t="shared" si="29"/>
        <v>1.0432172144980913E-2</v>
      </c>
      <c r="G129" s="338">
        <f t="shared" si="30"/>
        <v>1</v>
      </c>
      <c r="H129" s="339">
        <f t="shared" si="31"/>
        <v>0</v>
      </c>
      <c r="I129" s="337">
        <f t="shared" si="32"/>
        <v>5008.7980529536453</v>
      </c>
      <c r="J129" s="340">
        <f t="shared" si="33"/>
        <v>1.5705966780975302</v>
      </c>
      <c r="K129" s="348">
        <f t="shared" si="34"/>
        <v>1.5419086733739098</v>
      </c>
      <c r="L129" s="349">
        <f t="shared" si="35"/>
        <v>0.86512254617725814</v>
      </c>
      <c r="M129" s="337">
        <f t="shared" si="36"/>
        <v>1.0016585301843464</v>
      </c>
      <c r="N129" s="340">
        <f t="shared" si="37"/>
        <v>5.755416848891836E-2</v>
      </c>
      <c r="O129" s="341">
        <f t="shared" si="38"/>
        <v>1.0000336945930974</v>
      </c>
      <c r="P129" s="342">
        <f t="shared" si="39"/>
        <v>8.9351270225969934E-2</v>
      </c>
      <c r="Q129" s="343">
        <f t="shared" si="40"/>
        <v>19.584150428828508</v>
      </c>
      <c r="R129" s="344">
        <f t="shared" si="41"/>
        <v>-105.66211340864037</v>
      </c>
      <c r="S129" s="346">
        <f t="shared" si="42"/>
        <v>74.337886591359634</v>
      </c>
      <c r="U129" s="319">
        <f t="shared" si="49"/>
        <v>1000000000</v>
      </c>
      <c r="V129" s="319">
        <f t="shared" si="50"/>
        <v>47862874.890000001</v>
      </c>
      <c r="X129" s="345">
        <f t="shared" si="43"/>
        <v>27.459333112222872</v>
      </c>
      <c r="Y129" s="346">
        <f t="shared" si="44"/>
        <v>-43.71830131244235</v>
      </c>
      <c r="AA129" s="345">
        <f t="shared" si="45"/>
        <v>54.366320939052663</v>
      </c>
      <c r="AB129" s="346">
        <f t="shared" si="46"/>
        <v>-61.943812096198037</v>
      </c>
      <c r="AD129">
        <f t="shared" si="51"/>
        <v>0</v>
      </c>
      <c r="AE129">
        <f t="shared" si="52"/>
        <v>0</v>
      </c>
    </row>
    <row r="130" spans="1:31" x14ac:dyDescent="0.25">
      <c r="A130" s="347">
        <v>6998.9</v>
      </c>
      <c r="B130" s="364">
        <f t="shared" si="48"/>
        <v>6.9988999999999999</v>
      </c>
      <c r="C130" s="337">
        <f t="shared" si="26"/>
        <v>1.8725856957487574</v>
      </c>
      <c r="D130" s="338">
        <f t="shared" si="27"/>
        <v>1.0074469920488014</v>
      </c>
      <c r="E130" s="338">
        <f t="shared" si="28"/>
        <v>1.0000556928838553</v>
      </c>
      <c r="F130" s="339">
        <f t="shared" si="29"/>
        <v>1.0553700699789989E-2</v>
      </c>
      <c r="G130" s="338">
        <f t="shared" si="30"/>
        <v>1</v>
      </c>
      <c r="H130" s="339">
        <f t="shared" si="31"/>
        <v>0</v>
      </c>
      <c r="I130" s="337">
        <f t="shared" si="32"/>
        <v>5067.1518547646438</v>
      </c>
      <c r="J130" s="340">
        <f t="shared" si="33"/>
        <v>1.5705989772709128</v>
      </c>
      <c r="K130" s="348">
        <f t="shared" si="34"/>
        <v>1.5523419012717232</v>
      </c>
      <c r="L130" s="349">
        <f t="shared" si="35"/>
        <v>0.87083516181412512</v>
      </c>
      <c r="M130" s="337">
        <f t="shared" si="36"/>
        <v>1.0016973669801781</v>
      </c>
      <c r="N130" s="340">
        <f t="shared" si="37"/>
        <v>5.8223183932864152E-2</v>
      </c>
      <c r="O130" s="341">
        <f t="shared" si="38"/>
        <v>1.0000346718966968</v>
      </c>
      <c r="P130" s="342">
        <f t="shared" si="39"/>
        <v>9.0394975358275217E-2</v>
      </c>
      <c r="Q130" s="343">
        <f t="shared" si="40"/>
        <v>19.470104471560884</v>
      </c>
      <c r="R130" s="344">
        <f t="shared" si="41"/>
        <v>-105.7264849080446</v>
      </c>
      <c r="S130" s="346">
        <f t="shared" si="42"/>
        <v>74.273515091955403</v>
      </c>
      <c r="U130" s="319">
        <f t="shared" si="49"/>
        <v>1000000000</v>
      </c>
      <c r="V130" s="319">
        <f t="shared" si="50"/>
        <v>48984601.209999993</v>
      </c>
      <c r="X130" s="345">
        <f t="shared" si="43"/>
        <v>27.41696296896081</v>
      </c>
      <c r="Y130" s="346">
        <f t="shared" si="44"/>
        <v>-43.429456040437742</v>
      </c>
      <c r="AA130" s="345">
        <f t="shared" si="45"/>
        <v>54.294645125047097</v>
      </c>
      <c r="AB130" s="346">
        <f t="shared" si="46"/>
        <v>-62.297028867606862</v>
      </c>
      <c r="AD130">
        <f t="shared" si="51"/>
        <v>0</v>
      </c>
      <c r="AE130">
        <f t="shared" si="52"/>
        <v>0</v>
      </c>
    </row>
    <row r="131" spans="1:31" x14ac:dyDescent="0.25">
      <c r="A131" s="347">
        <v>7079.5</v>
      </c>
      <c r="B131" s="364">
        <f t="shared" si="48"/>
        <v>7.0795000000000003</v>
      </c>
      <c r="C131" s="337">
        <f t="shared" si="26"/>
        <v>1.8880258407405208</v>
      </c>
      <c r="D131" s="338">
        <f t="shared" si="27"/>
        <v>1.012604003363214</v>
      </c>
      <c r="E131" s="338">
        <f t="shared" si="28"/>
        <v>1.0000569829622412</v>
      </c>
      <c r="F131" s="339">
        <f t="shared" si="29"/>
        <v>1.0675228942849082E-2</v>
      </c>
      <c r="G131" s="338">
        <f t="shared" si="30"/>
        <v>1</v>
      </c>
      <c r="H131" s="339">
        <f t="shared" si="31"/>
        <v>0</v>
      </c>
      <c r="I131" s="337">
        <f t="shared" si="32"/>
        <v>5125.5056566018202</v>
      </c>
      <c r="J131" s="340">
        <f t="shared" si="33"/>
        <v>1.5706012240921894</v>
      </c>
      <c r="K131" s="348">
        <f t="shared" si="34"/>
        <v>1.5628251109155524</v>
      </c>
      <c r="L131" s="349">
        <f t="shared" si="35"/>
        <v>0.87647132050059062</v>
      </c>
      <c r="M131" s="337">
        <f t="shared" si="36"/>
        <v>1.0017366520825033</v>
      </c>
      <c r="N131" s="340">
        <f t="shared" si="37"/>
        <v>5.8892147202654135E-2</v>
      </c>
      <c r="O131" s="341">
        <f t="shared" si="38"/>
        <v>1.0000356692629602</v>
      </c>
      <c r="P131" s="342">
        <f t="shared" si="39"/>
        <v>9.1438775358322497E-2</v>
      </c>
      <c r="Q131" s="343">
        <f t="shared" si="40"/>
        <v>19.357445781965506</v>
      </c>
      <c r="R131" s="344">
        <f t="shared" si="41"/>
        <v>-105.79033157055841</v>
      </c>
      <c r="S131" s="346">
        <f t="shared" si="42"/>
        <v>74.209668429441592</v>
      </c>
      <c r="U131" s="319">
        <f t="shared" si="49"/>
        <v>1000000000</v>
      </c>
      <c r="V131" s="319">
        <f t="shared" si="50"/>
        <v>50119320.25</v>
      </c>
      <c r="X131" s="345">
        <f t="shared" si="43"/>
        <v>27.375626386253721</v>
      </c>
      <c r="Y131" s="346">
        <f t="shared" si="44"/>
        <v>-43.144985440096924</v>
      </c>
      <c r="AA131" s="345">
        <f t="shared" si="45"/>
        <v>54.223323018158808</v>
      </c>
      <c r="AB131" s="346">
        <f t="shared" si="46"/>
        <v>-62.645346130461476</v>
      </c>
      <c r="AD131">
        <f t="shared" si="51"/>
        <v>0</v>
      </c>
      <c r="AE131">
        <f t="shared" si="52"/>
        <v>0</v>
      </c>
    </row>
    <row r="132" spans="1:31" x14ac:dyDescent="0.25">
      <c r="A132" s="347">
        <v>7161.95</v>
      </c>
      <c r="B132" s="364">
        <f t="shared" si="48"/>
        <v>7.16195</v>
      </c>
      <c r="C132" s="337">
        <f t="shared" si="26"/>
        <v>1.9038714815345872</v>
      </c>
      <c r="D132" s="338">
        <f t="shared" si="27"/>
        <v>1.0177926942568138</v>
      </c>
      <c r="E132" s="338">
        <f t="shared" si="28"/>
        <v>1.0000583179339324</v>
      </c>
      <c r="F132" s="339">
        <f t="shared" si="29"/>
        <v>1.0799546279572277E-2</v>
      </c>
      <c r="G132" s="338">
        <f t="shared" si="30"/>
        <v>1</v>
      </c>
      <c r="H132" s="339">
        <f t="shared" si="31"/>
        <v>0</v>
      </c>
      <c r="I132" s="337">
        <f t="shared" si="32"/>
        <v>5185.1988447356134</v>
      </c>
      <c r="J132" s="340">
        <f t="shared" si="33"/>
        <v>1.5706034701588942</v>
      </c>
      <c r="K132" s="348">
        <f t="shared" si="34"/>
        <v>1.5735996143671589</v>
      </c>
      <c r="L132" s="349">
        <f t="shared" si="35"/>
        <v>0.88215895935442701</v>
      </c>
      <c r="M132" s="337">
        <f t="shared" si="36"/>
        <v>1.0017773026944934</v>
      </c>
      <c r="N132" s="340">
        <f t="shared" si="37"/>
        <v>5.9576410486408771E-2</v>
      </c>
      <c r="O132" s="341">
        <f t="shared" si="38"/>
        <v>1.0000367105952279</v>
      </c>
      <c r="P132" s="342">
        <f t="shared" si="39"/>
        <v>9.250663282532022E-2</v>
      </c>
      <c r="Q132" s="343">
        <f t="shared" si="40"/>
        <v>19.243605201529409</v>
      </c>
      <c r="R132" s="344">
        <f t="shared" si="41"/>
        <v>-105.85513891395779</v>
      </c>
      <c r="S132" s="346">
        <f t="shared" si="42"/>
        <v>74.144861086042212</v>
      </c>
      <c r="U132" s="319">
        <f t="shared" si="49"/>
        <v>1000000000</v>
      </c>
      <c r="V132" s="319">
        <f t="shared" si="50"/>
        <v>51293527.802499995</v>
      </c>
      <c r="X132" s="345">
        <f t="shared" si="43"/>
        <v>27.334377145522822</v>
      </c>
      <c r="Y132" s="346">
        <f t="shared" si="44"/>
        <v>-42.858441826427644</v>
      </c>
      <c r="AA132" s="345">
        <f t="shared" si="45"/>
        <v>54.15073167845361</v>
      </c>
      <c r="AB132" s="346">
        <f t="shared" si="46"/>
        <v>-62.996697087530137</v>
      </c>
      <c r="AD132">
        <f t="shared" si="51"/>
        <v>0</v>
      </c>
      <c r="AE132">
        <f t="shared" si="52"/>
        <v>0</v>
      </c>
    </row>
    <row r="133" spans="1:31" x14ac:dyDescent="0.25">
      <c r="A133" s="347">
        <v>7244.4</v>
      </c>
      <c r="B133" s="364">
        <f t="shared" si="48"/>
        <v>7.2443999999999997</v>
      </c>
      <c r="C133" s="337">
        <f t="shared" si="26"/>
        <v>1.9197675323923371</v>
      </c>
      <c r="D133" s="338">
        <f t="shared" si="27"/>
        <v>1.0228955938943223</v>
      </c>
      <c r="E133" s="338">
        <f t="shared" si="28"/>
        <v>1.0000596683612839</v>
      </c>
      <c r="F133" s="339">
        <f t="shared" si="29"/>
        <v>1.0923863282473734E-2</v>
      </c>
      <c r="G133" s="338">
        <f t="shared" si="30"/>
        <v>1</v>
      </c>
      <c r="H133" s="339">
        <f t="shared" si="31"/>
        <v>0</v>
      </c>
      <c r="I133" s="337">
        <f t="shared" si="32"/>
        <v>5244.8920328949707</v>
      </c>
      <c r="J133" s="340">
        <f t="shared" si="33"/>
        <v>1.5706056650997107</v>
      </c>
      <c r="K133" s="348">
        <f t="shared" si="34"/>
        <v>1.584424329279303</v>
      </c>
      <c r="L133" s="349">
        <f t="shared" si="35"/>
        <v>0.88776906225463936</v>
      </c>
      <c r="M133" s="337">
        <f t="shared" si="36"/>
        <v>1.0018184223166939</v>
      </c>
      <c r="N133" s="340">
        <f t="shared" si="37"/>
        <v>6.0260617919346088E-2</v>
      </c>
      <c r="O133" s="341">
        <f t="shared" si="38"/>
        <v>1.0000377735648196</v>
      </c>
      <c r="P133" s="342">
        <f t="shared" si="39"/>
        <v>9.3574591837114793E-2</v>
      </c>
      <c r="Q133" s="343">
        <f t="shared" si="40"/>
        <v>19.131153399655766</v>
      </c>
      <c r="R133" s="344">
        <f t="shared" si="41"/>
        <v>-105.91947297126777</v>
      </c>
      <c r="S133" s="346">
        <f t="shared" si="42"/>
        <v>74.080527028732234</v>
      </c>
      <c r="U133" s="319">
        <f t="shared" si="49"/>
        <v>1000000000</v>
      </c>
      <c r="V133" s="319">
        <f t="shared" si="50"/>
        <v>52481331.359999992</v>
      </c>
      <c r="X133" s="345">
        <f t="shared" si="43"/>
        <v>27.294143126530987</v>
      </c>
      <c r="Y133" s="346">
        <f t="shared" si="44"/>
        <v>-42.57633456635287</v>
      </c>
      <c r="AA133" s="345">
        <f t="shared" si="45"/>
        <v>54.078513895571803</v>
      </c>
      <c r="AB133" s="346">
        <f t="shared" si="46"/>
        <v>-63.343138404914896</v>
      </c>
      <c r="AD133">
        <f t="shared" si="51"/>
        <v>0</v>
      </c>
      <c r="AE133">
        <f t="shared" si="52"/>
        <v>0</v>
      </c>
    </row>
    <row r="134" spans="1:31" x14ac:dyDescent="0.25">
      <c r="A134" s="347">
        <v>7328.75</v>
      </c>
      <c r="B134" s="364">
        <f t="shared" si="48"/>
        <v>7.3287500000000003</v>
      </c>
      <c r="C134" s="337">
        <f t="shared" si="26"/>
        <v>1.9360807672619922</v>
      </c>
      <c r="D134" s="338">
        <f t="shared" si="27"/>
        <v>1.0280292365434518</v>
      </c>
      <c r="E134" s="338">
        <f t="shared" si="28"/>
        <v>1.0000610659021918</v>
      </c>
      <c r="F134" s="339">
        <f t="shared" si="29"/>
        <v>1.1051044730407982E-2</v>
      </c>
      <c r="G134" s="338">
        <f t="shared" si="30"/>
        <v>1</v>
      </c>
      <c r="H134" s="339">
        <f t="shared" si="31"/>
        <v>0</v>
      </c>
      <c r="I134" s="337">
        <f t="shared" si="32"/>
        <v>5305.9608069804617</v>
      </c>
      <c r="J134" s="340">
        <f t="shared" si="33"/>
        <v>1.5706078595139841</v>
      </c>
      <c r="K134" s="348">
        <f t="shared" si="34"/>
        <v>1.5955493865590196</v>
      </c>
      <c r="L134" s="349">
        <f t="shared" si="35"/>
        <v>0.89342949043324349</v>
      </c>
      <c r="M134" s="337">
        <f t="shared" si="36"/>
        <v>1.0018609747970544</v>
      </c>
      <c r="N134" s="340">
        <f t="shared" si="37"/>
        <v>6.0960533955584158E-2</v>
      </c>
      <c r="O134" s="341">
        <f t="shared" si="38"/>
        <v>1.0000388837657634</v>
      </c>
      <c r="P134" s="342">
        <f t="shared" si="39"/>
        <v>9.4667267462700544E-2</v>
      </c>
      <c r="Q134" s="343">
        <f t="shared" si="40"/>
        <v>19.017515676689815</v>
      </c>
      <c r="R134" s="344">
        <f t="shared" si="41"/>
        <v>-105.98483709088524</v>
      </c>
      <c r="S134" s="346">
        <f t="shared" si="42"/>
        <v>74.015162909114764</v>
      </c>
      <c r="U134" s="319">
        <f t="shared" si="49"/>
        <v>1000000000</v>
      </c>
      <c r="V134" s="319">
        <f t="shared" si="50"/>
        <v>53710576.5625</v>
      </c>
      <c r="X134" s="345">
        <f t="shared" si="43"/>
        <v>27.253999473413209</v>
      </c>
      <c r="Y134" s="346">
        <f t="shared" si="44"/>
        <v>-42.292243886723639</v>
      </c>
      <c r="AA134" s="345">
        <f t="shared" si="45"/>
        <v>54.005019825723636</v>
      </c>
      <c r="AB134" s="346">
        <f t="shared" si="46"/>
        <v>-63.692593204161575</v>
      </c>
      <c r="AD134">
        <f t="shared" si="51"/>
        <v>0</v>
      </c>
      <c r="AE134">
        <f t="shared" si="52"/>
        <v>0</v>
      </c>
    </row>
    <row r="135" spans="1:31" x14ac:dyDescent="0.25">
      <c r="A135" s="347">
        <v>7413.1</v>
      </c>
      <c r="B135" s="364">
        <f t="shared" si="48"/>
        <v>7.4131</v>
      </c>
      <c r="C135" s="337">
        <f t="shared" si="26"/>
        <v>1.9524441727418635</v>
      </c>
      <c r="D135" s="338">
        <f t="shared" si="27"/>
        <v>1.0330769604074286</v>
      </c>
      <c r="E135" s="338">
        <f t="shared" si="28"/>
        <v>1.0000624796191628</v>
      </c>
      <c r="F135" s="339">
        <f t="shared" si="29"/>
        <v>1.1178225820824721E-2</v>
      </c>
      <c r="G135" s="338">
        <f t="shared" si="30"/>
        <v>1</v>
      </c>
      <c r="H135" s="339">
        <f t="shared" si="31"/>
        <v>0</v>
      </c>
      <c r="I135" s="337">
        <f t="shared" si="32"/>
        <v>5367.0295810909201</v>
      </c>
      <c r="J135" s="340">
        <f t="shared" si="33"/>
        <v>1.5706100039899489</v>
      </c>
      <c r="K135" s="348">
        <f t="shared" si="34"/>
        <v>1.6067248570617527</v>
      </c>
      <c r="L135" s="349">
        <f t="shared" si="35"/>
        <v>0.89901135391202236</v>
      </c>
      <c r="M135" s="337">
        <f t="shared" si="36"/>
        <v>1.0019040180297016</v>
      </c>
      <c r="N135" s="340">
        <f t="shared" si="37"/>
        <v>6.1660390195852885E-2</v>
      </c>
      <c r="O135" s="341">
        <f t="shared" si="38"/>
        <v>1.0000400173173443</v>
      </c>
      <c r="P135" s="342">
        <f t="shared" si="39"/>
        <v>9.5760051796716816E-2</v>
      </c>
      <c r="Q135" s="343">
        <f t="shared" si="40"/>
        <v>18.905268063638985</v>
      </c>
      <c r="R135" s="344">
        <f t="shared" si="41"/>
        <v>-106.04977981415828</v>
      </c>
      <c r="S135" s="346">
        <f t="shared" si="42"/>
        <v>73.950220185841715</v>
      </c>
      <c r="U135" s="319">
        <f t="shared" si="49"/>
        <v>1000000000</v>
      </c>
      <c r="V135" s="319">
        <f t="shared" si="50"/>
        <v>54954051.610000007</v>
      </c>
      <c r="X135" s="345">
        <f t="shared" si="43"/>
        <v>27.214852506316063</v>
      </c>
      <c r="Y135" s="346">
        <f t="shared" si="44"/>
        <v>-42.012648345507259</v>
      </c>
      <c r="AA135" s="345">
        <f t="shared" si="45"/>
        <v>53.931919179769949</v>
      </c>
      <c r="AB135" s="346">
        <f t="shared" si="46"/>
        <v>-64.037131468651012</v>
      </c>
      <c r="AD135">
        <f t="shared" si="51"/>
        <v>0</v>
      </c>
      <c r="AE135">
        <f t="shared" si="52"/>
        <v>0</v>
      </c>
    </row>
    <row r="136" spans="1:31" x14ac:dyDescent="0.25">
      <c r="A136" s="347">
        <v>7499.45</v>
      </c>
      <c r="B136" s="364">
        <f t="shared" si="48"/>
        <v>7.4994499999999995</v>
      </c>
      <c r="C136" s="337">
        <f t="shared" si="26"/>
        <v>1.9692462298119155</v>
      </c>
      <c r="D136" s="338">
        <f t="shared" si="27"/>
        <v>1.0381573417893151</v>
      </c>
      <c r="E136" s="338">
        <f t="shared" si="28"/>
        <v>1.000063943612252</v>
      </c>
      <c r="F136" s="339">
        <f t="shared" si="29"/>
        <v>1.1308422092996191E-2</v>
      </c>
      <c r="G136" s="338">
        <f t="shared" si="30"/>
        <v>1</v>
      </c>
      <c r="H136" s="339">
        <f t="shared" si="31"/>
        <v>0</v>
      </c>
      <c r="I136" s="337">
        <f t="shared" si="32"/>
        <v>5429.5463403860676</v>
      </c>
      <c r="J136" s="340">
        <f t="shared" si="33"/>
        <v>1.570612149343787</v>
      </c>
      <c r="K136" s="348">
        <f t="shared" si="34"/>
        <v>1.6182164360252891</v>
      </c>
      <c r="L136" s="349">
        <f t="shared" si="35"/>
        <v>0.90464552656260466</v>
      </c>
      <c r="M136" s="337">
        <f t="shared" si="36"/>
        <v>1.0019485901271199</v>
      </c>
      <c r="N136" s="340">
        <f t="shared" si="37"/>
        <v>6.2376777890688302E-2</v>
      </c>
      <c r="O136" s="341">
        <f t="shared" si="38"/>
        <v>1.0000412023124106</v>
      </c>
      <c r="P136" s="342">
        <f t="shared" si="39"/>
        <v>9.6878860730880381E-2</v>
      </c>
      <c r="Q136" s="343">
        <f t="shared" si="40"/>
        <v>18.791766928137349</v>
      </c>
      <c r="R136" s="344">
        <f t="shared" si="41"/>
        <v>-106.11586215604132</v>
      </c>
      <c r="S136" s="346">
        <f t="shared" si="42"/>
        <v>73.884137843958683</v>
      </c>
      <c r="U136" s="319">
        <f t="shared" si="49"/>
        <v>1000000000</v>
      </c>
      <c r="V136" s="319">
        <f t="shared" si="50"/>
        <v>56241750.302499995</v>
      </c>
      <c r="X136" s="345">
        <f t="shared" si="43"/>
        <v>27.175776906920724</v>
      </c>
      <c r="Y136" s="346">
        <f t="shared" si="44"/>
        <v>-41.731002942388699</v>
      </c>
      <c r="AA136" s="345">
        <f t="shared" si="45"/>
        <v>53.857493643663645</v>
      </c>
      <c r="AB136" s="346">
        <f t="shared" si="46"/>
        <v>-64.384859213652618</v>
      </c>
      <c r="AD136">
        <f t="shared" si="51"/>
        <v>0</v>
      </c>
      <c r="AE136">
        <f t="shared" si="52"/>
        <v>0</v>
      </c>
    </row>
    <row r="137" spans="1:31" x14ac:dyDescent="0.25">
      <c r="A137" s="347">
        <v>7585.8</v>
      </c>
      <c r="B137" s="364">
        <f t="shared" si="48"/>
        <v>7.5857999999999999</v>
      </c>
      <c r="C137" s="337">
        <f t="shared" si="26"/>
        <v>1.9860982529389015</v>
      </c>
      <c r="D137" s="338">
        <f t="shared" si="27"/>
        <v>1.0431516362940709</v>
      </c>
      <c r="E137" s="338">
        <f t="shared" si="28"/>
        <v>1.0000654245574447</v>
      </c>
      <c r="F137" s="339">
        <f t="shared" si="29"/>
        <v>1.1438617981772758E-2</v>
      </c>
      <c r="G137" s="338">
        <f t="shared" si="30"/>
        <v>1</v>
      </c>
      <c r="H137" s="339">
        <f t="shared" si="31"/>
        <v>0</v>
      </c>
      <c r="I137" s="337">
        <f t="shared" si="32"/>
        <v>5492.0630997056351</v>
      </c>
      <c r="J137" s="340">
        <f t="shared" si="33"/>
        <v>1.570614245856027</v>
      </c>
      <c r="K137" s="348">
        <f t="shared" si="34"/>
        <v>1.6297586581404293</v>
      </c>
      <c r="L137" s="349">
        <f t="shared" si="35"/>
        <v>0.91020006916755214</v>
      </c>
      <c r="M137" s="337">
        <f t="shared" si="36"/>
        <v>1.0019936763900041</v>
      </c>
      <c r="N137" s="340">
        <f t="shared" si="37"/>
        <v>6.3093101483166047E-2</v>
      </c>
      <c r="O137" s="341">
        <f t="shared" si="38"/>
        <v>1.0000424125518175</v>
      </c>
      <c r="P137" s="342">
        <f t="shared" si="39"/>
        <v>9.7997786192035932E-2</v>
      </c>
      <c r="Q137" s="343">
        <f t="shared" si="40"/>
        <v>18.679658596781504</v>
      </c>
      <c r="R137" s="344">
        <f t="shared" si="41"/>
        <v>-106.18157477598994</v>
      </c>
      <c r="S137" s="346">
        <f t="shared" si="42"/>
        <v>73.818425224010056</v>
      </c>
      <c r="U137" s="319">
        <f t="shared" si="49"/>
        <v>1000000000</v>
      </c>
      <c r="V137" s="319">
        <f t="shared" si="50"/>
        <v>57544361.640000001</v>
      </c>
      <c r="X137" s="345">
        <f t="shared" si="43"/>
        <v>27.137680358877088</v>
      </c>
      <c r="Y137" s="346">
        <f t="shared" si="44"/>
        <v>-41.453913533600662</v>
      </c>
      <c r="AA137" s="345">
        <f t="shared" si="45"/>
        <v>53.783481860351444</v>
      </c>
      <c r="AB137" s="346">
        <f t="shared" si="46"/>
        <v>-64.727661242389317</v>
      </c>
      <c r="AD137">
        <f t="shared" si="51"/>
        <v>0</v>
      </c>
      <c r="AE137">
        <f t="shared" si="52"/>
        <v>0</v>
      </c>
    </row>
    <row r="138" spans="1:31" x14ac:dyDescent="0.25">
      <c r="A138" s="347">
        <v>7674.15</v>
      </c>
      <c r="B138" s="364">
        <f t="shared" si="48"/>
        <v>7.67415</v>
      </c>
      <c r="C138" s="337">
        <f t="shared" si="26"/>
        <v>2.0033909953205855</v>
      </c>
      <c r="D138" s="338">
        <f t="shared" si="27"/>
        <v>1.0481745149476229</v>
      </c>
      <c r="E138" s="338">
        <f t="shared" si="28"/>
        <v>1.0000669573491534</v>
      </c>
      <c r="F138" s="339">
        <f t="shared" si="29"/>
        <v>1.1571829007954807E-2</v>
      </c>
      <c r="G138" s="338">
        <f t="shared" si="30"/>
        <v>1</v>
      </c>
      <c r="H138" s="339">
        <f t="shared" si="31"/>
        <v>0</v>
      </c>
      <c r="I138" s="337">
        <f t="shared" si="32"/>
        <v>5556.0278442104654</v>
      </c>
      <c r="J138" s="340">
        <f t="shared" si="33"/>
        <v>1.5706163420947765</v>
      </c>
      <c r="K138" s="348">
        <f t="shared" si="34"/>
        <v>1.6416195180495519</v>
      </c>
      <c r="L138" s="349">
        <f t="shared" si="35"/>
        <v>0.91580224394152843</v>
      </c>
      <c r="M138" s="337">
        <f t="shared" si="36"/>
        <v>1.0020403390149952</v>
      </c>
      <c r="N138" s="340">
        <f t="shared" si="37"/>
        <v>6.3825949137385943E-2</v>
      </c>
      <c r="O138" s="341">
        <f t="shared" si="38"/>
        <v>1.0000436773654695</v>
      </c>
      <c r="P138" s="342">
        <f t="shared" si="39"/>
        <v>9.9142749681518233E-2</v>
      </c>
      <c r="Q138" s="343">
        <f t="shared" si="40"/>
        <v>18.56636296991346</v>
      </c>
      <c r="R138" s="344">
        <f t="shared" si="41"/>
        <v>-106.24846188258292</v>
      </c>
      <c r="S138" s="346">
        <f t="shared" si="42"/>
        <v>73.751538117417084</v>
      </c>
      <c r="U138" s="319">
        <f t="shared" si="49"/>
        <v>1000000000</v>
      </c>
      <c r="V138" s="319">
        <f t="shared" si="50"/>
        <v>58892578.222499996</v>
      </c>
      <c r="X138" s="345">
        <f t="shared" si="43"/>
        <v>27.099682165349407</v>
      </c>
      <c r="Y138" s="346">
        <f t="shared" si="44"/>
        <v>-41.17504174588457</v>
      </c>
      <c r="AA138" s="345">
        <f t="shared" si="45"/>
        <v>53.708184427011076</v>
      </c>
      <c r="AB138" s="346">
        <f t="shared" si="46"/>
        <v>-65.073420136698346</v>
      </c>
      <c r="AD138">
        <f t="shared" si="51"/>
        <v>0</v>
      </c>
      <c r="AE138">
        <f t="shared" si="52"/>
        <v>0</v>
      </c>
    </row>
    <row r="139" spans="1:31" x14ac:dyDescent="0.25">
      <c r="A139" s="347">
        <v>7762.5</v>
      </c>
      <c r="B139" s="364">
        <f t="shared" si="48"/>
        <v>7.7625000000000002</v>
      </c>
      <c r="C139" s="337">
        <f t="shared" si="26"/>
        <v>2.0207334160589663</v>
      </c>
      <c r="D139" s="338">
        <f t="shared" si="27"/>
        <v>1.053111301271646</v>
      </c>
      <c r="E139" s="338">
        <f t="shared" si="28"/>
        <v>1.0000685078871734</v>
      </c>
      <c r="F139" s="339">
        <f t="shared" si="29"/>
        <v>1.1705039623431475E-2</v>
      </c>
      <c r="G139" s="338">
        <f t="shared" si="30"/>
        <v>1</v>
      </c>
      <c r="H139" s="339">
        <f t="shared" si="31"/>
        <v>0</v>
      </c>
      <c r="I139" s="337">
        <f t="shared" si="32"/>
        <v>5619.9925887391546</v>
      </c>
      <c r="J139" s="340">
        <f t="shared" si="33"/>
        <v>1.5706183906162474</v>
      </c>
      <c r="K139" s="348">
        <f t="shared" si="34"/>
        <v>1.6535311590770092</v>
      </c>
      <c r="L139" s="349">
        <f t="shared" si="35"/>
        <v>0.92132387649670378</v>
      </c>
      <c r="M139" s="337">
        <f t="shared" si="36"/>
        <v>1.0020875397511784</v>
      </c>
      <c r="N139" s="340">
        <f t="shared" si="37"/>
        <v>6.4558728147347075E-2</v>
      </c>
      <c r="O139" s="341">
        <f t="shared" si="38"/>
        <v>1.0000449694541438</v>
      </c>
      <c r="P139" s="342">
        <f t="shared" si="39"/>
        <v>0.10028783794264491</v>
      </c>
      <c r="Q139" s="343">
        <f t="shared" si="40"/>
        <v>18.454460897972726</v>
      </c>
      <c r="R139" s="344">
        <f t="shared" si="41"/>
        <v>-106.31503149665028</v>
      </c>
      <c r="S139" s="346">
        <f t="shared" si="42"/>
        <v>73.684968503349722</v>
      </c>
      <c r="U139" s="319">
        <f t="shared" si="49"/>
        <v>1000000000</v>
      </c>
      <c r="V139" s="319">
        <f t="shared" si="50"/>
        <v>60256406.25</v>
      </c>
      <c r="X139" s="345">
        <f t="shared" si="43"/>
        <v>27.062643966290942</v>
      </c>
      <c r="Y139" s="346">
        <f t="shared" si="44"/>
        <v>-40.900778020358651</v>
      </c>
      <c r="AA139" s="345">
        <f t="shared" si="45"/>
        <v>53.633320554128815</v>
      </c>
      <c r="AB139" s="346">
        <f t="shared" si="46"/>
        <v>-65.414253476291606</v>
      </c>
      <c r="AD139">
        <f t="shared" si="51"/>
        <v>0</v>
      </c>
      <c r="AE139">
        <f t="shared" si="52"/>
        <v>0</v>
      </c>
    </row>
    <row r="140" spans="1:31" x14ac:dyDescent="0.25">
      <c r="A140" s="347">
        <v>7852.9</v>
      </c>
      <c r="B140" s="364">
        <f t="shared" si="48"/>
        <v>7.8529</v>
      </c>
      <c r="C140" s="337">
        <f t="shared" si="26"/>
        <v>2.0385283341617249</v>
      </c>
      <c r="D140" s="338">
        <f t="shared" si="27"/>
        <v>1.0580755689587915</v>
      </c>
      <c r="E140" s="338">
        <f t="shared" si="28"/>
        <v>1.0000701127712472</v>
      </c>
      <c r="F140" s="339">
        <f t="shared" si="29"/>
        <v>1.1841340717320297E-2</v>
      </c>
      <c r="G140" s="338">
        <f t="shared" si="30"/>
        <v>1</v>
      </c>
      <c r="H140" s="339">
        <f t="shared" si="31"/>
        <v>0</v>
      </c>
      <c r="I140" s="337">
        <f t="shared" si="32"/>
        <v>5685.4415180826882</v>
      </c>
      <c r="J140" s="340">
        <f t="shared" si="33"/>
        <v>1.5706204389589256</v>
      </c>
      <c r="K140" s="348">
        <f t="shared" si="34"/>
        <v>1.6657706138003028</v>
      </c>
      <c r="L140" s="349">
        <f t="shared" si="35"/>
        <v>0.92689171624316091</v>
      </c>
      <c r="M140" s="337">
        <f t="shared" si="36"/>
        <v>1.0021363925995901</v>
      </c>
      <c r="N140" s="340">
        <f t="shared" si="37"/>
        <v>6.53084380901119E-2</v>
      </c>
      <c r="O140" s="341">
        <f t="shared" si="38"/>
        <v>1.0000463202099956</v>
      </c>
      <c r="P140" s="342">
        <f t="shared" si="39"/>
        <v>0.10145962649546865</v>
      </c>
      <c r="Q140" s="343">
        <f t="shared" si="40"/>
        <v>18.341372277844606</v>
      </c>
      <c r="R140" s="344">
        <f t="shared" si="41"/>
        <v>-106.38285100320275</v>
      </c>
      <c r="S140" s="346">
        <f t="shared" si="42"/>
        <v>73.617148996797255</v>
      </c>
      <c r="U140" s="319">
        <f t="shared" si="49"/>
        <v>1000000000</v>
      </c>
      <c r="V140" s="319">
        <f t="shared" si="50"/>
        <v>61668038.409999996</v>
      </c>
      <c r="X140" s="345">
        <f t="shared" si="43"/>
        <v>27.025707718297674</v>
      </c>
      <c r="Y140" s="346">
        <f t="shared" si="44"/>
        <v>-40.624836878536037</v>
      </c>
      <c r="AA140" s="345">
        <f t="shared" si="45"/>
        <v>53.557168181993966</v>
      </c>
      <c r="AB140" s="346">
        <f t="shared" si="46"/>
        <v>-65.758014124666715</v>
      </c>
      <c r="AD140">
        <f t="shared" si="51"/>
        <v>0</v>
      </c>
      <c r="AE140">
        <f t="shared" si="52"/>
        <v>0</v>
      </c>
    </row>
    <row r="141" spans="1:31" x14ac:dyDescent="0.25">
      <c r="A141" s="347">
        <v>7943.3</v>
      </c>
      <c r="B141" s="364">
        <f t="shared" si="48"/>
        <v>7.9432999999999998</v>
      </c>
      <c r="C141" s="337">
        <f t="shared" ref="C141:C204" si="53">SQRT(1+(A141/pole1)^2)</f>
        <v>2.0563726194840393</v>
      </c>
      <c r="D141" s="338">
        <f t="shared" ref="D141:D204" si="54">ATAN(A141/pole1)</f>
        <v>1.0629537997282654</v>
      </c>
      <c r="E141" s="338">
        <f t="shared" ref="E141:E204" si="55">SQRT(1+(A141/Zero1)^2)</f>
        <v>1.0000717362345524</v>
      </c>
      <c r="F141" s="339">
        <f t="shared" ref="F141:F204" si="56">ATAN(A141/Zero1)</f>
        <v>1.1977641371213401E-2</v>
      </c>
      <c r="G141" s="338">
        <f t="shared" ref="G141:G204" si="57">IF(VIN_nom&gt;Vout, 1, SQRT(1+(A141/z_RHP)^2))</f>
        <v>1</v>
      </c>
      <c r="H141" s="339">
        <f t="shared" ref="H141:H204" si="58">IF(VIN_nom&gt;Vout, 0, -ATAN(A141/z_RHP))</f>
        <v>0</v>
      </c>
      <c r="I141" s="337">
        <f t="shared" ref="I141:I204" si="59">SQRT(1+(A141/Pole2)^2)</f>
        <v>5750.890447449533</v>
      </c>
      <c r="J141" s="340">
        <f t="shared" ref="J141:J204" si="60">ATAN(A141/Pole2)</f>
        <v>1.57062244067862</v>
      </c>
      <c r="K141" s="348">
        <f t="shared" ref="K141:K147" si="61">SQRT(1+(A141/Zero2)^2)</f>
        <v>1.6780609545763703</v>
      </c>
      <c r="L141" s="349">
        <f t="shared" ref="L141:L147" si="62">ATAN(A141/Zero2)</f>
        <v>0.93237816481574787</v>
      </c>
      <c r="M141" s="337">
        <f t="shared" ref="M141:M204" si="63">SQRT(1+(A141/pole4)^2)</f>
        <v>1.0021858086586928</v>
      </c>
      <c r="N141" s="340">
        <f t="shared" ref="N141:N204" si="64">ATAN(A141/pole4)</f>
        <v>6.6058074520370172E-2</v>
      </c>
      <c r="O141" s="341">
        <f t="shared" ref="O141:O204" si="65">SQRT((1-(V141/pterm2))^2+(A141/pterm1)^2)</f>
        <v>1.000047700450543</v>
      </c>
      <c r="P141" s="342">
        <f t="shared" ref="P141:P204" si="66">IF((ATAN((A141/pterm1)/(1-A141^2/pterm2))&gt;0),ATAN((A141/pterm1)/(1-A141^2/pterm2)),PI()+ATAN((A141/pterm1)/(1-A141^2/pterm2)))</f>
        <v>0.10263154865549619</v>
      </c>
      <c r="Q141" s="343">
        <f t="shared" ref="Q141:Q204" si="67">20*LOG10(((E141*K141*G141)/(C141*I141*O141*M141))*Adc)</f>
        <v>18.229677646286156</v>
      </c>
      <c r="R141" s="344">
        <f t="shared" ref="R141:R204" si="68">((F141+L141+H141)-(D141+J141+P141+N141))*radconv</f>
        <v>-106.45040512532465</v>
      </c>
      <c r="S141" s="346">
        <f t="shared" ref="S141:S204" si="69">IF(R141&gt;0,R141,R141+180)</f>
        <v>73.54959487467535</v>
      </c>
      <c r="U141" s="319">
        <f t="shared" si="49"/>
        <v>1000000000</v>
      </c>
      <c r="V141" s="319">
        <f t="shared" si="50"/>
        <v>63096014.890000001</v>
      </c>
      <c r="X141" s="345">
        <f t="shared" ref="X141:X204" si="70">20*LOG10((K141/(I141*M141))*AEA)</f>
        <v>26.989712182400542</v>
      </c>
      <c r="Y141" s="346">
        <f t="shared" ref="Y141:Y204" si="71">(L141-(J141+N141))*radconv</f>
        <v>-40.35355222421456</v>
      </c>
      <c r="AA141" s="345">
        <f t="shared" ref="AA141:AA204" si="72">20*LOG10((E141*G141/(C141*O141))*Acs*Am)</f>
        <v>53.481469086332638</v>
      </c>
      <c r="AB141" s="346">
        <f t="shared" ref="AB141:AB204" si="73">(F141+H141-(D141+P141))*radconv</f>
        <v>-66.096852901110097</v>
      </c>
      <c r="AD141">
        <f t="shared" si="51"/>
        <v>0</v>
      </c>
      <c r="AE141">
        <f t="shared" si="52"/>
        <v>0</v>
      </c>
    </row>
    <row r="142" spans="1:31" x14ac:dyDescent="0.25">
      <c r="A142" s="347">
        <v>8035.8</v>
      </c>
      <c r="B142" s="364">
        <f t="shared" ref="B142:B205" si="74">A142/1000</f>
        <v>8.0358000000000001</v>
      </c>
      <c r="C142" s="337">
        <f t="shared" si="53"/>
        <v>2.0746812011006153</v>
      </c>
      <c r="D142" s="338">
        <f t="shared" si="54"/>
        <v>1.0678583709164995</v>
      </c>
      <c r="E142" s="338">
        <f t="shared" si="55"/>
        <v>1.0000734166425989</v>
      </c>
      <c r="F142" s="339">
        <f t="shared" si="56"/>
        <v>1.2117107840631771E-2</v>
      </c>
      <c r="G142" s="338">
        <f t="shared" si="57"/>
        <v>1</v>
      </c>
      <c r="H142" s="339">
        <f t="shared" si="58"/>
        <v>0</v>
      </c>
      <c r="I142" s="337">
        <f t="shared" si="59"/>
        <v>5817.8597612608182</v>
      </c>
      <c r="J142" s="340">
        <f t="shared" si="60"/>
        <v>1.5706244422796352</v>
      </c>
      <c r="K142" s="348">
        <f t="shared" si="61"/>
        <v>1.6906883163418325</v>
      </c>
      <c r="L142" s="349">
        <f t="shared" si="62"/>
        <v>0.93790932575829022</v>
      </c>
      <c r="M142" s="337">
        <f t="shared" si="63"/>
        <v>1.0022369555581208</v>
      </c>
      <c r="N142" s="340">
        <f t="shared" si="64"/>
        <v>6.6825048109897811E-2</v>
      </c>
      <c r="O142" s="341">
        <f t="shared" si="65"/>
        <v>1.0000491437729888</v>
      </c>
      <c r="P142" s="342">
        <f t="shared" si="66"/>
        <v>0.10383083453917497</v>
      </c>
      <c r="Q142" s="343">
        <f t="shared" si="67"/>
        <v>18.116798550960283</v>
      </c>
      <c r="R142" s="344">
        <f t="shared" si="68"/>
        <v>-106.51928638944689</v>
      </c>
      <c r="S142" s="346">
        <f t="shared" si="69"/>
        <v>73.48071361055311</v>
      </c>
      <c r="U142" s="319">
        <f t="shared" ref="U142:U205" si="75">IF(Q142&lt;0,A142,1000000000)</f>
        <v>1000000000</v>
      </c>
      <c r="V142" s="319">
        <f t="shared" ref="V142:V205" si="76">A142^2</f>
        <v>64574081.640000001</v>
      </c>
      <c r="X142" s="345">
        <f t="shared" si="70"/>
        <v>26.953822211336313</v>
      </c>
      <c r="Y142" s="346">
        <f t="shared" si="71"/>
        <v>-40.080699079055861</v>
      </c>
      <c r="AA142" s="345">
        <f t="shared" si="72"/>
        <v>53.404479962070994</v>
      </c>
      <c r="AB142" s="346">
        <f t="shared" si="73"/>
        <v>-66.438587310391014</v>
      </c>
      <c r="AD142">
        <f t="shared" ref="AD142:AD205" si="77">SUM((Q143&lt;0)*(Q142&gt;0))*A142</f>
        <v>0</v>
      </c>
      <c r="AE142">
        <f t="shared" si="52"/>
        <v>0</v>
      </c>
    </row>
    <row r="143" spans="1:31" x14ac:dyDescent="0.25">
      <c r="A143" s="347">
        <v>8128.3</v>
      </c>
      <c r="B143" s="364">
        <f t="shared" si="74"/>
        <v>8.1282999999999994</v>
      </c>
      <c r="C143" s="337">
        <f t="shared" si="53"/>
        <v>2.0930388150101988</v>
      </c>
      <c r="D143" s="338">
        <f t="shared" si="54"/>
        <v>1.072677022355345</v>
      </c>
      <c r="E143" s="338">
        <f t="shared" si="55"/>
        <v>1.000075116502904</v>
      </c>
      <c r="F143" s="339">
        <f t="shared" si="56"/>
        <v>1.2256573838651454E-2</v>
      </c>
      <c r="G143" s="338">
        <f t="shared" si="57"/>
        <v>1</v>
      </c>
      <c r="H143" s="339">
        <f t="shared" si="58"/>
        <v>0</v>
      </c>
      <c r="I143" s="337">
        <f t="shared" si="59"/>
        <v>5884.8290750948827</v>
      </c>
      <c r="J143" s="340">
        <f t="shared" si="60"/>
        <v>1.570626398324239</v>
      </c>
      <c r="K143" s="348">
        <f t="shared" si="61"/>
        <v>1.7033666347876404</v>
      </c>
      <c r="L143" s="349">
        <f t="shared" si="62"/>
        <v>0.94335831344293519</v>
      </c>
      <c r="M143" s="337">
        <f t="shared" si="63"/>
        <v>1.0022886919615484</v>
      </c>
      <c r="N143" s="340">
        <f t="shared" si="64"/>
        <v>6.7591942970819441E-2</v>
      </c>
      <c r="O143" s="341">
        <f t="shared" si="65"/>
        <v>1.0000506189845939</v>
      </c>
      <c r="P143" s="342">
        <f t="shared" si="66"/>
        <v>0.10503026349525288</v>
      </c>
      <c r="Q143" s="343">
        <f t="shared" si="67"/>
        <v>18.005313525346509</v>
      </c>
      <c r="R143" s="344">
        <f t="shared" si="68"/>
        <v>-106.58795409886527</v>
      </c>
      <c r="S143" s="346">
        <f t="shared" si="69"/>
        <v>73.412045901134732</v>
      </c>
      <c r="U143" s="319">
        <f t="shared" si="75"/>
        <v>1000000000</v>
      </c>
      <c r="V143" s="319">
        <f t="shared" si="76"/>
        <v>66069260.890000001</v>
      </c>
      <c r="X143" s="345">
        <f t="shared" si="70"/>
        <v>26.918853445839925</v>
      </c>
      <c r="Y143" s="346">
        <f t="shared" si="71"/>
        <v>-39.812546993761956</v>
      </c>
      <c r="AA143" s="345">
        <f t="shared" si="72"/>
        <v>53.327963701953607</v>
      </c>
      <c r="AB143" s="346">
        <f t="shared" si="73"/>
        <v>-66.775407105103312</v>
      </c>
      <c r="AD143">
        <f t="shared" si="77"/>
        <v>0</v>
      </c>
      <c r="AE143">
        <f t="shared" si="52"/>
        <v>0</v>
      </c>
    </row>
    <row r="144" spans="1:31" x14ac:dyDescent="0.25">
      <c r="A144" s="347">
        <v>8222.9500000000007</v>
      </c>
      <c r="B144" s="364">
        <f t="shared" si="74"/>
        <v>8.2229500000000009</v>
      </c>
      <c r="C144" s="337">
        <f t="shared" si="53"/>
        <v>2.1118725405960395</v>
      </c>
      <c r="D144" s="338">
        <f t="shared" si="54"/>
        <v>1.0775208433358072</v>
      </c>
      <c r="E144" s="338">
        <f t="shared" si="55"/>
        <v>1.0000768760090855</v>
      </c>
      <c r="F144" s="339">
        <f t="shared" si="56"/>
        <v>1.2399280985168945E-2</v>
      </c>
      <c r="G144" s="338">
        <f t="shared" si="57"/>
        <v>1</v>
      </c>
      <c r="H144" s="339">
        <f t="shared" si="58"/>
        <v>0</v>
      </c>
      <c r="I144" s="337">
        <f t="shared" si="59"/>
        <v>5953.3549730030027</v>
      </c>
      <c r="J144" s="340">
        <f t="shared" si="60"/>
        <v>1.570628354280367</v>
      </c>
      <c r="K144" s="348">
        <f t="shared" si="61"/>
        <v>1.7163912075665131</v>
      </c>
      <c r="L144" s="349">
        <f t="shared" si="62"/>
        <v>0.9488504587175236</v>
      </c>
      <c r="M144" s="337">
        <f t="shared" si="63"/>
        <v>1.0023422410077729</v>
      </c>
      <c r="N144" s="340">
        <f t="shared" si="64"/>
        <v>6.8376580532601802E-2</v>
      </c>
      <c r="O144" s="341">
        <f t="shared" si="65"/>
        <v>1.0000521620412439</v>
      </c>
      <c r="P144" s="342">
        <f t="shared" si="66"/>
        <v>0.10625772084821028</v>
      </c>
      <c r="Q144" s="343">
        <f t="shared" si="67"/>
        <v>17.892647334750411</v>
      </c>
      <c r="R144" s="344">
        <f t="shared" si="68"/>
        <v>-106.65802795055967</v>
      </c>
      <c r="S144" s="346">
        <f t="shared" si="69"/>
        <v>73.341972049440329</v>
      </c>
      <c r="U144" s="319">
        <f t="shared" si="75"/>
        <v>1000000000</v>
      </c>
      <c r="V144" s="319">
        <f t="shared" si="76"/>
        <v>67616906.702500015</v>
      </c>
      <c r="X144" s="345">
        <f t="shared" si="70"/>
        <v>26.883993796345482</v>
      </c>
      <c r="Y144" s="346">
        <f t="shared" si="71"/>
        <v>-39.542938737515861</v>
      </c>
      <c r="AA144" s="345">
        <f t="shared" si="72"/>
        <v>53.250157160851955</v>
      </c>
      <c r="AB144" s="346">
        <f t="shared" si="73"/>
        <v>-67.115089213043802</v>
      </c>
      <c r="AD144">
        <f t="shared" si="77"/>
        <v>0</v>
      </c>
      <c r="AE144">
        <f t="shared" si="52"/>
        <v>0</v>
      </c>
    </row>
    <row r="145" spans="1:31" x14ac:dyDescent="0.25">
      <c r="A145" s="347">
        <v>8270.2750000000015</v>
      </c>
      <c r="B145" s="364">
        <f t="shared" si="74"/>
        <v>8.2702750000000016</v>
      </c>
      <c r="C145" s="337">
        <f t="shared" si="53"/>
        <v>2.121307737074285</v>
      </c>
      <c r="D145" s="338">
        <f t="shared" si="54"/>
        <v>1.0799104719482813</v>
      </c>
      <c r="E145" s="338">
        <f t="shared" si="55"/>
        <v>1.0000777633997417</v>
      </c>
      <c r="F145" s="339">
        <f t="shared" si="56"/>
        <v>1.2470634369395188E-2</v>
      </c>
      <c r="G145" s="338">
        <f t="shared" si="57"/>
        <v>1</v>
      </c>
      <c r="H145" s="339">
        <f t="shared" si="58"/>
        <v>0</v>
      </c>
      <c r="I145" s="337">
        <f t="shared" si="59"/>
        <v>5987.6179219654568</v>
      </c>
      <c r="J145" s="340">
        <f t="shared" si="60"/>
        <v>1.5706293154695781</v>
      </c>
      <c r="K145" s="348">
        <f t="shared" si="61"/>
        <v>1.7229226883875144</v>
      </c>
      <c r="L145" s="349">
        <f t="shared" si="62"/>
        <v>0.95156535171260281</v>
      </c>
      <c r="M145" s="337">
        <f t="shared" si="63"/>
        <v>1.002369246924097</v>
      </c>
      <c r="N145" s="340">
        <f t="shared" si="64"/>
        <v>6.8768867754776253E-2</v>
      </c>
      <c r="O145" s="341">
        <f t="shared" si="65"/>
        <v>1.0000529464734049</v>
      </c>
      <c r="P145" s="342">
        <f t="shared" si="66"/>
        <v>0.10687150687013749</v>
      </c>
      <c r="Q145" s="343">
        <f t="shared" si="67"/>
        <v>17.836838911996914</v>
      </c>
      <c r="R145" s="344">
        <f t="shared" si="68"/>
        <v>-106.69300224933345</v>
      </c>
      <c r="S145" s="346">
        <f t="shared" si="69"/>
        <v>73.306997750666554</v>
      </c>
      <c r="U145" s="319">
        <f t="shared" si="75"/>
        <v>1000000000</v>
      </c>
      <c r="V145" s="319">
        <f t="shared" si="76"/>
        <v>68397448.575625017</v>
      </c>
      <c r="X145" s="345">
        <f t="shared" si="70"/>
        <v>26.866903931897951</v>
      </c>
      <c r="Y145" s="346">
        <f t="shared" si="71"/>
        <v>-39.40991830118881</v>
      </c>
      <c r="AA145" s="345">
        <f t="shared" si="72"/>
        <v>53.211438602545996</v>
      </c>
      <c r="AB145" s="346">
        <f t="shared" si="73"/>
        <v>-67.28308394814465</v>
      </c>
      <c r="AD145">
        <f t="shared" si="77"/>
        <v>0</v>
      </c>
      <c r="AE145">
        <f t="shared" si="52"/>
        <v>0</v>
      </c>
    </row>
    <row r="146" spans="1:31" x14ac:dyDescent="0.25">
      <c r="A146" s="347">
        <v>8317.6</v>
      </c>
      <c r="B146" s="364">
        <f t="shared" si="74"/>
        <v>8.3176000000000005</v>
      </c>
      <c r="C146" s="337">
        <f t="shared" si="53"/>
        <v>2.1307549395904779</v>
      </c>
      <c r="D146" s="338">
        <f t="shared" si="54"/>
        <v>1.0822789240261756</v>
      </c>
      <c r="E146" s="338">
        <f t="shared" si="55"/>
        <v>1.0000786558820904</v>
      </c>
      <c r="F146" s="339">
        <f t="shared" si="56"/>
        <v>1.2541987626631453E-2</v>
      </c>
      <c r="G146" s="338">
        <f t="shared" si="57"/>
        <v>1</v>
      </c>
      <c r="H146" s="339">
        <f t="shared" si="58"/>
        <v>0</v>
      </c>
      <c r="I146" s="337">
        <f t="shared" si="59"/>
        <v>6021.8808709333798</v>
      </c>
      <c r="J146" s="340">
        <f t="shared" si="60"/>
        <v>1.5706302657209517</v>
      </c>
      <c r="K146" s="348">
        <f t="shared" si="61"/>
        <v>1.7294667722857671</v>
      </c>
      <c r="L146" s="349">
        <f t="shared" si="62"/>
        <v>0.9542597188173545</v>
      </c>
      <c r="M146" s="337">
        <f t="shared" si="63"/>
        <v>1.0023964070859621</v>
      </c>
      <c r="N146" s="340">
        <f t="shared" si="64"/>
        <v>6.9161133779087974E-2</v>
      </c>
      <c r="O146" s="341">
        <f t="shared" si="65"/>
        <v>1.0000537396034745</v>
      </c>
      <c r="P146" s="342">
        <f t="shared" si="66"/>
        <v>0.10748533140931946</v>
      </c>
      <c r="Q146" s="343">
        <f t="shared" si="67"/>
        <v>17.781374912366861</v>
      </c>
      <c r="R146" s="344">
        <f t="shared" si="68"/>
        <v>-106.72793964184976</v>
      </c>
      <c r="S146" s="346">
        <f t="shared" si="69"/>
        <v>73.272060358150242</v>
      </c>
      <c r="U146" s="319">
        <f t="shared" si="75"/>
        <v>1000000000</v>
      </c>
      <c r="V146" s="319">
        <f t="shared" si="76"/>
        <v>69182469.760000005</v>
      </c>
      <c r="X146" s="345">
        <f t="shared" si="70"/>
        <v>26.850035628299317</v>
      </c>
      <c r="Y146" s="346">
        <f t="shared" si="71"/>
        <v>-39.278072070509623</v>
      </c>
      <c r="AA146" s="345">
        <f t="shared" si="72"/>
        <v>53.172842906514568</v>
      </c>
      <c r="AB146" s="346">
        <f t="shared" si="73"/>
        <v>-67.449867571340093</v>
      </c>
      <c r="AD146">
        <f t="shared" si="77"/>
        <v>0</v>
      </c>
      <c r="AE146">
        <f t="shared" si="52"/>
        <v>0</v>
      </c>
    </row>
    <row r="147" spans="1:31" x14ac:dyDescent="0.25">
      <c r="A147" s="347">
        <v>8366.0499999999993</v>
      </c>
      <c r="B147" s="364">
        <f t="shared" si="74"/>
        <v>8.3660499999999995</v>
      </c>
      <c r="C147" s="337">
        <f t="shared" si="53"/>
        <v>2.1404389905744221</v>
      </c>
      <c r="D147" s="338">
        <f t="shared" si="54"/>
        <v>1.0846820060514282</v>
      </c>
      <c r="E147" s="338">
        <f t="shared" si="55"/>
        <v>1.0000795748550173</v>
      </c>
      <c r="F147" s="339">
        <f t="shared" si="56"/>
        <v>1.2615036946259921E-2</v>
      </c>
      <c r="G147" s="338">
        <f t="shared" si="57"/>
        <v>1</v>
      </c>
      <c r="H147" s="339">
        <f t="shared" si="58"/>
        <v>0</v>
      </c>
      <c r="I147" s="337">
        <f t="shared" si="59"/>
        <v>6056.958311562209</v>
      </c>
      <c r="J147" s="340">
        <f t="shared" si="60"/>
        <v>1.5706312274243703</v>
      </c>
      <c r="K147" s="348">
        <f t="shared" si="61"/>
        <v>1.7361793280066029</v>
      </c>
      <c r="L147" s="349">
        <f t="shared" si="62"/>
        <v>0.95699707399923051</v>
      </c>
      <c r="M147" s="337">
        <f t="shared" si="63"/>
        <v>1.0024243726695836</v>
      </c>
      <c r="N147" s="340">
        <f t="shared" si="64"/>
        <v>6.9562702585308819E-2</v>
      </c>
      <c r="O147" s="341">
        <f t="shared" si="65"/>
        <v>1.000054560673389</v>
      </c>
      <c r="P147" s="342">
        <f t="shared" si="66"/>
        <v>0.10811378778321265</v>
      </c>
      <c r="Q147" s="343">
        <f t="shared" si="67"/>
        <v>17.724945121544039</v>
      </c>
      <c r="R147" s="344">
        <f t="shared" si="68"/>
        <v>-106.76367298026028</v>
      </c>
      <c r="S147" s="346">
        <f t="shared" si="69"/>
        <v>73.236327019739718</v>
      </c>
      <c r="U147" s="319">
        <f t="shared" si="75"/>
        <v>1000000000</v>
      </c>
      <c r="V147" s="319">
        <f t="shared" si="76"/>
        <v>69990792.602499992</v>
      </c>
      <c r="X147" s="345">
        <f t="shared" si="70"/>
        <v>26.832991980120205</v>
      </c>
      <c r="Y147" s="346">
        <f t="shared" si="71"/>
        <v>-39.144296470734588</v>
      </c>
      <c r="AA147" s="345">
        <f t="shared" si="72"/>
        <v>53.133456763870861</v>
      </c>
      <c r="AB147" s="346">
        <f t="shared" si="73"/>
        <v>-67.619376509525679</v>
      </c>
      <c r="AD147">
        <f t="shared" si="77"/>
        <v>0</v>
      </c>
      <c r="AE147">
        <f t="shared" si="52"/>
        <v>0</v>
      </c>
    </row>
    <row r="148" spans="1:31" x14ac:dyDescent="0.25">
      <c r="A148" s="350">
        <v>8414.5</v>
      </c>
      <c r="B148" s="364">
        <f t="shared" si="74"/>
        <v>8.4145000000000003</v>
      </c>
      <c r="C148" s="337">
        <f t="shared" si="53"/>
        <v>2.1501352907883309</v>
      </c>
      <c r="D148" s="338">
        <f t="shared" si="54"/>
        <v>1.0870634277364004</v>
      </c>
      <c r="E148" s="338">
        <f t="shared" si="55"/>
        <v>1.0000804991645624</v>
      </c>
      <c r="F148" s="339">
        <f t="shared" si="56"/>
        <v>1.2688086131248701E-2</v>
      </c>
      <c r="G148" s="338">
        <f t="shared" si="57"/>
        <v>1</v>
      </c>
      <c r="H148" s="339">
        <f t="shared" si="58"/>
        <v>0</v>
      </c>
      <c r="I148" s="337">
        <f t="shared" si="59"/>
        <v>6092.0357521965771</v>
      </c>
      <c r="J148" s="340">
        <f t="shared" si="60"/>
        <v>1.5706321780529706</v>
      </c>
      <c r="K148" s="348">
        <f t="shared" ref="K148:K157" si="78">SQRT(1+(A148/Zero2)^2)</f>
        <v>1.7429047928516956</v>
      </c>
      <c r="L148" s="349">
        <f t="shared" ref="L148:L157" si="79">ATAN(A148/Zero2)</f>
        <v>0.95971332376777663</v>
      </c>
      <c r="M148" s="337">
        <f t="shared" si="63"/>
        <v>1.0024524998926254</v>
      </c>
      <c r="N148" s="340">
        <f t="shared" si="64"/>
        <v>6.9964248921514774E-2</v>
      </c>
      <c r="O148" s="341">
        <f t="shared" si="65"/>
        <v>1.0000553910128831</v>
      </c>
      <c r="P148" s="342">
        <f t="shared" si="66"/>
        <v>0.10874228498353668</v>
      </c>
      <c r="Q148" s="343">
        <f t="shared" si="67"/>
        <v>17.668868031267163</v>
      </c>
      <c r="R148" s="344">
        <f t="shared" si="68"/>
        <v>-106.79937494861767</v>
      </c>
      <c r="S148" s="346">
        <f t="shared" si="69"/>
        <v>73.200625051382332</v>
      </c>
      <c r="U148" s="319">
        <f t="shared" si="75"/>
        <v>1000000000</v>
      </c>
      <c r="V148" s="319">
        <f t="shared" si="76"/>
        <v>70803810.25</v>
      </c>
      <c r="X148" s="345">
        <f t="shared" si="70"/>
        <v>26.816172751810502</v>
      </c>
      <c r="Y148" s="346">
        <f t="shared" si="71"/>
        <v>-39.011728200092264</v>
      </c>
      <c r="AA148" s="345">
        <f t="shared" si="72"/>
        <v>53.094198901903688</v>
      </c>
      <c r="AB148" s="346">
        <f t="shared" si="73"/>
        <v>-67.787646748525432</v>
      </c>
      <c r="AD148">
        <f t="shared" si="77"/>
        <v>0</v>
      </c>
      <c r="AE148">
        <f t="shared" si="52"/>
        <v>0</v>
      </c>
    </row>
    <row r="149" spans="1:31" x14ac:dyDescent="0.25">
      <c r="A149" s="350">
        <v>8462.9500000000007</v>
      </c>
      <c r="B149" s="364">
        <f t="shared" si="74"/>
        <v>8.4629500000000011</v>
      </c>
      <c r="C149" s="337">
        <f t="shared" si="53"/>
        <v>2.1598436752588666</v>
      </c>
      <c r="D149" s="338">
        <f t="shared" si="54"/>
        <v>1.0894234539733549</v>
      </c>
      <c r="E149" s="338">
        <f t="shared" si="55"/>
        <v>1.0000814288107103</v>
      </c>
      <c r="F149" s="339">
        <f t="shared" si="56"/>
        <v>1.2761135180818553E-2</v>
      </c>
      <c r="G149" s="338">
        <f t="shared" si="57"/>
        <v>1</v>
      </c>
      <c r="H149" s="339">
        <f t="shared" si="58"/>
        <v>0</v>
      </c>
      <c r="I149" s="337">
        <f t="shared" si="59"/>
        <v>6127.1131928363884</v>
      </c>
      <c r="J149" s="340">
        <f t="shared" si="60"/>
        <v>1.5706331177969612</v>
      </c>
      <c r="K149" s="348">
        <f t="shared" si="78"/>
        <v>1.7496430179566365</v>
      </c>
      <c r="L149" s="349">
        <f t="shared" si="79"/>
        <v>0.96240867165334443</v>
      </c>
      <c r="M149" s="337">
        <f t="shared" si="63"/>
        <v>1.0024807887414815</v>
      </c>
      <c r="N149" s="340">
        <f t="shared" si="64"/>
        <v>7.0365772660112416E-2</v>
      </c>
      <c r="O149" s="341">
        <f t="shared" si="65"/>
        <v>1.0000562307001406</v>
      </c>
      <c r="P149" s="342">
        <f t="shared" si="66"/>
        <v>0.10937082324090106</v>
      </c>
      <c r="Q149" s="343">
        <f t="shared" si="67"/>
        <v>17.613139545110212</v>
      </c>
      <c r="R149" s="344">
        <f t="shared" si="68"/>
        <v>-106.8350490795457</v>
      </c>
      <c r="S149" s="346">
        <f t="shared" si="69"/>
        <v>73.164950920454302</v>
      </c>
      <c r="U149" s="319">
        <f t="shared" si="75"/>
        <v>1000000000</v>
      </c>
      <c r="V149" s="319">
        <f t="shared" si="76"/>
        <v>71621522.702500015</v>
      </c>
      <c r="X149" s="345">
        <f t="shared" si="70"/>
        <v>26.799574115725569</v>
      </c>
      <c r="Y149" s="346">
        <f t="shared" si="71"/>
        <v>-38.880355600740039</v>
      </c>
      <c r="AA149" s="345">
        <f t="shared" si="72"/>
        <v>53.055069051831666</v>
      </c>
      <c r="AB149" s="346">
        <f t="shared" si="73"/>
        <v>-67.954693478805623</v>
      </c>
      <c r="AD149">
        <f t="shared" si="77"/>
        <v>0</v>
      </c>
      <c r="AE149">
        <f t="shared" si="52"/>
        <v>0</v>
      </c>
    </row>
    <row r="150" spans="1:31" x14ac:dyDescent="0.25">
      <c r="A150" s="350">
        <v>8511.4</v>
      </c>
      <c r="B150" s="364">
        <f t="shared" si="74"/>
        <v>8.5114000000000001</v>
      </c>
      <c r="C150" s="337">
        <f t="shared" si="53"/>
        <v>2.1695639817618138</v>
      </c>
      <c r="D150" s="338">
        <f t="shared" si="54"/>
        <v>1.0917623458695751</v>
      </c>
      <c r="E150" s="338">
        <f t="shared" si="55"/>
        <v>1.0000823637934466</v>
      </c>
      <c r="F150" s="339">
        <f t="shared" si="56"/>
        <v>1.2834184094190253E-2</v>
      </c>
      <c r="G150" s="338">
        <f t="shared" si="57"/>
        <v>1</v>
      </c>
      <c r="H150" s="339">
        <f t="shared" si="58"/>
        <v>0</v>
      </c>
      <c r="I150" s="337">
        <f t="shared" si="59"/>
        <v>6162.1906334815476</v>
      </c>
      <c r="J150" s="340">
        <f t="shared" si="60"/>
        <v>1.5706340468422195</v>
      </c>
      <c r="K150" s="348">
        <f t="shared" si="78"/>
        <v>1.7563938564611423</v>
      </c>
      <c r="L150" s="349">
        <f t="shared" si="79"/>
        <v>0.96508331928083635</v>
      </c>
      <c r="M150" s="337">
        <f t="shared" si="63"/>
        <v>1.0025092392024699</v>
      </c>
      <c r="N150" s="340">
        <f t="shared" si="64"/>
        <v>7.0767273673551873E-2</v>
      </c>
      <c r="O150" s="341">
        <f t="shared" si="65"/>
        <v>1.000057079813796</v>
      </c>
      <c r="P150" s="342">
        <f t="shared" si="66"/>
        <v>0.10999940278581324</v>
      </c>
      <c r="Q150" s="343">
        <f t="shared" si="67"/>
        <v>17.557755631163246</v>
      </c>
      <c r="R150" s="344">
        <f t="shared" si="68"/>
        <v>-106.87069879772731</v>
      </c>
      <c r="S150" s="346">
        <f t="shared" si="69"/>
        <v>73.129301202272686</v>
      </c>
      <c r="U150" s="319">
        <f t="shared" si="75"/>
        <v>1000000000</v>
      </c>
      <c r="V150" s="319">
        <f t="shared" si="76"/>
        <v>72443929.959999993</v>
      </c>
      <c r="X150" s="345">
        <f t="shared" si="70"/>
        <v>26.783192321273486</v>
      </c>
      <c r="Y150" s="346">
        <f t="shared" si="71"/>
        <v>-38.750167123763894</v>
      </c>
      <c r="AA150" s="345">
        <f t="shared" si="72"/>
        <v>53.016066932336784</v>
      </c>
      <c r="AB150" s="346">
        <f t="shared" si="73"/>
        <v>-68.120531673963399</v>
      </c>
      <c r="AD150">
        <f t="shared" si="77"/>
        <v>0</v>
      </c>
      <c r="AE150">
        <f t="shared" si="52"/>
        <v>0</v>
      </c>
    </row>
    <row r="151" spans="1:31" x14ac:dyDescent="0.25">
      <c r="A151" s="350">
        <v>8560.9500000000007</v>
      </c>
      <c r="B151" s="364">
        <f t="shared" si="74"/>
        <v>8.5609500000000001</v>
      </c>
      <c r="C151" s="337">
        <f t="shared" si="53"/>
        <v>2.1795171412223424</v>
      </c>
      <c r="D151" s="338">
        <f t="shared" si="54"/>
        <v>1.0941327482105281</v>
      </c>
      <c r="E151" s="338">
        <f t="shared" si="55"/>
        <v>1.0000833255235504</v>
      </c>
      <c r="F151" s="339">
        <f t="shared" si="56"/>
        <v>1.2908891355139602E-2</v>
      </c>
      <c r="G151" s="338">
        <f t="shared" si="57"/>
        <v>1</v>
      </c>
      <c r="H151" s="339">
        <f t="shared" si="58"/>
        <v>0</v>
      </c>
      <c r="I151" s="337">
        <f t="shared" si="59"/>
        <v>6198.0644659734189</v>
      </c>
      <c r="J151" s="340">
        <f t="shared" si="60"/>
        <v>1.5706349861038102</v>
      </c>
      <c r="K151" s="348">
        <f t="shared" si="78"/>
        <v>1.7633108600079446</v>
      </c>
      <c r="L151" s="349">
        <f t="shared" si="79"/>
        <v>0.96779748919671515</v>
      </c>
      <c r="M151" s="337">
        <f t="shared" si="63"/>
        <v>1.0025385027408216</v>
      </c>
      <c r="N151" s="340">
        <f t="shared" si="64"/>
        <v>7.1177866655259533E-2</v>
      </c>
      <c r="O151" s="341">
        <f t="shared" si="65"/>
        <v>1.0000579580378448</v>
      </c>
      <c r="P151" s="342">
        <f t="shared" si="66"/>
        <v>0.11064229643092403</v>
      </c>
      <c r="Q151" s="343">
        <f t="shared" si="67"/>
        <v>17.501466551048356</v>
      </c>
      <c r="R151" s="344">
        <f t="shared" si="68"/>
        <v>-106.90713610905605</v>
      </c>
      <c r="S151" s="346">
        <f t="shared" si="69"/>
        <v>73.092863890943946</v>
      </c>
      <c r="U151" s="319">
        <f t="shared" si="75"/>
        <v>1000000000</v>
      </c>
      <c r="V151" s="319">
        <f t="shared" si="76"/>
        <v>73289864.902500018</v>
      </c>
      <c r="X151" s="345">
        <f t="shared" si="70"/>
        <v>26.76665904999053</v>
      </c>
      <c r="Y151" s="346">
        <f t="shared" si="71"/>
        <v>-38.61823570322646</v>
      </c>
      <c r="AA151" s="345">
        <f t="shared" si="72"/>
        <v>52.976311123504857</v>
      </c>
      <c r="AB151" s="346">
        <f t="shared" si="73"/>
        <v>-68.28890040582958</v>
      </c>
      <c r="AD151">
        <f t="shared" si="77"/>
        <v>0</v>
      </c>
      <c r="AE151">
        <f t="shared" si="52"/>
        <v>0</v>
      </c>
    </row>
    <row r="152" spans="1:31" x14ac:dyDescent="0.25">
      <c r="A152" s="350">
        <v>8610.5</v>
      </c>
      <c r="B152" s="364">
        <f t="shared" si="74"/>
        <v>8.6105</v>
      </c>
      <c r="C152" s="337">
        <f t="shared" si="53"/>
        <v>2.1894824355889835</v>
      </c>
      <c r="D152" s="338">
        <f t="shared" si="54"/>
        <v>1.0964815861689401</v>
      </c>
      <c r="E152" s="338">
        <f t="shared" si="55"/>
        <v>1.0000842928352836</v>
      </c>
      <c r="F152" s="339">
        <f t="shared" si="56"/>
        <v>1.2983598471987661E-2</v>
      </c>
      <c r="G152" s="338">
        <f t="shared" si="57"/>
        <v>1</v>
      </c>
      <c r="H152" s="339">
        <f t="shared" si="58"/>
        <v>0</v>
      </c>
      <c r="I152" s="337">
        <f t="shared" si="59"/>
        <v>6233.9382984706936</v>
      </c>
      <c r="J152" s="340">
        <f t="shared" si="60"/>
        <v>1.570635914555248</v>
      </c>
      <c r="K152" s="348">
        <f t="shared" si="78"/>
        <v>1.7702407518013308</v>
      </c>
      <c r="L152" s="349">
        <f t="shared" si="79"/>
        <v>0.9704904287133217</v>
      </c>
      <c r="M152" s="337">
        <f t="shared" si="63"/>
        <v>1.0025679352838441</v>
      </c>
      <c r="N152" s="340">
        <f t="shared" si="64"/>
        <v>7.1588435598495995E-2</v>
      </c>
      <c r="O152" s="341">
        <f t="shared" si="65"/>
        <v>1.0000588462889841</v>
      </c>
      <c r="P152" s="342">
        <f t="shared" si="66"/>
        <v>0.11128523374696542</v>
      </c>
      <c r="Q152" s="343">
        <f t="shared" si="67"/>
        <v>17.44552953828418</v>
      </c>
      <c r="R152" s="344">
        <f t="shared" si="68"/>
        <v>-106.94355479829036</v>
      </c>
      <c r="S152" s="346">
        <f t="shared" si="69"/>
        <v>73.056445201709636</v>
      </c>
      <c r="U152" s="319">
        <f t="shared" si="75"/>
        <v>1000000000</v>
      </c>
      <c r="V152" s="319">
        <f t="shared" si="76"/>
        <v>74140710.25</v>
      </c>
      <c r="X152" s="345">
        <f t="shared" si="70"/>
        <v>26.750344882730097</v>
      </c>
      <c r="Y152" s="346">
        <f t="shared" si="71"/>
        <v>-38.487518698286991</v>
      </c>
      <c r="AA152" s="345">
        <f t="shared" si="72"/>
        <v>52.936688278001107</v>
      </c>
      <c r="AB152" s="346">
        <f t="shared" si="73"/>
        <v>-68.456036100003345</v>
      </c>
      <c r="AD152">
        <f t="shared" si="77"/>
        <v>0</v>
      </c>
      <c r="AE152">
        <f t="shared" si="52"/>
        <v>0</v>
      </c>
    </row>
    <row r="153" spans="1:31" x14ac:dyDescent="0.25">
      <c r="A153" s="350">
        <v>8660.0499999999993</v>
      </c>
      <c r="B153" s="364">
        <f t="shared" si="74"/>
        <v>8.66005</v>
      </c>
      <c r="C153" s="337">
        <f t="shared" si="53"/>
        <v>2.1994596999195384</v>
      </c>
      <c r="D153" s="338">
        <f t="shared" si="54"/>
        <v>1.0988091271134388</v>
      </c>
      <c r="E153" s="338">
        <f t="shared" si="55"/>
        <v>1.0000852657286294</v>
      </c>
      <c r="F153" s="339">
        <f t="shared" si="56"/>
        <v>1.3058305443900952E-2</v>
      </c>
      <c r="G153" s="338">
        <f t="shared" si="57"/>
        <v>1</v>
      </c>
      <c r="H153" s="339">
        <f t="shared" si="58"/>
        <v>0</v>
      </c>
      <c r="I153" s="337">
        <f t="shared" si="59"/>
        <v>6269.8121309732824</v>
      </c>
      <c r="J153" s="340">
        <f t="shared" si="60"/>
        <v>1.5706368323820896</v>
      </c>
      <c r="K153" s="348">
        <f t="shared" si="78"/>
        <v>1.7771833810732633</v>
      </c>
      <c r="L153" s="349">
        <f t="shared" si="79"/>
        <v>0.97316234735508755</v>
      </c>
      <c r="M153" s="337">
        <f t="shared" si="63"/>
        <v>1.0025975368166535</v>
      </c>
      <c r="N153" s="340">
        <f t="shared" si="64"/>
        <v>7.1998980366967807E-2</v>
      </c>
      <c r="O153" s="341">
        <f t="shared" si="65"/>
        <v>1.0000597446527906</v>
      </c>
      <c r="P153" s="342">
        <f t="shared" si="66"/>
        <v>0.11192821498016904</v>
      </c>
      <c r="Q153" s="343">
        <f t="shared" si="67"/>
        <v>17.389940481374307</v>
      </c>
      <c r="R153" s="344">
        <f t="shared" si="68"/>
        <v>-106.97995819663691</v>
      </c>
      <c r="S153" s="346">
        <f t="shared" si="69"/>
        <v>73.020041803363085</v>
      </c>
      <c r="U153" s="319">
        <f t="shared" si="75"/>
        <v>1000000000</v>
      </c>
      <c r="V153" s="319">
        <f t="shared" si="76"/>
        <v>74996466.002499983</v>
      </c>
      <c r="X153" s="345">
        <f t="shared" si="70"/>
        <v>26.734246046208689</v>
      </c>
      <c r="Y153" s="346">
        <f t="shared" si="71"/>
        <v>-38.358004106902456</v>
      </c>
      <c r="AA153" s="345">
        <f t="shared" si="72"/>
        <v>52.897198057612641</v>
      </c>
      <c r="AB153" s="346">
        <f t="shared" si="73"/>
        <v>-68.621954089734459</v>
      </c>
      <c r="AD153">
        <f t="shared" si="77"/>
        <v>0</v>
      </c>
      <c r="AE153">
        <f t="shared" si="52"/>
        <v>0</v>
      </c>
    </row>
    <row r="154" spans="1:31" x14ac:dyDescent="0.25">
      <c r="A154" s="350">
        <v>8709.6</v>
      </c>
      <c r="B154" s="364">
        <f t="shared" si="74"/>
        <v>8.7096</v>
      </c>
      <c r="C154" s="337">
        <f t="shared" si="53"/>
        <v>2.2094487720547953</v>
      </c>
      <c r="D154" s="338">
        <f t="shared" si="54"/>
        <v>1.1011156345092037</v>
      </c>
      <c r="E154" s="338">
        <f t="shared" si="55"/>
        <v>1.0000862442035721</v>
      </c>
      <c r="F154" s="339">
        <f t="shared" si="56"/>
        <v>1.3133012270045997E-2</v>
      </c>
      <c r="G154" s="338">
        <f t="shared" si="57"/>
        <v>1</v>
      </c>
      <c r="H154" s="339">
        <f t="shared" si="58"/>
        <v>0</v>
      </c>
      <c r="I154" s="337">
        <f t="shared" si="59"/>
        <v>6305.6859634810917</v>
      </c>
      <c r="J154" s="340">
        <f t="shared" si="60"/>
        <v>1.5706377397656688</v>
      </c>
      <c r="K154" s="348">
        <f t="shared" si="78"/>
        <v>1.7841385991274676</v>
      </c>
      <c r="L154" s="349">
        <f t="shared" si="79"/>
        <v>0.9758134525887987</v>
      </c>
      <c r="M154" s="337">
        <f t="shared" si="63"/>
        <v>1.0026273073242822</v>
      </c>
      <c r="N154" s="340">
        <f t="shared" si="64"/>
        <v>7.2409500824430165E-2</v>
      </c>
      <c r="O154" s="341">
        <f t="shared" si="65"/>
        <v>1.0000606532153347</v>
      </c>
      <c r="P154" s="342">
        <f t="shared" si="66"/>
        <v>0.11257124037665213</v>
      </c>
      <c r="Q154" s="343">
        <f t="shared" si="67"/>
        <v>17.334695334056935</v>
      </c>
      <c r="R154" s="344">
        <f t="shared" si="68"/>
        <v>-107.01634952929999</v>
      </c>
      <c r="S154" s="346">
        <f t="shared" si="69"/>
        <v>72.983650470700013</v>
      </c>
      <c r="U154" s="319">
        <f t="shared" si="75"/>
        <v>1000000000</v>
      </c>
      <c r="V154" s="319">
        <f t="shared" si="76"/>
        <v>75857132.160000011</v>
      </c>
      <c r="X154" s="345">
        <f t="shared" si="70"/>
        <v>26.718358843863804</v>
      </c>
      <c r="Y154" s="346">
        <f t="shared" si="71"/>
        <v>-38.229680044684983</v>
      </c>
      <c r="AA154" s="345">
        <f t="shared" si="72"/>
        <v>52.857840112640162</v>
      </c>
      <c r="AB154" s="346">
        <f t="shared" si="73"/>
        <v>-68.78666948461499</v>
      </c>
      <c r="AD154">
        <f t="shared" si="77"/>
        <v>0</v>
      </c>
      <c r="AE154">
        <f t="shared" ref="AE154:AE217" si="80">IF(AD154&gt;0,S154,0)</f>
        <v>0</v>
      </c>
    </row>
    <row r="155" spans="1:31" x14ac:dyDescent="0.25">
      <c r="A155" s="350">
        <v>8760.3250000000007</v>
      </c>
      <c r="B155" s="364">
        <f t="shared" si="74"/>
        <v>8.7603249999999999</v>
      </c>
      <c r="C155" s="337">
        <f t="shared" si="53"/>
        <v>2.2196867839560279</v>
      </c>
      <c r="D155" s="338">
        <f t="shared" si="54"/>
        <v>1.1034553204868118</v>
      </c>
      <c r="E155" s="338">
        <f t="shared" si="55"/>
        <v>1.0000872516631898</v>
      </c>
      <c r="F155" s="339">
        <f t="shared" si="56"/>
        <v>1.3209490498730696E-2</v>
      </c>
      <c r="G155" s="338">
        <f t="shared" si="57"/>
        <v>1</v>
      </c>
      <c r="H155" s="339">
        <f t="shared" si="58"/>
        <v>0</v>
      </c>
      <c r="I155" s="337">
        <f t="shared" si="59"/>
        <v>6342.4104872797216</v>
      </c>
      <c r="J155" s="340">
        <f t="shared" si="60"/>
        <v>1.570638658033761</v>
      </c>
      <c r="K155" s="348">
        <f t="shared" si="78"/>
        <v>1.7912716362002861</v>
      </c>
      <c r="L155" s="349">
        <f t="shared" si="79"/>
        <v>0.97850607945209345</v>
      </c>
      <c r="M155" s="337">
        <f t="shared" si="63"/>
        <v>1.0026579588095554</v>
      </c>
      <c r="N155" s="340">
        <f t="shared" si="64"/>
        <v>7.2829730801457854E-2</v>
      </c>
      <c r="O155" s="341">
        <f t="shared" si="65"/>
        <v>1.0000615939777593</v>
      </c>
      <c r="P155" s="342">
        <f t="shared" si="66"/>
        <v>0.11322956010836413</v>
      </c>
      <c r="Q155" s="343">
        <f t="shared" si="67"/>
        <v>17.278492217223977</v>
      </c>
      <c r="R155" s="344">
        <f t="shared" si="68"/>
        <v>-107.05359458563885</v>
      </c>
      <c r="S155" s="346">
        <f t="shared" si="69"/>
        <v>72.946405414361152</v>
      </c>
      <c r="U155" s="319">
        <f t="shared" si="75"/>
        <v>1000000000</v>
      </c>
      <c r="V155" s="319">
        <f t="shared" si="76"/>
        <v>76743294.105625018</v>
      </c>
      <c r="X155" s="345">
        <f t="shared" si="70"/>
        <v>26.702310342470135</v>
      </c>
      <c r="Y155" s="346">
        <f t="shared" si="71"/>
        <v>-38.09953390646065</v>
      </c>
      <c r="AA155" s="345">
        <f t="shared" si="72"/>
        <v>52.81768549720087</v>
      </c>
      <c r="AB155" s="346">
        <f t="shared" si="73"/>
        <v>-68.954060679178156</v>
      </c>
      <c r="AD155">
        <f t="shared" si="77"/>
        <v>0</v>
      </c>
      <c r="AE155">
        <f t="shared" si="80"/>
        <v>0</v>
      </c>
    </row>
    <row r="156" spans="1:31" x14ac:dyDescent="0.25">
      <c r="A156" s="350">
        <v>8811.0499999999993</v>
      </c>
      <c r="B156" s="364">
        <f t="shared" si="74"/>
        <v>8.8110499999999998</v>
      </c>
      <c r="C156" s="337">
        <f t="shared" si="53"/>
        <v>2.2299368351005282</v>
      </c>
      <c r="D156" s="338">
        <f t="shared" si="54"/>
        <v>1.105773510016929</v>
      </c>
      <c r="E156" s="338">
        <f t="shared" si="55"/>
        <v>1.0000882649722254</v>
      </c>
      <c r="F156" s="339">
        <f t="shared" si="56"/>
        <v>1.3285968572884221E-2</v>
      </c>
      <c r="G156" s="338">
        <f t="shared" si="57"/>
        <v>1</v>
      </c>
      <c r="H156" s="339">
        <f t="shared" si="58"/>
        <v>0</v>
      </c>
      <c r="I156" s="337">
        <f t="shared" si="59"/>
        <v>6379.1350110836365</v>
      </c>
      <c r="J156" s="340">
        <f t="shared" si="60"/>
        <v>1.5706395657289594</v>
      </c>
      <c r="K156" s="348">
        <f t="shared" si="78"/>
        <v>1.7984175573451981</v>
      </c>
      <c r="L156" s="349">
        <f t="shared" si="79"/>
        <v>0.98117732752149489</v>
      </c>
      <c r="M156" s="337">
        <f t="shared" si="63"/>
        <v>1.0026887873465964</v>
      </c>
      <c r="N156" s="340">
        <f t="shared" si="64"/>
        <v>7.3249935012016182E-2</v>
      </c>
      <c r="O156" s="341">
        <f t="shared" si="65"/>
        <v>1.0000625456124752</v>
      </c>
      <c r="P156" s="342">
        <f t="shared" si="66"/>
        <v>0.11388792664431714</v>
      </c>
      <c r="Q156" s="343">
        <f t="shared" si="67"/>
        <v>17.22264113647109</v>
      </c>
      <c r="R156" s="344">
        <f t="shared" si="68"/>
        <v>-107.09083350937038</v>
      </c>
      <c r="S156" s="346">
        <f t="shared" si="69"/>
        <v>72.909166490629616</v>
      </c>
      <c r="U156" s="319">
        <f t="shared" si="75"/>
        <v>1000000000</v>
      </c>
      <c r="V156" s="319">
        <f t="shared" si="76"/>
        <v>77634602.102499992</v>
      </c>
      <c r="X156" s="345">
        <f t="shared" si="70"/>
        <v>26.686476030271763</v>
      </c>
      <c r="Y156" s="346">
        <f t="shared" si="71"/>
        <v>-37.970610600806729</v>
      </c>
      <c r="AA156" s="345">
        <f t="shared" si="72"/>
        <v>52.777668728646354</v>
      </c>
      <c r="AB156" s="346">
        <f t="shared" si="73"/>
        <v>-69.120222908563619</v>
      </c>
      <c r="AD156">
        <f t="shared" si="77"/>
        <v>0</v>
      </c>
      <c r="AE156">
        <f t="shared" si="80"/>
        <v>0</v>
      </c>
    </row>
    <row r="157" spans="1:31" x14ac:dyDescent="0.25">
      <c r="A157" s="350">
        <v>8861.7749999999996</v>
      </c>
      <c r="B157" s="364">
        <f t="shared" si="74"/>
        <v>8.8617749999999997</v>
      </c>
      <c r="C157" s="337">
        <f t="shared" si="53"/>
        <v>2.2401987602312805</v>
      </c>
      <c r="D157" s="338">
        <f t="shared" si="54"/>
        <v>1.1080704734248379</v>
      </c>
      <c r="E157" s="338">
        <f t="shared" si="55"/>
        <v>1.0000892841306612</v>
      </c>
      <c r="F157" s="339">
        <f t="shared" si="56"/>
        <v>1.336244649161243E-2</v>
      </c>
      <c r="G157" s="338">
        <f t="shared" si="57"/>
        <v>1</v>
      </c>
      <c r="H157" s="339">
        <f t="shared" si="58"/>
        <v>0</v>
      </c>
      <c r="I157" s="337">
        <f t="shared" si="59"/>
        <v>6415.8595348927474</v>
      </c>
      <c r="J157" s="340">
        <f t="shared" si="60"/>
        <v>1.5706404630328223</v>
      </c>
      <c r="K157" s="348">
        <f t="shared" si="78"/>
        <v>1.8055762095885013</v>
      </c>
      <c r="L157" s="349">
        <f t="shared" si="79"/>
        <v>0.98382741273238472</v>
      </c>
      <c r="M157" s="337">
        <f t="shared" si="63"/>
        <v>1.0027197929190745</v>
      </c>
      <c r="N157" s="340">
        <f t="shared" si="64"/>
        <v>7.3670113310096402E-2</v>
      </c>
      <c r="O157" s="341">
        <f t="shared" si="65"/>
        <v>1.0000635082134293</v>
      </c>
      <c r="P157" s="342">
        <f t="shared" si="66"/>
        <v>0.11454634024817867</v>
      </c>
      <c r="Q157" s="343">
        <f t="shared" si="67"/>
        <v>17.167137955013665</v>
      </c>
      <c r="R157" s="344">
        <f t="shared" si="68"/>
        <v>-107.12806943400153</v>
      </c>
      <c r="S157" s="346">
        <f t="shared" si="69"/>
        <v>72.871930565998468</v>
      </c>
      <c r="U157" s="319">
        <f t="shared" si="75"/>
        <v>1000000000</v>
      </c>
      <c r="V157" s="319">
        <f t="shared" si="76"/>
        <v>78531056.15062499</v>
      </c>
      <c r="X157" s="345">
        <f t="shared" si="70"/>
        <v>26.670852179737089</v>
      </c>
      <c r="Y157" s="346">
        <f t="shared" si="71"/>
        <v>-37.842897757574043</v>
      </c>
      <c r="AA157" s="345">
        <f t="shared" si="72"/>
        <v>52.737789397723603</v>
      </c>
      <c r="AB157" s="346">
        <f t="shared" si="73"/>
        <v>-69.285171676427467</v>
      </c>
      <c r="AD157">
        <f t="shared" si="77"/>
        <v>0</v>
      </c>
      <c r="AE157">
        <f t="shared" si="80"/>
        <v>0</v>
      </c>
    </row>
    <row r="158" spans="1:31" x14ac:dyDescent="0.25">
      <c r="A158" s="347">
        <v>8912.5</v>
      </c>
      <c r="B158" s="364">
        <f t="shared" si="74"/>
        <v>8.9124999999999996</v>
      </c>
      <c r="C158" s="337">
        <f t="shared" si="53"/>
        <v>2.2504723969157827</v>
      </c>
      <c r="D158" s="338">
        <f t="shared" si="54"/>
        <v>1.1103464770040725</v>
      </c>
      <c r="E158" s="338">
        <f t="shared" si="55"/>
        <v>1.0000903091384794</v>
      </c>
      <c r="F158" s="339">
        <f t="shared" si="56"/>
        <v>1.3438924254021174E-2</v>
      </c>
      <c r="G158" s="338">
        <f t="shared" si="57"/>
        <v>1</v>
      </c>
      <c r="H158" s="339">
        <f t="shared" si="58"/>
        <v>0</v>
      </c>
      <c r="I158" s="337">
        <f t="shared" si="59"/>
        <v>6452.584058706967</v>
      </c>
      <c r="J158" s="340">
        <f t="shared" si="60"/>
        <v>1.5706413501227752</v>
      </c>
      <c r="K158" s="348">
        <f t="shared" ref="K158:K214" si="81">SQRT(1+(A158/Zero2)^2)</f>
        <v>1.8127474421025072</v>
      </c>
      <c r="L158" s="349">
        <f t="shared" ref="L158:L214" si="82">ATAN(A158/Zero2)</f>
        <v>0.98645654880130584</v>
      </c>
      <c r="M158" s="337">
        <f t="shared" si="63"/>
        <v>1.0027509755105679</v>
      </c>
      <c r="N158" s="340">
        <f t="shared" si="64"/>
        <v>7.409026554974428E-2</v>
      </c>
      <c r="O158" s="341">
        <f t="shared" si="65"/>
        <v>1.0000644818751097</v>
      </c>
      <c r="P158" s="342">
        <f t="shared" si="66"/>
        <v>0.1152048011834875</v>
      </c>
      <c r="Q158" s="343">
        <f t="shared" si="67"/>
        <v>17.111978602253465</v>
      </c>
      <c r="R158" s="344">
        <f t="shared" si="68"/>
        <v>-107.16530538892604</v>
      </c>
      <c r="S158" s="346">
        <f t="shared" si="69"/>
        <v>72.834694611073957</v>
      </c>
      <c r="U158" s="319">
        <f t="shared" si="75"/>
        <v>1000000000</v>
      </c>
      <c r="V158" s="319">
        <f t="shared" si="76"/>
        <v>79432656.25</v>
      </c>
      <c r="X158" s="345">
        <f t="shared" si="70"/>
        <v>26.655435139951603</v>
      </c>
      <c r="Y158" s="346">
        <f t="shared" si="71"/>
        <v>-37.716383133509822</v>
      </c>
      <c r="AA158" s="345">
        <f t="shared" si="72"/>
        <v>52.698047084748893</v>
      </c>
      <c r="AB158" s="346">
        <f t="shared" si="73"/>
        <v>-69.448922255416193</v>
      </c>
      <c r="AD158">
        <f t="shared" si="77"/>
        <v>0</v>
      </c>
      <c r="AE158">
        <f t="shared" si="80"/>
        <v>0</v>
      </c>
    </row>
    <row r="159" spans="1:31" x14ac:dyDescent="0.25">
      <c r="A159" s="347">
        <v>8964.4</v>
      </c>
      <c r="B159" s="364">
        <f t="shared" si="74"/>
        <v>8.9643999999999995</v>
      </c>
      <c r="C159" s="337">
        <f t="shared" si="53"/>
        <v>2.2609959684698118</v>
      </c>
      <c r="D159" s="338">
        <f t="shared" si="54"/>
        <v>1.1126537820603868</v>
      </c>
      <c r="E159" s="338">
        <f t="shared" si="55"/>
        <v>1.0000913639438784</v>
      </c>
      <c r="F159" s="339">
        <f t="shared" si="56"/>
        <v>1.3517173393789793E-2</v>
      </c>
      <c r="G159" s="338">
        <f t="shared" si="57"/>
        <v>1</v>
      </c>
      <c r="H159" s="339">
        <f t="shared" si="58"/>
        <v>0</v>
      </c>
      <c r="I159" s="337">
        <f t="shared" si="59"/>
        <v>6490.1592738123672</v>
      </c>
      <c r="J159" s="340">
        <f t="shared" si="60"/>
        <v>1.570642247370684</v>
      </c>
      <c r="K159" s="348">
        <f t="shared" si="81"/>
        <v>1.8200976555746771</v>
      </c>
      <c r="L159" s="349">
        <f t="shared" si="82"/>
        <v>0.98912512442175382</v>
      </c>
      <c r="M159" s="337">
        <f t="shared" si="63"/>
        <v>1.0027830636193777</v>
      </c>
      <c r="N159" s="340">
        <f t="shared" si="64"/>
        <v>7.4520123123369308E-2</v>
      </c>
      <c r="O159" s="341">
        <f t="shared" si="65"/>
        <v>1.0000654896379391</v>
      </c>
      <c r="P159" s="342">
        <f t="shared" si="66"/>
        <v>0.11587856405055538</v>
      </c>
      <c r="Q159" s="343">
        <f t="shared" si="67"/>
        <v>17.055893221691303</v>
      </c>
      <c r="R159" s="344">
        <f t="shared" si="68"/>
        <v>-107.20340696687757</v>
      </c>
      <c r="S159" s="346">
        <f t="shared" si="69"/>
        <v>72.796593033122434</v>
      </c>
      <c r="U159" s="319">
        <f t="shared" si="75"/>
        <v>1000000000</v>
      </c>
      <c r="V159" s="319">
        <f t="shared" si="76"/>
        <v>80360467.359999999</v>
      </c>
      <c r="X159" s="345">
        <f t="shared" si="70"/>
        <v>26.639871300664225</v>
      </c>
      <c r="Y159" s="346">
        <f t="shared" si="71"/>
        <v>-37.588165446278936</v>
      </c>
      <c r="AA159" s="345">
        <f t="shared" si="72"/>
        <v>52.657525543474108</v>
      </c>
      <c r="AB159" s="346">
        <f t="shared" si="73"/>
        <v>-69.615241520598602</v>
      </c>
      <c r="AD159">
        <f t="shared" si="77"/>
        <v>0</v>
      </c>
      <c r="AE159">
        <f t="shared" si="80"/>
        <v>0</v>
      </c>
    </row>
    <row r="160" spans="1:31" x14ac:dyDescent="0.25">
      <c r="A160" s="347">
        <v>9016.2999999999993</v>
      </c>
      <c r="B160" s="364">
        <f t="shared" si="74"/>
        <v>9.0162999999999993</v>
      </c>
      <c r="C160" s="337">
        <f t="shared" si="53"/>
        <v>2.2715314652247458</v>
      </c>
      <c r="D160" s="338">
        <f t="shared" si="54"/>
        <v>1.1149396963587195</v>
      </c>
      <c r="E160" s="338">
        <f t="shared" si="55"/>
        <v>1.0000924248727519</v>
      </c>
      <c r="F160" s="339">
        <f t="shared" si="56"/>
        <v>1.3595422368019326E-2</v>
      </c>
      <c r="G160" s="338">
        <f t="shared" si="57"/>
        <v>1</v>
      </c>
      <c r="H160" s="339">
        <f t="shared" si="58"/>
        <v>0</v>
      </c>
      <c r="I160" s="337">
        <f t="shared" si="59"/>
        <v>6527.7344889229325</v>
      </c>
      <c r="J160" s="340">
        <f t="shared" si="60"/>
        <v>1.5706431342890421</v>
      </c>
      <c r="K160" s="348">
        <f t="shared" si="81"/>
        <v>1.827460726182826</v>
      </c>
      <c r="L160" s="349">
        <f t="shared" si="82"/>
        <v>0.99177221470863974</v>
      </c>
      <c r="M160" s="337">
        <f t="shared" si="63"/>
        <v>1.002815337008091</v>
      </c>
      <c r="N160" s="340">
        <f t="shared" si="64"/>
        <v>7.4949953108386674E-2</v>
      </c>
      <c r="O160" s="341">
        <f t="shared" si="65"/>
        <v>1.0000665091817156</v>
      </c>
      <c r="P160" s="342">
        <f t="shared" si="66"/>
        <v>0.1165523770250039</v>
      </c>
      <c r="Q160" s="343">
        <f t="shared" si="67"/>
        <v>17.000159368450355</v>
      </c>
      <c r="R160" s="344">
        <f t="shared" si="68"/>
        <v>-107.24151467148636</v>
      </c>
      <c r="S160" s="346">
        <f t="shared" si="69"/>
        <v>72.758485328513643</v>
      </c>
      <c r="U160" s="319">
        <f t="shared" si="75"/>
        <v>1000000000</v>
      </c>
      <c r="V160" s="319">
        <f t="shared" si="76"/>
        <v>81293665.689999983</v>
      </c>
      <c r="X160" s="345">
        <f t="shared" si="70"/>
        <v>26.624516469587491</v>
      </c>
      <c r="Y160" s="346">
        <f t="shared" si="71"/>
        <v>-37.46117660543355</v>
      </c>
      <c r="AA160" s="345">
        <f t="shared" si="72"/>
        <v>52.617146521309898</v>
      </c>
      <c r="AB160" s="346">
        <f t="shared" si="73"/>
        <v>-69.780338066052806</v>
      </c>
      <c r="AD160">
        <f t="shared" si="77"/>
        <v>0</v>
      </c>
      <c r="AE160">
        <f t="shared" si="80"/>
        <v>0</v>
      </c>
    </row>
    <row r="161" spans="1:31" x14ac:dyDescent="0.25">
      <c r="A161" s="347">
        <v>9068.2000000000007</v>
      </c>
      <c r="B161" s="364">
        <f t="shared" si="74"/>
        <v>9.0682000000000009</v>
      </c>
      <c r="C161" s="337">
        <f t="shared" si="53"/>
        <v>2.2820787220181256</v>
      </c>
      <c r="D161" s="338">
        <f t="shared" si="54"/>
        <v>1.1172044924326441</v>
      </c>
      <c r="E161" s="338">
        <f t="shared" si="55"/>
        <v>1.0000934919250803</v>
      </c>
      <c r="F161" s="339">
        <f t="shared" si="56"/>
        <v>1.367367117575208E-2</v>
      </c>
      <c r="G161" s="338">
        <f t="shared" si="57"/>
        <v>1</v>
      </c>
      <c r="H161" s="339">
        <f t="shared" si="58"/>
        <v>0</v>
      </c>
      <c r="I161" s="337">
        <f t="shared" si="59"/>
        <v>6565.3097040385765</v>
      </c>
      <c r="J161" s="340">
        <f t="shared" si="60"/>
        <v>1.5706440110552062</v>
      </c>
      <c r="K161" s="348">
        <f t="shared" si="81"/>
        <v>1.8348364991425969</v>
      </c>
      <c r="L161" s="349">
        <f t="shared" si="82"/>
        <v>0.99439804144441424</v>
      </c>
      <c r="M161" s="337">
        <f t="shared" si="63"/>
        <v>1.0028477956588195</v>
      </c>
      <c r="N161" s="340">
        <f t="shared" si="64"/>
        <v>7.5379755348642233E-2</v>
      </c>
      <c r="O161" s="341">
        <f t="shared" si="65"/>
        <v>1.0000675406094086</v>
      </c>
      <c r="P161" s="342">
        <f t="shared" si="66"/>
        <v>0.11722624038868978</v>
      </c>
      <c r="Q161" s="343">
        <f t="shared" si="67"/>
        <v>16.944772889191565</v>
      </c>
      <c r="R161" s="344">
        <f t="shared" si="68"/>
        <v>-107.27963142799651</v>
      </c>
      <c r="S161" s="346">
        <f t="shared" si="69"/>
        <v>72.720368572003494</v>
      </c>
      <c r="U161" s="319">
        <f t="shared" si="75"/>
        <v>1000000000</v>
      </c>
      <c r="V161" s="319">
        <f t="shared" si="76"/>
        <v>82232251.24000001</v>
      </c>
      <c r="X161" s="345">
        <f t="shared" si="70"/>
        <v>26.609366973573366</v>
      </c>
      <c r="Y161" s="346">
        <f t="shared" si="71"/>
        <v>-37.335403904990081</v>
      </c>
      <c r="AA161" s="345">
        <f t="shared" si="72"/>
        <v>52.57690953806523</v>
      </c>
      <c r="AB161" s="346">
        <f t="shared" si="73"/>
        <v>-69.944227523006433</v>
      </c>
      <c r="AD161">
        <f t="shared" si="77"/>
        <v>0</v>
      </c>
      <c r="AE161">
        <f t="shared" si="80"/>
        <v>0</v>
      </c>
    </row>
    <row r="162" spans="1:31" x14ac:dyDescent="0.25">
      <c r="A162" s="347">
        <v>9120.1</v>
      </c>
      <c r="B162" s="364">
        <f t="shared" si="74"/>
        <v>9.1201000000000008</v>
      </c>
      <c r="C162" s="337">
        <f t="shared" si="53"/>
        <v>2.2926375765441298</v>
      </c>
      <c r="D162" s="338">
        <f t="shared" si="54"/>
        <v>1.1194484386700552</v>
      </c>
      <c r="E162" s="338">
        <f t="shared" si="55"/>
        <v>1.0000945651008439</v>
      </c>
      <c r="F162" s="339">
        <f t="shared" si="56"/>
        <v>1.375191981603037E-2</v>
      </c>
      <c r="G162" s="338">
        <f t="shared" si="57"/>
        <v>1</v>
      </c>
      <c r="H162" s="339">
        <f t="shared" si="58"/>
        <v>0</v>
      </c>
      <c r="I162" s="337">
        <f t="shared" si="59"/>
        <v>6602.8849191592062</v>
      </c>
      <c r="J162" s="340">
        <f t="shared" si="60"/>
        <v>1.5706448778424968</v>
      </c>
      <c r="K162" s="348">
        <f t="shared" si="81"/>
        <v>1.8422248218835917</v>
      </c>
      <c r="L162" s="349">
        <f t="shared" si="82"/>
        <v>0.99700282403574247</v>
      </c>
      <c r="M162" s="337">
        <f t="shared" si="63"/>
        <v>1.0028804395535755</v>
      </c>
      <c r="N162" s="340">
        <f t="shared" si="64"/>
        <v>7.5809529688042873E-2</v>
      </c>
      <c r="O162" s="341">
        <f t="shared" si="65"/>
        <v>1.0000685840245815</v>
      </c>
      <c r="P162" s="342">
        <f t="shared" si="66"/>
        <v>0.11790015442332515</v>
      </c>
      <c r="Q162" s="343">
        <f t="shared" si="67"/>
        <v>16.889729697543615</v>
      </c>
      <c r="R162" s="344">
        <f t="shared" si="68"/>
        <v>-107.31776006000858</v>
      </c>
      <c r="S162" s="346">
        <f t="shared" si="69"/>
        <v>72.682239939991419</v>
      </c>
      <c r="U162" s="319">
        <f t="shared" si="75"/>
        <v>1000000000</v>
      </c>
      <c r="V162" s="319">
        <f t="shared" si="76"/>
        <v>83176224.010000005</v>
      </c>
      <c r="X162" s="345">
        <f t="shared" si="70"/>
        <v>26.594419215744978</v>
      </c>
      <c r="Y162" s="346">
        <f t="shared" si="71"/>
        <v>-37.210834774859649</v>
      </c>
      <c r="AA162" s="345">
        <f t="shared" si="72"/>
        <v>52.536814104245657</v>
      </c>
      <c r="AB162" s="346">
        <f t="shared" si="73"/>
        <v>-70.106925285148904</v>
      </c>
      <c r="AD162">
        <f t="shared" si="77"/>
        <v>0</v>
      </c>
      <c r="AE162">
        <f t="shared" si="80"/>
        <v>0</v>
      </c>
    </row>
    <row r="163" spans="1:31" x14ac:dyDescent="0.25">
      <c r="A163" s="347">
        <v>9173.2000000000007</v>
      </c>
      <c r="B163" s="364">
        <f t="shared" si="74"/>
        <v>9.1732000000000014</v>
      </c>
      <c r="C163" s="337">
        <f t="shared" si="53"/>
        <v>2.3034524031643855</v>
      </c>
      <c r="D163" s="338">
        <f t="shared" si="54"/>
        <v>1.1217229651624845</v>
      </c>
      <c r="E163" s="338">
        <f t="shared" si="55"/>
        <v>1.0000956694273448</v>
      </c>
      <c r="F163" s="339">
        <f t="shared" si="56"/>
        <v>1.3831977499119252E-2</v>
      </c>
      <c r="G163" s="338">
        <f t="shared" si="57"/>
        <v>1</v>
      </c>
      <c r="H163" s="339">
        <f t="shared" si="58"/>
        <v>0</v>
      </c>
      <c r="I163" s="337">
        <f t="shared" si="59"/>
        <v>6641.3289253859693</v>
      </c>
      <c r="J163" s="340">
        <f t="shared" si="60"/>
        <v>1.5706457545201284</v>
      </c>
      <c r="K163" s="348">
        <f t="shared" si="81"/>
        <v>1.8497968044515423</v>
      </c>
      <c r="L163" s="349">
        <f t="shared" si="82"/>
        <v>0.99964627953896745</v>
      </c>
      <c r="M163" s="337">
        <f t="shared" si="63"/>
        <v>1.0029140299197898</v>
      </c>
      <c r="N163" s="340">
        <f t="shared" si="64"/>
        <v>7.6249211967687747E-2</v>
      </c>
      <c r="O163" s="341">
        <f t="shared" si="65"/>
        <v>1.0000696640800266</v>
      </c>
      <c r="P163" s="342">
        <f t="shared" si="66"/>
        <v>0.11858970302087105</v>
      </c>
      <c r="Q163" s="343">
        <f t="shared" si="67"/>
        <v>16.833764923310564</v>
      </c>
      <c r="R163" s="344">
        <f t="shared" si="68"/>
        <v>-107.35678541072321</v>
      </c>
      <c r="S163" s="346">
        <f t="shared" si="69"/>
        <v>72.643214589276795</v>
      </c>
      <c r="U163" s="319">
        <f t="shared" si="75"/>
        <v>1000000000</v>
      </c>
      <c r="V163" s="319">
        <f t="shared" si="76"/>
        <v>84147598.24000001</v>
      </c>
      <c r="X163" s="345">
        <f t="shared" si="70"/>
        <v>26.579330960642892</v>
      </c>
      <c r="Y163" s="346">
        <f t="shared" si="71"/>
        <v>-37.084618099928626</v>
      </c>
      <c r="AA163" s="345">
        <f t="shared" si="72"/>
        <v>52.495937585114696</v>
      </c>
      <c r="AB163" s="346">
        <f t="shared" si="73"/>
        <v>-70.272167310794572</v>
      </c>
      <c r="AD163">
        <f t="shared" si="77"/>
        <v>0</v>
      </c>
      <c r="AE163">
        <f t="shared" si="80"/>
        <v>0</v>
      </c>
    </row>
    <row r="164" spans="1:31" x14ac:dyDescent="0.25">
      <c r="A164" s="347">
        <v>9226.2999999999993</v>
      </c>
      <c r="B164" s="364">
        <f t="shared" si="74"/>
        <v>9.2262999999999984</v>
      </c>
      <c r="C164" s="337">
        <f t="shared" si="53"/>
        <v>2.3142790352156504</v>
      </c>
      <c r="D164" s="338">
        <f t="shared" si="54"/>
        <v>1.1239762218970175</v>
      </c>
      <c r="E164" s="338">
        <f t="shared" si="55"/>
        <v>1.0000967801636775</v>
      </c>
      <c r="F164" s="339">
        <f t="shared" si="56"/>
        <v>1.3912035004892496E-2</v>
      </c>
      <c r="G164" s="338">
        <f t="shared" si="57"/>
        <v>1</v>
      </c>
      <c r="H164" s="339">
        <f t="shared" si="58"/>
        <v>0</v>
      </c>
      <c r="I164" s="337">
        <f t="shared" si="59"/>
        <v>6679.7729316177747</v>
      </c>
      <c r="J164" s="340">
        <f t="shared" si="60"/>
        <v>1.5706466211066985</v>
      </c>
      <c r="K164" s="348">
        <f t="shared" si="81"/>
        <v>1.8573816076908751</v>
      </c>
      <c r="L164" s="349">
        <f t="shared" si="82"/>
        <v>1.0022681636101967</v>
      </c>
      <c r="M164" s="337">
        <f t="shared" si="63"/>
        <v>1.0029478141568442</v>
      </c>
      <c r="N164" s="340">
        <f t="shared" si="64"/>
        <v>7.6688864710979229E-2</v>
      </c>
      <c r="O164" s="341">
        <f t="shared" si="65"/>
        <v>1.0000707569049192</v>
      </c>
      <c r="P164" s="342">
        <f t="shared" si="66"/>
        <v>0.11927930525575137</v>
      </c>
      <c r="Q164" s="343">
        <f t="shared" si="67"/>
        <v>16.778151049806379</v>
      </c>
      <c r="R164" s="344">
        <f t="shared" si="68"/>
        <v>-107.39582885895926</v>
      </c>
      <c r="S164" s="346">
        <f t="shared" si="69"/>
        <v>72.604171141040737</v>
      </c>
      <c r="U164" s="319">
        <f t="shared" si="75"/>
        <v>1000000000</v>
      </c>
      <c r="V164" s="319">
        <f t="shared" si="76"/>
        <v>85124611.689999983</v>
      </c>
      <c r="X164" s="345">
        <f t="shared" si="70"/>
        <v>26.56444649988844</v>
      </c>
      <c r="Y164" s="346">
        <f t="shared" si="71"/>
        <v>-36.959635106526797</v>
      </c>
      <c r="AA164" s="345">
        <f t="shared" si="72"/>
        <v>52.455208172364969</v>
      </c>
      <c r="AB164" s="346">
        <f t="shared" si="73"/>
        <v>-70.436193752432459</v>
      </c>
      <c r="AD164">
        <f t="shared" si="77"/>
        <v>0</v>
      </c>
      <c r="AE164">
        <f t="shared" si="80"/>
        <v>0</v>
      </c>
    </row>
    <row r="165" spans="1:31" x14ac:dyDescent="0.25">
      <c r="A165" s="347">
        <v>9279.4</v>
      </c>
      <c r="B165" s="364">
        <f t="shared" si="74"/>
        <v>9.279399999999999</v>
      </c>
      <c r="C165" s="337">
        <f t="shared" si="53"/>
        <v>2.3251173077861771</v>
      </c>
      <c r="D165" s="338">
        <f t="shared" si="54"/>
        <v>1.1262084832720718</v>
      </c>
      <c r="E165" s="338">
        <f t="shared" si="55"/>
        <v>1.0000978973098205</v>
      </c>
      <c r="F165" s="339">
        <f t="shared" si="56"/>
        <v>1.3992092332324487E-2</v>
      </c>
      <c r="G165" s="338">
        <f t="shared" si="57"/>
        <v>1</v>
      </c>
      <c r="H165" s="339">
        <f t="shared" si="58"/>
        <v>0</v>
      </c>
      <c r="I165" s="337">
        <f t="shared" si="59"/>
        <v>6718.2169378545414</v>
      </c>
      <c r="J165" s="340">
        <f t="shared" si="60"/>
        <v>1.5706474777754407</v>
      </c>
      <c r="K165" s="348">
        <f t="shared" si="81"/>
        <v>1.8649790751779602</v>
      </c>
      <c r="L165" s="349">
        <f t="shared" si="82"/>
        <v>1.0048687036114496</v>
      </c>
      <c r="M165" s="337">
        <f t="shared" si="63"/>
        <v>1.0029817922451474</v>
      </c>
      <c r="N165" s="340">
        <f t="shared" si="64"/>
        <v>7.7128487750945704E-2</v>
      </c>
      <c r="O165" s="341">
        <f t="shared" si="65"/>
        <v>1.0000718626121026</v>
      </c>
      <c r="P165" s="342">
        <f t="shared" si="66"/>
        <v>0.11996896142919879</v>
      </c>
      <c r="Q165" s="343">
        <f t="shared" si="67"/>
        <v>16.722883909692364</v>
      </c>
      <c r="R165" s="344">
        <f t="shared" si="68"/>
        <v>-107.43489311738072</v>
      </c>
      <c r="S165" s="346">
        <f t="shared" si="69"/>
        <v>72.565106882619276</v>
      </c>
      <c r="U165" s="319">
        <f t="shared" si="75"/>
        <v>1000000000</v>
      </c>
      <c r="V165" s="319">
        <f t="shared" si="76"/>
        <v>86107264.359999999</v>
      </c>
      <c r="X165" s="345">
        <f t="shared" si="70"/>
        <v>26.549762217472246</v>
      </c>
      <c r="Y165" s="346">
        <f t="shared" si="71"/>
        <v>-36.835872768128802</v>
      </c>
      <c r="AA165" s="345">
        <f t="shared" si="72"/>
        <v>52.414625314667148</v>
      </c>
      <c r="AB165" s="346">
        <f t="shared" si="73"/>
        <v>-70.599020349251916</v>
      </c>
      <c r="AD165">
        <f t="shared" si="77"/>
        <v>0</v>
      </c>
      <c r="AE165">
        <f t="shared" si="80"/>
        <v>0</v>
      </c>
    </row>
    <row r="166" spans="1:31" x14ac:dyDescent="0.25">
      <c r="A166" s="347">
        <v>9332.5</v>
      </c>
      <c r="B166" s="364">
        <f t="shared" si="74"/>
        <v>9.3324999999999996</v>
      </c>
      <c r="C166" s="337">
        <f t="shared" si="53"/>
        <v>2.335967058849131</v>
      </c>
      <c r="D166" s="338">
        <f t="shared" si="54"/>
        <v>1.1284200194333123</v>
      </c>
      <c r="E166" s="338">
        <f t="shared" si="55"/>
        <v>1.0000990208657521</v>
      </c>
      <c r="F166" s="339">
        <f t="shared" si="56"/>
        <v>1.4072149480389616E-2</v>
      </c>
      <c r="G166" s="338">
        <f t="shared" si="57"/>
        <v>1</v>
      </c>
      <c r="H166" s="339">
        <f t="shared" si="58"/>
        <v>0</v>
      </c>
      <c r="I166" s="337">
        <f t="shared" si="59"/>
        <v>6756.6609440961829</v>
      </c>
      <c r="J166" s="340">
        <f t="shared" si="60"/>
        <v>1.570648324695646</v>
      </c>
      <c r="K166" s="348">
        <f t="shared" si="81"/>
        <v>1.8725890527686624</v>
      </c>
      <c r="L166" s="349">
        <f t="shared" si="82"/>
        <v>1.0074481243728719</v>
      </c>
      <c r="M166" s="337">
        <f t="shared" si="63"/>
        <v>1.0030159641649992</v>
      </c>
      <c r="N166" s="340">
        <f t="shared" si="64"/>
        <v>7.756808092068404E-2</v>
      </c>
      <c r="O166" s="341">
        <f t="shared" si="65"/>
        <v>1.0000729813150713</v>
      </c>
      <c r="P166" s="342">
        <f t="shared" si="66"/>
        <v>0.12065867184228357</v>
      </c>
      <c r="Q166" s="343">
        <f t="shared" si="67"/>
        <v>16.667959403335178</v>
      </c>
      <c r="R166" s="344">
        <f t="shared" si="68"/>
        <v>-107.47398079982126</v>
      </c>
      <c r="S166" s="346">
        <f t="shared" si="69"/>
        <v>72.526019200178737</v>
      </c>
      <c r="U166" s="319">
        <f t="shared" si="75"/>
        <v>1000000000</v>
      </c>
      <c r="V166" s="319">
        <f t="shared" si="76"/>
        <v>87095556.25</v>
      </c>
      <c r="X166" s="345">
        <f t="shared" si="70"/>
        <v>26.535274573222651</v>
      </c>
      <c r="Y166" s="346">
        <f t="shared" si="71"/>
        <v>-36.713318203052978</v>
      </c>
      <c r="AA166" s="345">
        <f t="shared" si="72"/>
        <v>52.374188452559558</v>
      </c>
      <c r="AB166" s="346">
        <f t="shared" si="73"/>
        <v>-70.760662596768256</v>
      </c>
      <c r="AD166">
        <f t="shared" si="77"/>
        <v>0</v>
      </c>
      <c r="AE166">
        <f t="shared" si="80"/>
        <v>0</v>
      </c>
    </row>
    <row r="167" spans="1:31" x14ac:dyDescent="0.25">
      <c r="A167" s="347">
        <v>9386.85</v>
      </c>
      <c r="B167" s="364">
        <f t="shared" si="74"/>
        <v>9.3868500000000008</v>
      </c>
      <c r="C167" s="337">
        <f t="shared" si="53"/>
        <v>2.3470839392087002</v>
      </c>
      <c r="D167" s="338">
        <f t="shared" si="54"/>
        <v>1.1306624310244133</v>
      </c>
      <c r="E167" s="338">
        <f t="shared" si="55"/>
        <v>1.0001001775086171</v>
      </c>
      <c r="F167" s="339">
        <f t="shared" si="56"/>
        <v>1.4154091026099004E-2</v>
      </c>
      <c r="G167" s="338">
        <f t="shared" si="57"/>
        <v>1</v>
      </c>
      <c r="H167" s="339">
        <f t="shared" si="58"/>
        <v>0</v>
      </c>
      <c r="I167" s="337">
        <f t="shared" si="59"/>
        <v>6796.0099410735202</v>
      </c>
      <c r="J167" s="340">
        <f t="shared" si="60"/>
        <v>1.5706491816299719</v>
      </c>
      <c r="K167" s="348">
        <f t="shared" si="81"/>
        <v>1.8803909697419232</v>
      </c>
      <c r="L167" s="349">
        <f t="shared" si="82"/>
        <v>1.0100666271551078</v>
      </c>
      <c r="M167" s="337">
        <f t="shared" si="63"/>
        <v>1.0030511412174881</v>
      </c>
      <c r="N167" s="340">
        <f t="shared" si="64"/>
        <v>7.8017991221510319E-2</v>
      </c>
      <c r="O167" s="341">
        <f t="shared" si="65"/>
        <v>1.0000741399302715</v>
      </c>
      <c r="P167" s="342">
        <f t="shared" si="66"/>
        <v>0.12136467486017097</v>
      </c>
      <c r="Q167" s="343">
        <f t="shared" si="67"/>
        <v>16.612092565358804</v>
      </c>
      <c r="R167" s="344">
        <f t="shared" si="68"/>
        <v>-107.51401551053245</v>
      </c>
      <c r="S167" s="346">
        <f t="shared" si="69"/>
        <v>72.485984489467555</v>
      </c>
      <c r="U167" s="319">
        <f t="shared" si="75"/>
        <v>1000000000</v>
      </c>
      <c r="V167" s="319">
        <f t="shared" si="76"/>
        <v>88112952.922499999</v>
      </c>
      <c r="X167" s="345">
        <f t="shared" si="70"/>
        <v>26.520645901588907</v>
      </c>
      <c r="Y167" s="346">
        <f t="shared" si="71"/>
        <v>-36.589116104962677</v>
      </c>
      <c r="AA167" s="345">
        <f t="shared" si="72"/>
        <v>52.332950286216928</v>
      </c>
      <c r="AB167" s="346">
        <f t="shared" si="73"/>
        <v>-70.924899405569747</v>
      </c>
      <c r="AD167">
        <f t="shared" si="77"/>
        <v>0</v>
      </c>
      <c r="AE167">
        <f t="shared" si="80"/>
        <v>0</v>
      </c>
    </row>
    <row r="168" spans="1:31" x14ac:dyDescent="0.25">
      <c r="A168" s="347">
        <v>9441.2000000000007</v>
      </c>
      <c r="B168" s="364">
        <f t="shared" si="74"/>
        <v>9.4412000000000003</v>
      </c>
      <c r="C168" s="337">
        <f t="shared" si="53"/>
        <v>2.3582125103607261</v>
      </c>
      <c r="D168" s="338">
        <f t="shared" si="54"/>
        <v>1.1328836895003764</v>
      </c>
      <c r="E168" s="338">
        <f t="shared" si="55"/>
        <v>1.000101340866556</v>
      </c>
      <c r="F168" s="339">
        <f t="shared" si="56"/>
        <v>1.4236032381723199E-2</v>
      </c>
      <c r="G168" s="338">
        <f t="shared" si="57"/>
        <v>1</v>
      </c>
      <c r="H168" s="339">
        <f t="shared" si="58"/>
        <v>0</v>
      </c>
      <c r="I168" s="337">
        <f t="shared" si="59"/>
        <v>6835.3589380557905</v>
      </c>
      <c r="J168" s="340">
        <f t="shared" si="60"/>
        <v>1.5706500286980989</v>
      </c>
      <c r="K168" s="348">
        <f t="shared" si="81"/>
        <v>1.8882056731256103</v>
      </c>
      <c r="L168" s="349">
        <f t="shared" si="82"/>
        <v>1.0126634732625757</v>
      </c>
      <c r="M168" s="337">
        <f t="shared" si="63"/>
        <v>1.0030865212926012</v>
      </c>
      <c r="N168" s="340">
        <f t="shared" si="64"/>
        <v>7.8467869875634172E-2</v>
      </c>
      <c r="O168" s="341">
        <f t="shared" si="65"/>
        <v>1.0000753124030011</v>
      </c>
      <c r="P168" s="342">
        <f t="shared" si="66"/>
        <v>0.12207073533913174</v>
      </c>
      <c r="Q168" s="343">
        <f t="shared" si="67"/>
        <v>16.556576203076627</v>
      </c>
      <c r="R168" s="344">
        <f t="shared" si="68"/>
        <v>-107.55407999773921</v>
      </c>
      <c r="S168" s="346">
        <f t="shared" si="69"/>
        <v>72.445920002260792</v>
      </c>
      <c r="U168" s="319">
        <f t="shared" si="75"/>
        <v>1000000000</v>
      </c>
      <c r="V168" s="319">
        <f t="shared" si="76"/>
        <v>89136257.440000013</v>
      </c>
      <c r="X168" s="345">
        <f t="shared" si="70"/>
        <v>26.506215965631142</v>
      </c>
      <c r="Y168" s="346">
        <f t="shared" si="71"/>
        <v>-36.466152464422251</v>
      </c>
      <c r="AA168" s="345">
        <f t="shared" si="72"/>
        <v>52.291863859892516</v>
      </c>
      <c r="AB168" s="346">
        <f t="shared" si="73"/>
        <v>-71.087927533316986</v>
      </c>
      <c r="AD168">
        <f t="shared" si="77"/>
        <v>0</v>
      </c>
      <c r="AE168">
        <f t="shared" si="80"/>
        <v>0</v>
      </c>
    </row>
    <row r="169" spans="1:31" x14ac:dyDescent="0.25">
      <c r="A169" s="347">
        <v>9495.5499999999993</v>
      </c>
      <c r="B169" s="364">
        <f t="shared" si="74"/>
        <v>9.4955499999999997</v>
      </c>
      <c r="C169" s="337">
        <f t="shared" si="53"/>
        <v>2.3693526075743718</v>
      </c>
      <c r="D169" s="338">
        <f t="shared" si="54"/>
        <v>1.135084071156061</v>
      </c>
      <c r="E169" s="338">
        <f t="shared" si="55"/>
        <v>1.0001025109395456</v>
      </c>
      <c r="F169" s="339">
        <f t="shared" si="56"/>
        <v>1.4317973546162498E-2</v>
      </c>
      <c r="G169" s="338">
        <f t="shared" si="57"/>
        <v>1</v>
      </c>
      <c r="H169" s="339">
        <f t="shared" si="58"/>
        <v>0</v>
      </c>
      <c r="I169" s="337">
        <f t="shared" si="59"/>
        <v>6874.7079350429085</v>
      </c>
      <c r="J169" s="340">
        <f t="shared" si="60"/>
        <v>1.5706508660694412</v>
      </c>
      <c r="K169" s="348">
        <f t="shared" si="81"/>
        <v>1.8960330048180454</v>
      </c>
      <c r="L169" s="349">
        <f t="shared" si="82"/>
        <v>1.0152388956669862</v>
      </c>
      <c r="M169" s="337">
        <f t="shared" si="63"/>
        <v>1.0031221043688565</v>
      </c>
      <c r="N169" s="340">
        <f t="shared" si="64"/>
        <v>7.8917716704311205E-2</v>
      </c>
      <c r="O169" s="341">
        <f t="shared" si="65"/>
        <v>1.0000764988570774</v>
      </c>
      <c r="P169" s="342">
        <f t="shared" si="66"/>
        <v>0.12277685360146792</v>
      </c>
      <c r="Q169" s="343">
        <f t="shared" si="67"/>
        <v>16.501406132086601</v>
      </c>
      <c r="R169" s="344">
        <f t="shared" si="68"/>
        <v>-107.59417676167016</v>
      </c>
      <c r="S169" s="346">
        <f t="shared" si="69"/>
        <v>72.405823238329845</v>
      </c>
      <c r="U169" s="319">
        <f t="shared" si="75"/>
        <v>1000000000</v>
      </c>
      <c r="V169" s="319">
        <f t="shared" si="76"/>
        <v>90165469.80249998</v>
      </c>
      <c r="X169" s="345">
        <f t="shared" si="70"/>
        <v>26.491981204284038</v>
      </c>
      <c r="Y169" s="346">
        <f t="shared" si="71"/>
        <v>-36.344413932601313</v>
      </c>
      <c r="AA169" s="345">
        <f t="shared" si="72"/>
        <v>52.250928550249583</v>
      </c>
      <c r="AB169" s="346">
        <f t="shared" si="73"/>
        <v>-71.249762829068857</v>
      </c>
      <c r="AD169">
        <f t="shared" si="77"/>
        <v>0</v>
      </c>
      <c r="AE169">
        <f t="shared" si="80"/>
        <v>0</v>
      </c>
    </row>
    <row r="170" spans="1:31" x14ac:dyDescent="0.25">
      <c r="A170" s="347">
        <v>9549.9</v>
      </c>
      <c r="B170" s="364">
        <f t="shared" si="74"/>
        <v>9.5498999999999992</v>
      </c>
      <c r="C170" s="337">
        <f t="shared" si="53"/>
        <v>2.3805040690333525</v>
      </c>
      <c r="D170" s="338">
        <f t="shared" si="54"/>
        <v>1.137263847925801</v>
      </c>
      <c r="E170" s="338">
        <f t="shared" si="55"/>
        <v>1.0001036877275622</v>
      </c>
      <c r="F170" s="339">
        <f t="shared" si="56"/>
        <v>1.4399914518317212E-2</v>
      </c>
      <c r="G170" s="338">
        <f t="shared" si="57"/>
        <v>1</v>
      </c>
      <c r="H170" s="339">
        <f t="shared" si="58"/>
        <v>0</v>
      </c>
      <c r="I170" s="337">
        <f t="shared" si="59"/>
        <v>6914.0569320347931</v>
      </c>
      <c r="J170" s="340">
        <f t="shared" si="60"/>
        <v>1.5706516939095565</v>
      </c>
      <c r="K170" s="348">
        <f t="shared" si="81"/>
        <v>1.9038728090641428</v>
      </c>
      <c r="L170" s="349">
        <f t="shared" si="82"/>
        <v>1.0177931246487959</v>
      </c>
      <c r="M170" s="337">
        <f t="shared" si="63"/>
        <v>1.0031578904246523</v>
      </c>
      <c r="N170" s="340">
        <f t="shared" si="64"/>
        <v>7.9367531528873853E-2</v>
      </c>
      <c r="O170" s="341">
        <f t="shared" si="65"/>
        <v>1.0000776994170308</v>
      </c>
      <c r="P170" s="342">
        <f t="shared" si="66"/>
        <v>0.12348302996929907</v>
      </c>
      <c r="Q170" s="343">
        <f t="shared" si="67"/>
        <v>16.446578236504624</v>
      </c>
      <c r="R170" s="344">
        <f t="shared" si="68"/>
        <v>-107.63430820668465</v>
      </c>
      <c r="S170" s="346">
        <f t="shared" si="69"/>
        <v>72.365691793315349</v>
      </c>
      <c r="U170" s="319">
        <f t="shared" si="75"/>
        <v>1000000000</v>
      </c>
      <c r="V170" s="319">
        <f t="shared" si="76"/>
        <v>91200590.00999999</v>
      </c>
      <c r="X170" s="345">
        <f t="shared" si="70"/>
        <v>26.477938131934707</v>
      </c>
      <c r="Y170" s="346">
        <f t="shared" si="71"/>
        <v>-36.223887314650476</v>
      </c>
      <c r="AA170" s="345">
        <f t="shared" si="72"/>
        <v>52.210143727016941</v>
      </c>
      <c r="AB170" s="346">
        <f t="shared" si="73"/>
        <v>-71.410420892034139</v>
      </c>
      <c r="AD170">
        <f t="shared" si="77"/>
        <v>0</v>
      </c>
      <c r="AE170">
        <f t="shared" si="80"/>
        <v>0</v>
      </c>
    </row>
    <row r="171" spans="1:31" x14ac:dyDescent="0.25">
      <c r="A171" s="347">
        <v>9605.5249999999996</v>
      </c>
      <c r="B171" s="364">
        <f t="shared" si="74"/>
        <v>9.6055250000000001</v>
      </c>
      <c r="C171" s="337">
        <f t="shared" si="53"/>
        <v>2.3919287347090181</v>
      </c>
      <c r="D171" s="338">
        <f t="shared" si="54"/>
        <v>1.1394737038821643</v>
      </c>
      <c r="E171" s="338">
        <f t="shared" si="55"/>
        <v>1.0001048990750636</v>
      </c>
      <c r="F171" s="339">
        <f t="shared" si="56"/>
        <v>1.4483777548537047E-2</v>
      </c>
      <c r="G171" s="338">
        <f t="shared" si="57"/>
        <v>1</v>
      </c>
      <c r="H171" s="339">
        <f t="shared" si="58"/>
        <v>0</v>
      </c>
      <c r="I171" s="337">
        <f t="shared" si="59"/>
        <v>6954.3290195773352</v>
      </c>
      <c r="J171" s="340">
        <f t="shared" si="60"/>
        <v>1.5706525314696207</v>
      </c>
      <c r="K171" s="348">
        <f t="shared" si="81"/>
        <v>1.9119092825219455</v>
      </c>
      <c r="L171" s="349">
        <f t="shared" si="82"/>
        <v>1.0203855659357643</v>
      </c>
      <c r="M171" s="337">
        <f t="shared" si="63"/>
        <v>1.0031947261430247</v>
      </c>
      <c r="N171" s="340">
        <f t="shared" si="64"/>
        <v>7.9827865261661468E-2</v>
      </c>
      <c r="O171" s="341">
        <f t="shared" si="65"/>
        <v>1.0000789428778243</v>
      </c>
      <c r="P171" s="342">
        <f t="shared" si="66"/>
        <v>0.12420583307416271</v>
      </c>
      <c r="Q171" s="343">
        <f t="shared" si="67"/>
        <v>16.390814215466509</v>
      </c>
      <c r="R171" s="344">
        <f t="shared" si="68"/>
        <v>-107.67541942033615</v>
      </c>
      <c r="S171" s="346">
        <f t="shared" si="69"/>
        <v>72.324580579663845</v>
      </c>
      <c r="U171" s="319">
        <f t="shared" si="75"/>
        <v>1000000000</v>
      </c>
      <c r="V171" s="319">
        <f t="shared" si="76"/>
        <v>92266110.52562499</v>
      </c>
      <c r="X171" s="345">
        <f t="shared" si="70"/>
        <v>26.46376054911125</v>
      </c>
      <c r="Y171" s="346">
        <f t="shared" si="71"/>
        <v>-36.101774538845191</v>
      </c>
      <c r="AA171" s="345">
        <f t="shared" si="72"/>
        <v>52.168557288802276</v>
      </c>
      <c r="AB171" s="346">
        <f t="shared" si="73"/>
        <v>-71.573644881490964</v>
      </c>
      <c r="AD171">
        <f t="shared" si="77"/>
        <v>0</v>
      </c>
      <c r="AE171">
        <f t="shared" si="80"/>
        <v>0</v>
      </c>
    </row>
    <row r="172" spans="1:31" x14ac:dyDescent="0.25">
      <c r="A172" s="347">
        <v>9661.15</v>
      </c>
      <c r="B172" s="364">
        <f t="shared" si="74"/>
        <v>9.6611499999999992</v>
      </c>
      <c r="C172" s="337">
        <f t="shared" si="53"/>
        <v>2.4033649701949895</v>
      </c>
      <c r="D172" s="338">
        <f t="shared" si="54"/>
        <v>1.1416625395689082</v>
      </c>
      <c r="E172" s="338">
        <f t="shared" si="55"/>
        <v>1.0001061174562935</v>
      </c>
      <c r="F172" s="339">
        <f t="shared" si="56"/>
        <v>1.4567640375014086E-2</v>
      </c>
      <c r="G172" s="338">
        <f t="shared" si="57"/>
        <v>1</v>
      </c>
      <c r="H172" s="339">
        <f t="shared" si="58"/>
        <v>0</v>
      </c>
      <c r="I172" s="337">
        <f t="shared" si="59"/>
        <v>6994.6011071247003</v>
      </c>
      <c r="J172" s="340">
        <f t="shared" si="60"/>
        <v>1.5706533593850198</v>
      </c>
      <c r="K172" s="348">
        <f t="shared" si="81"/>
        <v>1.9199584978280038</v>
      </c>
      <c r="L172" s="349">
        <f t="shared" si="82"/>
        <v>1.0229562873282776</v>
      </c>
      <c r="M172" s="337">
        <f t="shared" si="63"/>
        <v>1.0032317744298909</v>
      </c>
      <c r="N172" s="340">
        <f t="shared" si="64"/>
        <v>8.0288165092709529E-2</v>
      </c>
      <c r="O172" s="341">
        <f t="shared" si="65"/>
        <v>1.0000802013803138</v>
      </c>
      <c r="P172" s="342">
        <f t="shared" si="66"/>
        <v>0.12492869772484405</v>
      </c>
      <c r="Q172" s="343">
        <f t="shared" si="67"/>
        <v>16.335400102633564</v>
      </c>
      <c r="R172" s="344">
        <f t="shared" si="68"/>
        <v>-107.71657176250211</v>
      </c>
      <c r="S172" s="346">
        <f t="shared" si="69"/>
        <v>72.283428237497887</v>
      </c>
      <c r="U172" s="319">
        <f t="shared" si="75"/>
        <v>1000000000</v>
      </c>
      <c r="V172" s="319">
        <f t="shared" si="76"/>
        <v>93337819.32249999</v>
      </c>
      <c r="X172" s="345">
        <f t="shared" si="70"/>
        <v>26.449776600890115</v>
      </c>
      <c r="Y172" s="346">
        <f t="shared" si="71"/>
        <v>-35.980903726299871</v>
      </c>
      <c r="AA172" s="345">
        <f t="shared" si="72"/>
        <v>52.12712712419048</v>
      </c>
      <c r="AB172" s="346">
        <f t="shared" si="73"/>
        <v>-71.735668036202227</v>
      </c>
      <c r="AD172">
        <f t="shared" si="77"/>
        <v>0</v>
      </c>
      <c r="AE172">
        <f t="shared" si="80"/>
        <v>0</v>
      </c>
    </row>
    <row r="173" spans="1:31" x14ac:dyDescent="0.25">
      <c r="A173" s="347">
        <v>9716.7749999999996</v>
      </c>
      <c r="B173" s="364">
        <f t="shared" si="74"/>
        <v>9.7167750000000002</v>
      </c>
      <c r="C173" s="337">
        <f t="shared" si="53"/>
        <v>2.4148126111119659</v>
      </c>
      <c r="D173" s="338">
        <f t="shared" si="54"/>
        <v>1.1438306328079981</v>
      </c>
      <c r="E173" s="338">
        <f t="shared" si="55"/>
        <v>1.0001073428712264</v>
      </c>
      <c r="F173" s="339">
        <f t="shared" si="56"/>
        <v>1.4651502996569468E-2</v>
      </c>
      <c r="G173" s="338">
        <f t="shared" si="57"/>
        <v>1</v>
      </c>
      <c r="H173" s="339">
        <f t="shared" si="58"/>
        <v>0</v>
      </c>
      <c r="I173" s="337">
        <f t="shared" si="59"/>
        <v>7034.8731946768048</v>
      </c>
      <c r="J173" s="340">
        <f t="shared" si="60"/>
        <v>1.5706541778213907</v>
      </c>
      <c r="K173" s="348">
        <f t="shared" si="81"/>
        <v>1.9280202953960164</v>
      </c>
      <c r="L173" s="349">
        <f t="shared" si="82"/>
        <v>1.0255055270923841</v>
      </c>
      <c r="M173" s="337">
        <f t="shared" si="63"/>
        <v>1.0032690352617017</v>
      </c>
      <c r="N173" s="340">
        <f t="shared" si="64"/>
        <v>8.0748430830731716E-2</v>
      </c>
      <c r="O173" s="341">
        <f t="shared" si="65"/>
        <v>1.0000814750603257</v>
      </c>
      <c r="P173" s="342">
        <f t="shared" si="66"/>
        <v>0.1256516242660671</v>
      </c>
      <c r="Q173" s="343">
        <f t="shared" si="67"/>
        <v>16.280331699637355</v>
      </c>
      <c r="R173" s="344">
        <f t="shared" si="68"/>
        <v>-107.75776751791871</v>
      </c>
      <c r="S173" s="346">
        <f t="shared" si="69"/>
        <v>72.242232482081292</v>
      </c>
      <c r="U173" s="319">
        <f t="shared" si="75"/>
        <v>1000000000</v>
      </c>
      <c r="V173" s="319">
        <f t="shared" si="76"/>
        <v>94415716.40062499</v>
      </c>
      <c r="X173" s="345">
        <f t="shared" si="70"/>
        <v>26.43598278421921</v>
      </c>
      <c r="Y173" s="346">
        <f t="shared" si="71"/>
        <v>-35.861261223905942</v>
      </c>
      <c r="AA173" s="345">
        <f t="shared" si="72"/>
        <v>52.085852537865165</v>
      </c>
      <c r="AB173" s="346">
        <f t="shared" si="73"/>
        <v>-71.896506294012752</v>
      </c>
      <c r="AD173">
        <f t="shared" si="77"/>
        <v>0</v>
      </c>
      <c r="AE173">
        <f t="shared" si="80"/>
        <v>0</v>
      </c>
    </row>
    <row r="174" spans="1:31" x14ac:dyDescent="0.25">
      <c r="A174" s="347">
        <v>9772.4</v>
      </c>
      <c r="B174" s="364">
        <f t="shared" si="74"/>
        <v>9.7723999999999993</v>
      </c>
      <c r="C174" s="337">
        <f t="shared" si="53"/>
        <v>2.4262714960205423</v>
      </c>
      <c r="D174" s="338">
        <f t="shared" si="54"/>
        <v>1.1459782569608488</v>
      </c>
      <c r="E174" s="338">
        <f t="shared" si="55"/>
        <v>1.0001085753198362</v>
      </c>
      <c r="F174" s="339">
        <f t="shared" si="56"/>
        <v>1.4735365412024345E-2</v>
      </c>
      <c r="G174" s="338">
        <f t="shared" si="57"/>
        <v>1</v>
      </c>
      <c r="H174" s="339">
        <f t="shared" si="58"/>
        <v>0</v>
      </c>
      <c r="I174" s="337">
        <f t="shared" si="59"/>
        <v>7075.1452822335677</v>
      </c>
      <c r="J174" s="340">
        <f t="shared" si="60"/>
        <v>1.5706549869405984</v>
      </c>
      <c r="K174" s="348">
        <f t="shared" si="81"/>
        <v>1.9360945180503231</v>
      </c>
      <c r="L174" s="349">
        <f t="shared" si="82"/>
        <v>1.0280335206456279</v>
      </c>
      <c r="M174" s="337">
        <f t="shared" si="63"/>
        <v>1.0033065086147768</v>
      </c>
      <c r="N174" s="340">
        <f t="shared" si="64"/>
        <v>8.1208662284527791E-2</v>
      </c>
      <c r="O174" s="341">
        <f t="shared" si="65"/>
        <v>1.0000827640544676</v>
      </c>
      <c r="P174" s="342">
        <f t="shared" si="66"/>
        <v>0.12637461304235068</v>
      </c>
      <c r="Q174" s="343">
        <f t="shared" si="67"/>
        <v>16.225604877379244</v>
      </c>
      <c r="R174" s="344">
        <f t="shared" si="68"/>
        <v>-107.79900887873583</v>
      </c>
      <c r="S174" s="346">
        <f t="shared" si="69"/>
        <v>72.200991121264167</v>
      </c>
      <c r="U174" s="319">
        <f t="shared" si="75"/>
        <v>1000000000</v>
      </c>
      <c r="V174" s="319">
        <f t="shared" si="76"/>
        <v>95499801.75999999</v>
      </c>
      <c r="X174" s="345">
        <f t="shared" si="70"/>
        <v>26.422375671012595</v>
      </c>
      <c r="Y174" s="346">
        <f t="shared" si="71"/>
        <v>-35.742833541550866</v>
      </c>
      <c r="AA174" s="345">
        <f t="shared" si="72"/>
        <v>52.044732828813672</v>
      </c>
      <c r="AB174" s="346">
        <f t="shared" si="73"/>
        <v>-72.056175337184939</v>
      </c>
      <c r="AD174">
        <f t="shared" si="77"/>
        <v>0</v>
      </c>
      <c r="AE174">
        <f t="shared" si="80"/>
        <v>0</v>
      </c>
    </row>
    <row r="175" spans="1:31" x14ac:dyDescent="0.25">
      <c r="A175" s="347">
        <v>9829.2999999999993</v>
      </c>
      <c r="B175" s="364">
        <f t="shared" si="74"/>
        <v>9.8292999999999999</v>
      </c>
      <c r="C175" s="337">
        <f t="shared" si="53"/>
        <v>2.4380045022670309</v>
      </c>
      <c r="D175" s="338">
        <f t="shared" si="54"/>
        <v>1.1481542097216983</v>
      </c>
      <c r="E175" s="338">
        <f t="shared" si="55"/>
        <v>1.0001098432951594</v>
      </c>
      <c r="F175" s="339">
        <f t="shared" si="56"/>
        <v>1.4821149852644586E-2</v>
      </c>
      <c r="G175" s="338">
        <f t="shared" si="57"/>
        <v>1</v>
      </c>
      <c r="H175" s="339">
        <f t="shared" si="58"/>
        <v>0</v>
      </c>
      <c r="I175" s="337">
        <f t="shared" si="59"/>
        <v>7116.3404603413128</v>
      </c>
      <c r="J175" s="340">
        <f t="shared" si="60"/>
        <v>1.5706558051308666</v>
      </c>
      <c r="K175" s="348">
        <f t="shared" si="81"/>
        <v>1.9443665069465026</v>
      </c>
      <c r="L175" s="349">
        <f t="shared" si="82"/>
        <v>1.0305977194161449</v>
      </c>
      <c r="M175" s="337">
        <f t="shared" si="63"/>
        <v>1.0033450607668073</v>
      </c>
      <c r="N175" s="340">
        <f t="shared" si="64"/>
        <v>8.1679407192543282E-2</v>
      </c>
      <c r="O175" s="341">
        <f t="shared" si="65"/>
        <v>1.0000840985820196</v>
      </c>
      <c r="P175" s="342">
        <f t="shared" si="66"/>
        <v>0.12711423844634093</v>
      </c>
      <c r="Q175" s="343">
        <f t="shared" si="67"/>
        <v>16.169972823630523</v>
      </c>
      <c r="R175" s="344">
        <f t="shared" si="68"/>
        <v>-107.84124492399697</v>
      </c>
      <c r="S175" s="346">
        <f t="shared" si="69"/>
        <v>72.158755076003033</v>
      </c>
      <c r="U175" s="319">
        <f t="shared" si="75"/>
        <v>1000000000</v>
      </c>
      <c r="V175" s="319">
        <f t="shared" si="76"/>
        <v>96615138.48999998</v>
      </c>
      <c r="X175" s="345">
        <f t="shared" si="70"/>
        <v>26.408646338889213</v>
      </c>
      <c r="Y175" s="346">
        <f t="shared" si="71"/>
        <v>-35.622934349336376</v>
      </c>
      <c r="AA175" s="345">
        <f t="shared" si="72"/>
        <v>52.002830107188338</v>
      </c>
      <c r="AB175" s="346">
        <f t="shared" si="73"/>
        <v>-72.218310574660606</v>
      </c>
      <c r="AD175">
        <f t="shared" si="77"/>
        <v>0</v>
      </c>
      <c r="AE175">
        <f t="shared" si="80"/>
        <v>0</v>
      </c>
    </row>
    <row r="176" spans="1:31" x14ac:dyDescent="0.25">
      <c r="A176" s="347">
        <v>9886.2000000000007</v>
      </c>
      <c r="B176" s="364">
        <f t="shared" si="74"/>
        <v>9.8862000000000005</v>
      </c>
      <c r="C176" s="337">
        <f t="shared" si="53"/>
        <v>2.4497489412998856</v>
      </c>
      <c r="D176" s="338">
        <f t="shared" si="54"/>
        <v>1.150309308961404</v>
      </c>
      <c r="E176" s="338">
        <f t="shared" si="55"/>
        <v>1.0001111186302427</v>
      </c>
      <c r="F176" s="339">
        <f t="shared" si="56"/>
        <v>1.4906934075112609E-2</v>
      </c>
      <c r="G176" s="338">
        <f t="shared" si="57"/>
        <v>1</v>
      </c>
      <c r="H176" s="339">
        <f t="shared" si="58"/>
        <v>0</v>
      </c>
      <c r="I176" s="337">
        <f t="shared" si="59"/>
        <v>7157.5356384537681</v>
      </c>
      <c r="J176" s="340">
        <f t="shared" si="60"/>
        <v>1.5706566139029507</v>
      </c>
      <c r="K176" s="348">
        <f t="shared" si="81"/>
        <v>1.9526511719108861</v>
      </c>
      <c r="L176" s="349">
        <f t="shared" si="82"/>
        <v>1.0331401761346497</v>
      </c>
      <c r="M176" s="337">
        <f t="shared" si="63"/>
        <v>1.0033838352437601</v>
      </c>
      <c r="N176" s="340">
        <f t="shared" si="64"/>
        <v>8.2150115822199249E-2</v>
      </c>
      <c r="O176" s="341">
        <f t="shared" si="65"/>
        <v>1.0000854494254594</v>
      </c>
      <c r="P176" s="342">
        <f t="shared" si="66"/>
        <v>0.12785392969969922</v>
      </c>
      <c r="Q176" s="343">
        <f t="shared" si="67"/>
        <v>16.114689664801421</v>
      </c>
      <c r="R176" s="344">
        <f t="shared" si="68"/>
        <v>-107.8835330454979</v>
      </c>
      <c r="S176" s="346">
        <f t="shared" si="69"/>
        <v>72.116466954502101</v>
      </c>
      <c r="U176" s="319">
        <f t="shared" si="75"/>
        <v>1000000000</v>
      </c>
      <c r="V176" s="319">
        <f t="shared" si="76"/>
        <v>97736950.440000013</v>
      </c>
      <c r="X176" s="345">
        <f t="shared" si="70"/>
        <v>26.395105343283397</v>
      </c>
      <c r="Y176" s="346">
        <f t="shared" si="71"/>
        <v>-35.504278266722473</v>
      </c>
      <c r="AA176" s="345">
        <f t="shared" si="72"/>
        <v>51.96108794396504</v>
      </c>
      <c r="AB176" s="346">
        <f t="shared" si="73"/>
        <v>-72.379254778775433</v>
      </c>
      <c r="AD176">
        <f t="shared" si="77"/>
        <v>0</v>
      </c>
      <c r="AE176">
        <f t="shared" si="80"/>
        <v>0</v>
      </c>
    </row>
    <row r="177" spans="1:31" x14ac:dyDescent="0.25">
      <c r="A177" s="347">
        <v>9943.1</v>
      </c>
      <c r="B177" s="364">
        <f t="shared" si="74"/>
        <v>9.9431000000000012</v>
      </c>
      <c r="C177" s="337">
        <f t="shared" si="53"/>
        <v>2.4615046494732762</v>
      </c>
      <c r="D177" s="338">
        <f t="shared" si="54"/>
        <v>1.1524438332951572</v>
      </c>
      <c r="E177" s="338">
        <f t="shared" si="55"/>
        <v>1.0001124013250575</v>
      </c>
      <c r="F177" s="339">
        <f t="shared" si="56"/>
        <v>1.4992718078166685E-2</v>
      </c>
      <c r="G177" s="338">
        <f t="shared" si="57"/>
        <v>1</v>
      </c>
      <c r="H177" s="339">
        <f t="shared" si="58"/>
        <v>0</v>
      </c>
      <c r="I177" s="337">
        <f t="shared" si="59"/>
        <v>7198.73081657085</v>
      </c>
      <c r="J177" s="340">
        <f t="shared" si="60"/>
        <v>1.5706574134185394</v>
      </c>
      <c r="K177" s="348">
        <f t="shared" si="81"/>
        <v>1.9609483522809439</v>
      </c>
      <c r="L177" s="349">
        <f t="shared" si="82"/>
        <v>1.035661133707745</v>
      </c>
      <c r="M177" s="337">
        <f t="shared" si="63"/>
        <v>1.0034228320198613</v>
      </c>
      <c r="N177" s="340">
        <f t="shared" si="64"/>
        <v>8.2620787969126794E-2</v>
      </c>
      <c r="O177" s="341">
        <f t="shared" si="65"/>
        <v>1.0000868167335499</v>
      </c>
      <c r="P177" s="342">
        <f t="shared" si="66"/>
        <v>0.1285936871705069</v>
      </c>
      <c r="Q177" s="343">
        <f t="shared" si="67"/>
        <v>16.059751197205884</v>
      </c>
      <c r="R177" s="344">
        <f t="shared" si="68"/>
        <v>-107.9258753079064</v>
      </c>
      <c r="S177" s="346">
        <f t="shared" si="69"/>
        <v>72.074124692093605</v>
      </c>
      <c r="U177" s="319">
        <f t="shared" si="75"/>
        <v>1000000000</v>
      </c>
      <c r="V177" s="319">
        <f t="shared" si="76"/>
        <v>98865237.610000014</v>
      </c>
      <c r="X177" s="345">
        <f t="shared" si="70"/>
        <v>26.381749246551664</v>
      </c>
      <c r="Y177" s="346">
        <f t="shared" si="71"/>
        <v>-35.386851373740569</v>
      </c>
      <c r="AA177" s="345">
        <f t="shared" si="72"/>
        <v>51.919505573101247</v>
      </c>
      <c r="AB177" s="346">
        <f t="shared" si="73"/>
        <v>-72.539023934165854</v>
      </c>
      <c r="AD177">
        <f t="shared" si="77"/>
        <v>0</v>
      </c>
      <c r="AE177">
        <f t="shared" si="80"/>
        <v>0</v>
      </c>
    </row>
    <row r="178" spans="1:31" x14ac:dyDescent="0.25">
      <c r="A178" s="347">
        <v>10000</v>
      </c>
      <c r="B178" s="364">
        <f t="shared" si="74"/>
        <v>10</v>
      </c>
      <c r="C178" s="337">
        <f t="shared" si="53"/>
        <v>2.4732714660971307</v>
      </c>
      <c r="D178" s="338">
        <f t="shared" si="54"/>
        <v>1.1545580567935878</v>
      </c>
      <c r="E178" s="338">
        <f t="shared" si="55"/>
        <v>1.0001136913795758</v>
      </c>
      <c r="F178" s="339">
        <f t="shared" si="56"/>
        <v>1.507850186054511E-2</v>
      </c>
      <c r="G178" s="338">
        <f t="shared" si="57"/>
        <v>1</v>
      </c>
      <c r="H178" s="339">
        <f t="shared" si="58"/>
        <v>0</v>
      </c>
      <c r="I178" s="337">
        <f t="shared" si="59"/>
        <v>7239.9259946924813</v>
      </c>
      <c r="J178" s="340">
        <f t="shared" si="60"/>
        <v>1.5706582038356409</v>
      </c>
      <c r="K178" s="348">
        <f t="shared" si="81"/>
        <v>1.9692578898611834</v>
      </c>
      <c r="L178" s="349">
        <f t="shared" si="82"/>
        <v>1.0381608320444728</v>
      </c>
      <c r="M178" s="337">
        <f t="shared" si="63"/>
        <v>1.0034620510691941</v>
      </c>
      <c r="N178" s="340">
        <f t="shared" si="64"/>
        <v>8.3091423429053402E-2</v>
      </c>
      <c r="O178" s="341">
        <f t="shared" si="65"/>
        <v>1.0000882006559118</v>
      </c>
      <c r="P178" s="342">
        <f t="shared" si="66"/>
        <v>0.12933351122661521</v>
      </c>
      <c r="Q178" s="343">
        <f t="shared" si="67"/>
        <v>16.005153286992279</v>
      </c>
      <c r="R178" s="344">
        <f t="shared" si="68"/>
        <v>-107.96827368703525</v>
      </c>
      <c r="S178" s="346">
        <f t="shared" si="69"/>
        <v>72.03172631296475</v>
      </c>
      <c r="U178" s="319">
        <f t="shared" si="75"/>
        <v>1000000000</v>
      </c>
      <c r="V178" s="319">
        <f t="shared" si="76"/>
        <v>100000000</v>
      </c>
      <c r="X178" s="345">
        <f t="shared" si="70"/>
        <v>26.368574685300793</v>
      </c>
      <c r="Y178" s="346">
        <f t="shared" si="71"/>
        <v>-35.270639921964374</v>
      </c>
      <c r="AA178" s="345">
        <f t="shared" si="72"/>
        <v>51.87808222413851</v>
      </c>
      <c r="AB178" s="346">
        <f t="shared" si="73"/>
        <v>-72.697633765070847</v>
      </c>
      <c r="AD178">
        <f t="shared" si="77"/>
        <v>0</v>
      </c>
      <c r="AE178">
        <f t="shared" si="80"/>
        <v>0</v>
      </c>
    </row>
    <row r="179" spans="1:31" x14ac:dyDescent="0.25">
      <c r="A179" s="347">
        <v>10058.25</v>
      </c>
      <c r="B179" s="364">
        <f t="shared" si="74"/>
        <v>10.058249999999999</v>
      </c>
      <c r="C179" s="337">
        <f t="shared" si="53"/>
        <v>2.4853288024489024</v>
      </c>
      <c r="D179" s="338">
        <f t="shared" si="54"/>
        <v>1.1567016944394792</v>
      </c>
      <c r="E179" s="338">
        <f t="shared" si="55"/>
        <v>1.0001150196653823</v>
      </c>
      <c r="F179" s="339">
        <f t="shared" si="56"/>
        <v>1.5166320704863978E-2</v>
      </c>
      <c r="G179" s="338">
        <f t="shared" si="57"/>
        <v>1</v>
      </c>
      <c r="H179" s="339">
        <f t="shared" si="58"/>
        <v>0</v>
      </c>
      <c r="I179" s="337">
        <f t="shared" si="59"/>
        <v>7282.0985628093295</v>
      </c>
      <c r="J179" s="340">
        <f t="shared" si="60"/>
        <v>1.5706590037424115</v>
      </c>
      <c r="K179" s="348">
        <f t="shared" si="81"/>
        <v>1.9777772160041271</v>
      </c>
      <c r="L179" s="349">
        <f t="shared" si="82"/>
        <v>1.0406980633659888</v>
      </c>
      <c r="M179" s="337">
        <f t="shared" si="63"/>
        <v>1.0035024308422211</v>
      </c>
      <c r="N179" s="340">
        <f t="shared" si="64"/>
        <v>8.3573186892009363E-2</v>
      </c>
      <c r="O179" s="341">
        <f t="shared" si="65"/>
        <v>1.0000896347803283</v>
      </c>
      <c r="P179" s="342">
        <f t="shared" si="66"/>
        <v>0.1300909575836037</v>
      </c>
      <c r="Q179" s="343">
        <f t="shared" si="67"/>
        <v>15.949608524863518</v>
      </c>
      <c r="R179" s="344">
        <f t="shared" si="68"/>
        <v>-108.01173810538332</v>
      </c>
      <c r="S179" s="346">
        <f t="shared" si="69"/>
        <v>71.988261894616684</v>
      </c>
      <c r="U179" s="319">
        <f t="shared" si="75"/>
        <v>1000000000</v>
      </c>
      <c r="V179" s="319">
        <f t="shared" si="76"/>
        <v>101168393.0625</v>
      </c>
      <c r="X179" s="345">
        <f t="shared" si="70"/>
        <v>26.355272158226292</v>
      </c>
      <c r="Y179" s="346">
        <f t="shared" si="71"/>
        <v>-35.152916119891529</v>
      </c>
      <c r="AA179" s="345">
        <f t="shared" si="72"/>
        <v>51.835839989084249</v>
      </c>
      <c r="AB179" s="346">
        <f t="shared" si="73"/>
        <v>-72.858821985491787</v>
      </c>
      <c r="AD179">
        <f t="shared" si="77"/>
        <v>0</v>
      </c>
      <c r="AE179">
        <f t="shared" si="80"/>
        <v>0</v>
      </c>
    </row>
    <row r="180" spans="1:31" x14ac:dyDescent="0.25">
      <c r="A180" s="347">
        <v>10116.5</v>
      </c>
      <c r="B180" s="364">
        <f t="shared" si="74"/>
        <v>10.1165</v>
      </c>
      <c r="C180" s="337">
        <f t="shared" si="53"/>
        <v>2.4973974490334734</v>
      </c>
      <c r="D180" s="338">
        <f t="shared" si="54"/>
        <v>1.1588246235500272</v>
      </c>
      <c r="E180" s="338">
        <f t="shared" si="55"/>
        <v>1.0001163556642048</v>
      </c>
      <c r="F180" s="339">
        <f t="shared" si="56"/>
        <v>1.5254139315235673E-2</v>
      </c>
      <c r="G180" s="338">
        <f t="shared" si="57"/>
        <v>1</v>
      </c>
      <c r="H180" s="339">
        <f t="shared" si="58"/>
        <v>0</v>
      </c>
      <c r="I180" s="337">
        <f t="shared" si="59"/>
        <v>7324.2711309307815</v>
      </c>
      <c r="J180" s="340">
        <f t="shared" si="60"/>
        <v>1.5706597944375835</v>
      </c>
      <c r="K180" s="348">
        <f t="shared" si="81"/>
        <v>1.9863091649090263</v>
      </c>
      <c r="L180" s="349">
        <f t="shared" si="82"/>
        <v>1.0432135140294223</v>
      </c>
      <c r="M180" s="337">
        <f t="shared" si="63"/>
        <v>1.003543043505408</v>
      </c>
      <c r="N180" s="340">
        <f t="shared" si="64"/>
        <v>8.4054911473524396E-2</v>
      </c>
      <c r="O180" s="341">
        <f t="shared" si="65"/>
        <v>1.0000910866368253</v>
      </c>
      <c r="P180" s="342">
        <f t="shared" si="66"/>
        <v>0.13084847450238599</v>
      </c>
      <c r="Q180" s="343">
        <f t="shared" si="67"/>
        <v>15.894412122465395</v>
      </c>
      <c r="R180" s="344">
        <f t="shared" si="68"/>
        <v>-108.05526525260854</v>
      </c>
      <c r="S180" s="346">
        <f t="shared" si="69"/>
        <v>71.944734747391465</v>
      </c>
      <c r="U180" s="319">
        <f t="shared" si="75"/>
        <v>1000000000</v>
      </c>
      <c r="V180" s="319">
        <f t="shared" si="76"/>
        <v>102343572.25</v>
      </c>
      <c r="X180" s="345">
        <f t="shared" si="70"/>
        <v>26.342152980081202</v>
      </c>
      <c r="Y180" s="346">
        <f t="shared" si="71"/>
        <v>-35.036437502075074</v>
      </c>
      <c r="AA180" s="345">
        <f t="shared" si="72"/>
        <v>51.793762764831222</v>
      </c>
      <c r="AB180" s="346">
        <f t="shared" si="73"/>
        <v>-73.018827750533447</v>
      </c>
      <c r="AD180">
        <f t="shared" si="77"/>
        <v>0</v>
      </c>
      <c r="AE180">
        <f t="shared" si="80"/>
        <v>0</v>
      </c>
    </row>
    <row r="181" spans="1:31" x14ac:dyDescent="0.25">
      <c r="A181" s="347">
        <v>10174.75</v>
      </c>
      <c r="B181" s="364">
        <f t="shared" si="74"/>
        <v>10.17475</v>
      </c>
      <c r="C181" s="337">
        <f t="shared" si="53"/>
        <v>2.5094772426704055</v>
      </c>
      <c r="D181" s="338">
        <f t="shared" si="54"/>
        <v>1.1609271239028423</v>
      </c>
      <c r="E181" s="338">
        <f t="shared" si="55"/>
        <v>1.0001176993760121</v>
      </c>
      <c r="F181" s="339">
        <f t="shared" si="56"/>
        <v>1.5341957690306595E-2</v>
      </c>
      <c r="G181" s="338">
        <f t="shared" si="57"/>
        <v>1</v>
      </c>
      <c r="H181" s="339">
        <f t="shared" si="58"/>
        <v>0</v>
      </c>
      <c r="I181" s="337">
        <f t="shared" si="59"/>
        <v>7366.443699056761</v>
      </c>
      <c r="J181" s="340">
        <f t="shared" si="60"/>
        <v>1.5706605760793648</v>
      </c>
      <c r="K181" s="348">
        <f t="shared" si="81"/>
        <v>1.9948535746139846</v>
      </c>
      <c r="L181" s="349">
        <f t="shared" si="82"/>
        <v>1.0457074318708082</v>
      </c>
      <c r="M181" s="337">
        <f t="shared" si="63"/>
        <v>1.0035838890304811</v>
      </c>
      <c r="N181" s="340">
        <f t="shared" si="64"/>
        <v>8.4536596954755822E-2</v>
      </c>
      <c r="O181" s="341">
        <f t="shared" si="65"/>
        <v>1.0000925563887186</v>
      </c>
      <c r="P181" s="342">
        <f t="shared" si="66"/>
        <v>0.13160606237686259</v>
      </c>
      <c r="Q181" s="343">
        <f t="shared" si="67"/>
        <v>15.839559862860241</v>
      </c>
      <c r="R181" s="344">
        <f t="shared" si="68"/>
        <v>-108.09885697800058</v>
      </c>
      <c r="S181" s="346">
        <f t="shared" si="69"/>
        <v>71.901143021999417</v>
      </c>
      <c r="U181" s="319">
        <f t="shared" si="75"/>
        <v>1000000000</v>
      </c>
      <c r="V181" s="319">
        <f t="shared" si="76"/>
        <v>103525537.5625</v>
      </c>
      <c r="X181" s="345">
        <f t="shared" si="70"/>
        <v>26.329213772268808</v>
      </c>
      <c r="Y181" s="346">
        <f t="shared" si="71"/>
        <v>-34.921189865082042</v>
      </c>
      <c r="AA181" s="345">
        <f t="shared" si="72"/>
        <v>51.75184971303846</v>
      </c>
      <c r="AB181" s="346">
        <f t="shared" si="73"/>
        <v>-73.177667112918556</v>
      </c>
      <c r="AD181">
        <f t="shared" si="77"/>
        <v>0</v>
      </c>
      <c r="AE181">
        <f t="shared" si="80"/>
        <v>0</v>
      </c>
    </row>
    <row r="182" spans="1:31" x14ac:dyDescent="0.25">
      <c r="A182" s="347">
        <v>10233</v>
      </c>
      <c r="B182" s="364">
        <f t="shared" si="74"/>
        <v>10.233000000000001</v>
      </c>
      <c r="C182" s="337">
        <f t="shared" si="53"/>
        <v>2.5215680231568962</v>
      </c>
      <c r="D182" s="338">
        <f t="shared" si="54"/>
        <v>1.1630094706393501</v>
      </c>
      <c r="E182" s="338">
        <f t="shared" si="55"/>
        <v>1.0001190508007736</v>
      </c>
      <c r="F182" s="339">
        <f t="shared" si="56"/>
        <v>1.5429775828723177E-2</v>
      </c>
      <c r="G182" s="338">
        <f t="shared" si="57"/>
        <v>1</v>
      </c>
      <c r="H182" s="339">
        <f t="shared" si="58"/>
        <v>0</v>
      </c>
      <c r="I182" s="337">
        <f t="shared" si="59"/>
        <v>7408.6162671871907</v>
      </c>
      <c r="J182" s="340">
        <f t="shared" si="60"/>
        <v>1.5706613488223613</v>
      </c>
      <c r="K182" s="348">
        <f t="shared" si="81"/>
        <v>2.0034102856855944</v>
      </c>
      <c r="L182" s="349">
        <f t="shared" si="82"/>
        <v>1.048180061572761</v>
      </c>
      <c r="M182" s="337">
        <f t="shared" si="63"/>
        <v>1.0036249673890096</v>
      </c>
      <c r="N182" s="340">
        <f t="shared" si="64"/>
        <v>8.5018243116969053E-2</v>
      </c>
      <c r="O182" s="341">
        <f t="shared" si="65"/>
        <v>1.0000940442002673</v>
      </c>
      <c r="P182" s="342">
        <f t="shared" si="66"/>
        <v>0.13236372160067456</v>
      </c>
      <c r="Q182" s="343">
        <f t="shared" si="67"/>
        <v>15.785047599685116</v>
      </c>
      <c r="R182" s="344">
        <f t="shared" si="68"/>
        <v>-108.1425150456781</v>
      </c>
      <c r="S182" s="346">
        <f t="shared" si="69"/>
        <v>71.857484954321905</v>
      </c>
      <c r="U182" s="319">
        <f t="shared" si="75"/>
        <v>1000000000</v>
      </c>
      <c r="V182" s="319">
        <f t="shared" si="76"/>
        <v>104714289</v>
      </c>
      <c r="X182" s="345">
        <f t="shared" si="70"/>
        <v>26.316451229888635</v>
      </c>
      <c r="Y182" s="346">
        <f t="shared" si="71"/>
        <v>-34.807159185956991</v>
      </c>
      <c r="AA182" s="345">
        <f t="shared" si="72"/>
        <v>51.710099992243514</v>
      </c>
      <c r="AB182" s="346">
        <f t="shared" si="73"/>
        <v>-73.335355859721105</v>
      </c>
      <c r="AD182">
        <f t="shared" si="77"/>
        <v>0</v>
      </c>
      <c r="AE182">
        <f t="shared" si="80"/>
        <v>0</v>
      </c>
    </row>
    <row r="183" spans="1:31" x14ac:dyDescent="0.25">
      <c r="A183" s="347">
        <v>10292.5</v>
      </c>
      <c r="B183" s="364">
        <f t="shared" si="74"/>
        <v>10.2925</v>
      </c>
      <c r="C183" s="337">
        <f t="shared" si="53"/>
        <v>2.5339294419514111</v>
      </c>
      <c r="D183" s="338">
        <f t="shared" si="54"/>
        <v>1.1651159772866204</v>
      </c>
      <c r="E183" s="338">
        <f t="shared" si="55"/>
        <v>1.0001204391890348</v>
      </c>
      <c r="F183" s="339">
        <f t="shared" si="56"/>
        <v>1.5519478230813955E-2</v>
      </c>
      <c r="G183" s="338">
        <f t="shared" si="57"/>
        <v>1</v>
      </c>
      <c r="H183" s="339">
        <f t="shared" si="58"/>
        <v>0</v>
      </c>
      <c r="I183" s="337">
        <f t="shared" si="59"/>
        <v>7451.6938260545476</v>
      </c>
      <c r="J183" s="340">
        <f t="shared" si="60"/>
        <v>1.570662129117651</v>
      </c>
      <c r="K183" s="348">
        <f t="shared" si="81"/>
        <v>2.0121631541499032</v>
      </c>
      <c r="L183" s="349">
        <f t="shared" si="82"/>
        <v>1.0506840248789033</v>
      </c>
      <c r="M183" s="337">
        <f t="shared" si="63"/>
        <v>1.0036671676093545</v>
      </c>
      <c r="N183" s="340">
        <f t="shared" si="64"/>
        <v>8.5510184212703733E-2</v>
      </c>
      <c r="O183" s="341">
        <f t="shared" si="65"/>
        <v>1.0000955827560161</v>
      </c>
      <c r="P183" s="342">
        <f t="shared" si="66"/>
        <v>0.13313771367756616</v>
      </c>
      <c r="Q183" s="343">
        <f t="shared" si="67"/>
        <v>15.729712325102206</v>
      </c>
      <c r="R183" s="344">
        <f t="shared" si="68"/>
        <v>-108.18718022314837</v>
      </c>
      <c r="S183" s="346">
        <f t="shared" si="69"/>
        <v>71.812819776851626</v>
      </c>
      <c r="U183" s="319">
        <f t="shared" si="75"/>
        <v>1000000000</v>
      </c>
      <c r="V183" s="319">
        <f t="shared" si="76"/>
        <v>105935556.25</v>
      </c>
      <c r="X183" s="345">
        <f t="shared" si="70"/>
        <v>26.303593844623631</v>
      </c>
      <c r="Y183" s="346">
        <f t="shared" si="71"/>
        <v>-34.691923512509248</v>
      </c>
      <c r="AA183" s="345">
        <f t="shared" si="72"/>
        <v>51.667622102925598</v>
      </c>
      <c r="AB183" s="346">
        <f t="shared" si="73"/>
        <v>-73.495256710639126</v>
      </c>
      <c r="AD183">
        <f t="shared" si="77"/>
        <v>0</v>
      </c>
      <c r="AE183">
        <f t="shared" si="80"/>
        <v>0</v>
      </c>
    </row>
    <row r="184" spans="1:31" x14ac:dyDescent="0.25">
      <c r="A184" s="347">
        <v>10352</v>
      </c>
      <c r="B184" s="364">
        <f t="shared" si="74"/>
        <v>10.352</v>
      </c>
      <c r="C184" s="337">
        <f t="shared" si="53"/>
        <v>2.546301995528792</v>
      </c>
      <c r="D184" s="338">
        <f t="shared" si="54"/>
        <v>1.16720202196463</v>
      </c>
      <c r="E184" s="338">
        <f t="shared" si="55"/>
        <v>1.0001218356247634</v>
      </c>
      <c r="F184" s="339">
        <f t="shared" si="56"/>
        <v>1.5609180383129761E-2</v>
      </c>
      <c r="G184" s="338">
        <f t="shared" si="57"/>
        <v>1</v>
      </c>
      <c r="H184" s="339">
        <f t="shared" si="58"/>
        <v>0</v>
      </c>
      <c r="I184" s="337">
        <f t="shared" si="59"/>
        <v>7494.7713849263891</v>
      </c>
      <c r="J184" s="340">
        <f t="shared" si="60"/>
        <v>1.5706629004431631</v>
      </c>
      <c r="K184" s="348">
        <f t="shared" si="81"/>
        <v>2.0209285292117349</v>
      </c>
      <c r="L184" s="349">
        <f t="shared" si="82"/>
        <v>1.0531662827517112</v>
      </c>
      <c r="M184" s="337">
        <f t="shared" si="63"/>
        <v>1.003709610702759</v>
      </c>
      <c r="N184" s="340">
        <f t="shared" si="64"/>
        <v>8.600208382280608E-2</v>
      </c>
      <c r="O184" s="341">
        <f t="shared" si="65"/>
        <v>1.0000971405042782</v>
      </c>
      <c r="P184" s="342">
        <f t="shared" si="66"/>
        <v>0.1339117810282659</v>
      </c>
      <c r="Q184" s="343">
        <f t="shared" si="67"/>
        <v>15.674723269284074</v>
      </c>
      <c r="R184" s="344">
        <f t="shared" si="68"/>
        <v>-108.23191808216265</v>
      </c>
      <c r="S184" s="346">
        <f t="shared" si="69"/>
        <v>71.76808191783735</v>
      </c>
      <c r="U184" s="319">
        <f t="shared" si="75"/>
        <v>1000000000</v>
      </c>
      <c r="V184" s="319">
        <f t="shared" si="76"/>
        <v>107163904</v>
      </c>
      <c r="X184" s="345">
        <f t="shared" si="70"/>
        <v>26.290914045065158</v>
      </c>
      <c r="Y184" s="346">
        <f t="shared" si="71"/>
        <v>-34.577928577903457</v>
      </c>
      <c r="AA184" s="345">
        <f t="shared" si="72"/>
        <v>51.625312846665949</v>
      </c>
      <c r="AB184" s="346">
        <f t="shared" si="73"/>
        <v>-73.653989504259215</v>
      </c>
      <c r="AD184">
        <f t="shared" si="77"/>
        <v>0</v>
      </c>
      <c r="AE184">
        <f t="shared" si="80"/>
        <v>0</v>
      </c>
    </row>
    <row r="185" spans="1:31" x14ac:dyDescent="0.25">
      <c r="A185" s="347">
        <v>10411.5</v>
      </c>
      <c r="B185" s="364">
        <f t="shared" si="74"/>
        <v>10.4115</v>
      </c>
      <c r="C185" s="337">
        <f t="shared" si="53"/>
        <v>2.5586855223619285</v>
      </c>
      <c r="D185" s="338">
        <f t="shared" si="54"/>
        <v>1.1692678834809485</v>
      </c>
      <c r="E185" s="338">
        <f t="shared" si="55"/>
        <v>1.0001232401079263</v>
      </c>
      <c r="F185" s="339">
        <f t="shared" si="56"/>
        <v>1.5698882284228072E-2</v>
      </c>
      <c r="G185" s="338">
        <f t="shared" si="57"/>
        <v>1</v>
      </c>
      <c r="H185" s="339">
        <f t="shared" si="58"/>
        <v>0</v>
      </c>
      <c r="I185" s="337">
        <f t="shared" si="59"/>
        <v>7537.848943802639</v>
      </c>
      <c r="J185" s="340">
        <f t="shared" si="60"/>
        <v>1.57066366295268</v>
      </c>
      <c r="K185" s="348">
        <f t="shared" si="81"/>
        <v>2.0297062488402338</v>
      </c>
      <c r="L185" s="349">
        <f t="shared" si="82"/>
        <v>1.055627086006041</v>
      </c>
      <c r="M185" s="337">
        <f t="shared" si="63"/>
        <v>1.0037522966384136</v>
      </c>
      <c r="N185" s="340">
        <f t="shared" si="64"/>
        <v>8.6493941714508651E-2</v>
      </c>
      <c r="O185" s="341">
        <f t="shared" si="65"/>
        <v>1.0000987176231577</v>
      </c>
      <c r="P185" s="342">
        <f t="shared" si="66"/>
        <v>0.13468592407145583</v>
      </c>
      <c r="Q185" s="343">
        <f t="shared" si="67"/>
        <v>15.620076231885431</v>
      </c>
      <c r="R185" s="344">
        <f t="shared" si="68"/>
        <v>-108.27673024613112</v>
      </c>
      <c r="S185" s="346">
        <f t="shared" si="69"/>
        <v>71.723269753868877</v>
      </c>
      <c r="U185" s="319">
        <f t="shared" si="75"/>
        <v>1000000000</v>
      </c>
      <c r="V185" s="319">
        <f t="shared" si="76"/>
        <v>108399332.25</v>
      </c>
      <c r="X185" s="345">
        <f t="shared" si="70"/>
        <v>26.278408535279105</v>
      </c>
      <c r="Y185" s="346">
        <f t="shared" si="71"/>
        <v>-34.465160006981357</v>
      </c>
      <c r="AA185" s="345">
        <f t="shared" si="72"/>
        <v>51.583171319053349</v>
      </c>
      <c r="AB185" s="346">
        <f t="shared" si="73"/>
        <v>-73.811570239149773</v>
      </c>
      <c r="AD185">
        <f t="shared" si="77"/>
        <v>0</v>
      </c>
      <c r="AE185">
        <f t="shared" si="80"/>
        <v>0</v>
      </c>
    </row>
    <row r="186" spans="1:31" x14ac:dyDescent="0.25">
      <c r="A186" s="347">
        <v>10471</v>
      </c>
      <c r="B186" s="364">
        <f t="shared" si="74"/>
        <v>10.471</v>
      </c>
      <c r="C186" s="337">
        <f t="shared" si="53"/>
        <v>2.5710798638937811</v>
      </c>
      <c r="D186" s="338">
        <f t="shared" si="54"/>
        <v>1.1713138359632458</v>
      </c>
      <c r="E186" s="338">
        <f t="shared" si="55"/>
        <v>1.000124652638489</v>
      </c>
      <c r="F186" s="339">
        <f t="shared" si="56"/>
        <v>1.5788583932666397E-2</v>
      </c>
      <c r="G186" s="338">
        <f t="shared" si="57"/>
        <v>1</v>
      </c>
      <c r="H186" s="339">
        <f t="shared" si="58"/>
        <v>0</v>
      </c>
      <c r="I186" s="337">
        <f t="shared" si="59"/>
        <v>7580.9265026832218</v>
      </c>
      <c r="J186" s="340">
        <f t="shared" si="60"/>
        <v>1.5706644167964887</v>
      </c>
      <c r="K186" s="348">
        <f t="shared" si="81"/>
        <v>2.0384961535691075</v>
      </c>
      <c r="L186" s="349">
        <f t="shared" si="82"/>
        <v>1.0580666821792337</v>
      </c>
      <c r="M186" s="337">
        <f t="shared" si="63"/>
        <v>1.0037952253853384</v>
      </c>
      <c r="N186" s="340">
        <f t="shared" si="64"/>
        <v>8.6985757655164267E-2</v>
      </c>
      <c r="O186" s="341">
        <f t="shared" si="65"/>
        <v>1.0001003142917837</v>
      </c>
      <c r="P186" s="342">
        <f t="shared" si="66"/>
        <v>0.13546014322552855</v>
      </c>
      <c r="Q186" s="343">
        <f t="shared" si="67"/>
        <v>15.565767083207461</v>
      </c>
      <c r="R186" s="344">
        <f t="shared" si="68"/>
        <v>-108.32161825790331</v>
      </c>
      <c r="S186" s="346">
        <f t="shared" si="69"/>
        <v>71.67838174209669</v>
      </c>
      <c r="U186" s="319">
        <f t="shared" si="75"/>
        <v>1000000000</v>
      </c>
      <c r="V186" s="319">
        <f t="shared" si="76"/>
        <v>109641841</v>
      </c>
      <c r="X186" s="345">
        <f t="shared" si="70"/>
        <v>26.266074091762142</v>
      </c>
      <c r="Y186" s="346">
        <f t="shared" si="71"/>
        <v>-34.353603612179143</v>
      </c>
      <c r="AA186" s="345">
        <f t="shared" si="72"/>
        <v>51.541196613892346</v>
      </c>
      <c r="AB186" s="346">
        <f t="shared" si="73"/>
        <v>-73.968014645724168</v>
      </c>
      <c r="AD186">
        <f t="shared" si="77"/>
        <v>0</v>
      </c>
      <c r="AE186">
        <f t="shared" si="80"/>
        <v>0</v>
      </c>
    </row>
    <row r="187" spans="1:31" x14ac:dyDescent="0.25">
      <c r="A187" s="347">
        <v>10532</v>
      </c>
      <c r="B187" s="364">
        <f t="shared" si="74"/>
        <v>10.532</v>
      </c>
      <c r="C187" s="337">
        <f t="shared" si="53"/>
        <v>2.5837977319857948</v>
      </c>
      <c r="D187" s="338">
        <f t="shared" si="54"/>
        <v>1.1733909809922833</v>
      </c>
      <c r="E187" s="338">
        <f t="shared" si="55"/>
        <v>1.0001261091333011</v>
      </c>
      <c r="F187" s="339">
        <f t="shared" si="56"/>
        <v>1.5880546703395088E-2</v>
      </c>
      <c r="G187" s="338">
        <f t="shared" si="57"/>
        <v>1</v>
      </c>
      <c r="H187" s="339">
        <f t="shared" si="58"/>
        <v>0</v>
      </c>
      <c r="I187" s="337">
        <f t="shared" si="59"/>
        <v>7625.0900504475676</v>
      </c>
      <c r="J187" s="340">
        <f t="shared" si="60"/>
        <v>1.5706651808023575</v>
      </c>
      <c r="K187" s="348">
        <f t="shared" si="81"/>
        <v>2.0475201380036414</v>
      </c>
      <c r="L187" s="349">
        <f t="shared" si="82"/>
        <v>1.0605460207331991</v>
      </c>
      <c r="M187" s="337">
        <f t="shared" si="63"/>
        <v>1.0038394884073367</v>
      </c>
      <c r="N187" s="340">
        <f t="shared" si="64"/>
        <v>8.7489928522829802E-2</v>
      </c>
      <c r="O187" s="341">
        <f t="shared" si="65"/>
        <v>1.0001019716963977</v>
      </c>
      <c r="P187" s="342">
        <f t="shared" si="66"/>
        <v>0.13625395996043774</v>
      </c>
      <c r="Q187" s="343">
        <f t="shared" si="67"/>
        <v>15.510435319389984</v>
      </c>
      <c r="R187" s="344">
        <f t="shared" si="68"/>
        <v>-108.3677181735947</v>
      </c>
      <c r="S187" s="346">
        <f t="shared" si="69"/>
        <v>71.632281826405304</v>
      </c>
      <c r="U187" s="319">
        <f t="shared" si="75"/>
        <v>1000000000</v>
      </c>
      <c r="V187" s="319">
        <f t="shared" si="76"/>
        <v>110923024</v>
      </c>
      <c r="X187" s="345">
        <f t="shared" si="70"/>
        <v>26.253602985226053</v>
      </c>
      <c r="Y187" s="346">
        <f t="shared" si="71"/>
        <v>-34.240478614106088</v>
      </c>
      <c r="AA187" s="345">
        <f t="shared" si="72"/>
        <v>51.498335956610958</v>
      </c>
      <c r="AB187" s="346">
        <f t="shared" si="73"/>
        <v>-74.127239559488615</v>
      </c>
      <c r="AD187">
        <f t="shared" si="77"/>
        <v>0</v>
      </c>
      <c r="AE187">
        <f t="shared" si="80"/>
        <v>0</v>
      </c>
    </row>
    <row r="188" spans="1:31" x14ac:dyDescent="0.25">
      <c r="A188" s="347">
        <v>10593</v>
      </c>
      <c r="B188" s="364">
        <f t="shared" si="74"/>
        <v>10.593</v>
      </c>
      <c r="C188" s="337">
        <f t="shared" si="53"/>
        <v>2.5965266387212509</v>
      </c>
      <c r="D188" s="338">
        <f t="shared" si="54"/>
        <v>1.1754477693201983</v>
      </c>
      <c r="E188" s="338">
        <f t="shared" si="55"/>
        <v>1.0001275740863063</v>
      </c>
      <c r="F188" s="339">
        <f t="shared" si="56"/>
        <v>1.5972509205493608E-2</v>
      </c>
      <c r="G188" s="338">
        <f t="shared" si="57"/>
        <v>1</v>
      </c>
      <c r="H188" s="339">
        <f t="shared" si="58"/>
        <v>0</v>
      </c>
      <c r="I188" s="337">
        <f t="shared" si="59"/>
        <v>7669.2535982163135</v>
      </c>
      <c r="J188" s="340">
        <f t="shared" si="60"/>
        <v>1.5706659360091406</v>
      </c>
      <c r="K188" s="348">
        <f t="shared" si="81"/>
        <v>2.0565565982890339</v>
      </c>
      <c r="L188" s="349">
        <f t="shared" si="82"/>
        <v>1.0630035859756592</v>
      </c>
      <c r="M188" s="337">
        <f t="shared" si="63"/>
        <v>1.0038840065710124</v>
      </c>
      <c r="N188" s="340">
        <f t="shared" si="64"/>
        <v>8.7994054802783092E-2</v>
      </c>
      <c r="O188" s="341">
        <f t="shared" si="65"/>
        <v>1.0001036500334843</v>
      </c>
      <c r="P188" s="342">
        <f t="shared" si="66"/>
        <v>0.13704785758177879</v>
      </c>
      <c r="Q188" s="343">
        <f t="shared" si="67"/>
        <v>15.455450126385131</v>
      </c>
      <c r="R188" s="344">
        <f t="shared" si="68"/>
        <v>-108.41390084608665</v>
      </c>
      <c r="S188" s="346">
        <f t="shared" si="69"/>
        <v>71.586099153913352</v>
      </c>
      <c r="U188" s="319">
        <f t="shared" si="75"/>
        <v>1000000000</v>
      </c>
      <c r="V188" s="319">
        <f t="shared" si="76"/>
        <v>112211649</v>
      </c>
      <c r="X188" s="345">
        <f t="shared" si="70"/>
        <v>26.241305042942038</v>
      </c>
      <c r="Y188" s="346">
        <f t="shared" si="71"/>
        <v>-34.128598076051517</v>
      </c>
      <c r="AA188" s="345">
        <f t="shared" si="72"/>
        <v>51.45564870589012</v>
      </c>
      <c r="AB188" s="346">
        <f t="shared" si="73"/>
        <v>-74.28530277003513</v>
      </c>
      <c r="AD188">
        <f t="shared" si="77"/>
        <v>0</v>
      </c>
      <c r="AE188">
        <f t="shared" si="80"/>
        <v>0</v>
      </c>
    </row>
    <row r="189" spans="1:31" x14ac:dyDescent="0.25">
      <c r="A189" s="347">
        <v>10654</v>
      </c>
      <c r="B189" s="364">
        <f t="shared" si="74"/>
        <v>10.654</v>
      </c>
      <c r="C189" s="337">
        <f t="shared" si="53"/>
        <v>2.6092664225491573</v>
      </c>
      <c r="D189" s="338">
        <f t="shared" si="54"/>
        <v>1.177484481592324</v>
      </c>
      <c r="E189" s="338">
        <f t="shared" si="55"/>
        <v>1.0001290474974673</v>
      </c>
      <c r="F189" s="339">
        <f t="shared" si="56"/>
        <v>1.606447143740768E-2</v>
      </c>
      <c r="G189" s="338">
        <f t="shared" si="57"/>
        <v>1</v>
      </c>
      <c r="H189" s="339">
        <f t="shared" si="58"/>
        <v>0</v>
      </c>
      <c r="I189" s="337">
        <f t="shared" si="59"/>
        <v>7713.4171459893823</v>
      </c>
      <c r="J189" s="340">
        <f t="shared" si="60"/>
        <v>1.5706666825679769</v>
      </c>
      <c r="K189" s="348">
        <f t="shared" si="81"/>
        <v>2.0656053706899549</v>
      </c>
      <c r="L189" s="349">
        <f t="shared" si="82"/>
        <v>1.065439634171258</v>
      </c>
      <c r="M189" s="337">
        <f t="shared" si="63"/>
        <v>1.0039287798424239</v>
      </c>
      <c r="N189" s="340">
        <f t="shared" si="64"/>
        <v>8.8498136244732212E-2</v>
      </c>
      <c r="O189" s="341">
        <f t="shared" si="65"/>
        <v>1.0001053494994203</v>
      </c>
      <c r="P189" s="342">
        <f t="shared" si="66"/>
        <v>0.13784183653943274</v>
      </c>
      <c r="Q189" s="343">
        <f t="shared" si="67"/>
        <v>15.400807275920336</v>
      </c>
      <c r="R189" s="344">
        <f t="shared" si="68"/>
        <v>-108.46016769247407</v>
      </c>
      <c r="S189" s="346">
        <f t="shared" si="69"/>
        <v>71.539832307525927</v>
      </c>
      <c r="U189" s="319">
        <f t="shared" si="75"/>
        <v>1000000000</v>
      </c>
      <c r="V189" s="319">
        <f t="shared" si="76"/>
        <v>113507716</v>
      </c>
      <c r="X189" s="345">
        <f t="shared" si="70"/>
        <v>26.229177016619239</v>
      </c>
      <c r="Y189" s="346">
        <f t="shared" si="71"/>
        <v>-34.017947309451841</v>
      </c>
      <c r="AA189" s="345">
        <f t="shared" si="72"/>
        <v>51.413133881748116</v>
      </c>
      <c r="AB189" s="346">
        <f t="shared" si="73"/>
        <v>-74.442220383022217</v>
      </c>
      <c r="AD189">
        <f t="shared" si="77"/>
        <v>0</v>
      </c>
      <c r="AE189">
        <f t="shared" si="80"/>
        <v>0</v>
      </c>
    </row>
    <row r="190" spans="1:31" x14ac:dyDescent="0.25">
      <c r="A190" s="347">
        <v>10715</v>
      </c>
      <c r="B190" s="364">
        <f t="shared" si="74"/>
        <v>10.715</v>
      </c>
      <c r="C190" s="337">
        <f t="shared" si="53"/>
        <v>2.6220169249215655</v>
      </c>
      <c r="D190" s="338">
        <f t="shared" si="54"/>
        <v>1.1795013936682825</v>
      </c>
      <c r="E190" s="338">
        <f t="shared" si="55"/>
        <v>1.0001305293667468</v>
      </c>
      <c r="F190" s="339">
        <f t="shared" si="56"/>
        <v>1.615643339758303E-2</v>
      </c>
      <c r="G190" s="338">
        <f t="shared" si="57"/>
        <v>1</v>
      </c>
      <c r="H190" s="339">
        <f t="shared" si="58"/>
        <v>0</v>
      </c>
      <c r="I190" s="337">
        <f t="shared" si="59"/>
        <v>7757.5806937667021</v>
      </c>
      <c r="J190" s="340">
        <f t="shared" si="60"/>
        <v>1.5706674206265634</v>
      </c>
      <c r="K190" s="348">
        <f t="shared" si="81"/>
        <v>2.0746662941064802</v>
      </c>
      <c r="L190" s="349">
        <f t="shared" si="82"/>
        <v>1.0678544181384495</v>
      </c>
      <c r="M190" s="337">
        <f t="shared" si="63"/>
        <v>1.0039738081874405</v>
      </c>
      <c r="N190" s="340">
        <f t="shared" si="64"/>
        <v>8.9002172598520918E-2</v>
      </c>
      <c r="O190" s="341">
        <f t="shared" si="65"/>
        <v>1.000107070291713</v>
      </c>
      <c r="P190" s="342">
        <f t="shared" si="66"/>
        <v>0.13863589728295292</v>
      </c>
      <c r="Q190" s="343">
        <f t="shared" si="67"/>
        <v>15.346502611433607</v>
      </c>
      <c r="R190" s="344">
        <f t="shared" si="68"/>
        <v>-108.50652005289476</v>
      </c>
      <c r="S190" s="346">
        <f t="shared" si="69"/>
        <v>71.493479947105243</v>
      </c>
      <c r="U190" s="319">
        <f t="shared" si="75"/>
        <v>1000000000</v>
      </c>
      <c r="V190" s="319">
        <f t="shared" si="76"/>
        <v>114811225</v>
      </c>
      <c r="X190" s="345">
        <f t="shared" si="70"/>
        <v>26.217215730130519</v>
      </c>
      <c r="Y190" s="346">
        <f t="shared" si="71"/>
        <v>-33.908511823006158</v>
      </c>
      <c r="AA190" s="345">
        <f t="shared" si="72"/>
        <v>51.370790503750115</v>
      </c>
      <c r="AB190" s="346">
        <f t="shared" si="73"/>
        <v>-74.598008229888563</v>
      </c>
      <c r="AD190">
        <f t="shared" si="77"/>
        <v>0</v>
      </c>
      <c r="AE190">
        <f t="shared" si="80"/>
        <v>0</v>
      </c>
    </row>
    <row r="191" spans="1:31" x14ac:dyDescent="0.25">
      <c r="A191" s="347">
        <v>10777.5</v>
      </c>
      <c r="B191" s="364">
        <f t="shared" si="74"/>
        <v>10.7775</v>
      </c>
      <c r="C191" s="337">
        <f t="shared" si="53"/>
        <v>2.6350919186766357</v>
      </c>
      <c r="D191" s="338">
        <f t="shared" si="54"/>
        <v>1.1815476489513055</v>
      </c>
      <c r="E191" s="338">
        <f t="shared" si="55"/>
        <v>1.0001320564480511</v>
      </c>
      <c r="F191" s="339">
        <f t="shared" si="56"/>
        <v>1.625065643396556E-2</v>
      </c>
      <c r="G191" s="338">
        <f t="shared" si="57"/>
        <v>1</v>
      </c>
      <c r="H191" s="339">
        <f t="shared" si="58"/>
        <v>0</v>
      </c>
      <c r="I191" s="337">
        <f t="shared" si="59"/>
        <v>7802.8302304281251</v>
      </c>
      <c r="J191" s="340">
        <f t="shared" si="60"/>
        <v>1.5706681681687051</v>
      </c>
      <c r="K191" s="348">
        <f t="shared" si="81"/>
        <v>2.083962464259558</v>
      </c>
      <c r="L191" s="349">
        <f t="shared" si="82"/>
        <v>1.0703067878355774</v>
      </c>
      <c r="M191" s="337">
        <f t="shared" si="63"/>
        <v>1.0040202083101313</v>
      </c>
      <c r="N191" s="340">
        <f t="shared" si="64"/>
        <v>8.9518556262555823E-2</v>
      </c>
      <c r="O191" s="341">
        <f t="shared" si="65"/>
        <v>1.0001088557257254</v>
      </c>
      <c r="P191" s="342">
        <f t="shared" si="66"/>
        <v>0.13944956940736128</v>
      </c>
      <c r="Q191" s="343">
        <f t="shared" si="67"/>
        <v>15.291209076025968</v>
      </c>
      <c r="R191" s="344">
        <f t="shared" si="68"/>
        <v>-108.55410224290829</v>
      </c>
      <c r="S191" s="346">
        <f t="shared" si="69"/>
        <v>71.445897757091714</v>
      </c>
      <c r="U191" s="319">
        <f t="shared" si="75"/>
        <v>1000000000</v>
      </c>
      <c r="V191" s="319">
        <f t="shared" si="76"/>
        <v>116154506.25</v>
      </c>
      <c r="X191" s="345">
        <f t="shared" si="70"/>
        <v>26.205130006862166</v>
      </c>
      <c r="Y191" s="346">
        <f t="shared" si="71"/>
        <v>-33.797630824996681</v>
      </c>
      <c r="AA191" s="345">
        <f t="shared" si="72"/>
        <v>51.327582691610829</v>
      </c>
      <c r="AB191" s="346">
        <f t="shared" si="73"/>
        <v>-74.756471417911612</v>
      </c>
      <c r="AD191">
        <f t="shared" si="77"/>
        <v>0</v>
      </c>
      <c r="AE191">
        <f t="shared" si="80"/>
        <v>0</v>
      </c>
    </row>
    <row r="192" spans="1:31" x14ac:dyDescent="0.25">
      <c r="A192" s="347">
        <v>10840</v>
      </c>
      <c r="B192" s="364">
        <f t="shared" si="74"/>
        <v>10.84</v>
      </c>
      <c r="C192" s="337">
        <f t="shared" si="53"/>
        <v>2.6481778370050537</v>
      </c>
      <c r="D192" s="338">
        <f t="shared" si="54"/>
        <v>1.1835736895880826</v>
      </c>
      <c r="E192" s="338">
        <f t="shared" si="55"/>
        <v>1.0001335924084813</v>
      </c>
      <c r="F192" s="339">
        <f t="shared" si="56"/>
        <v>1.6344879181777548E-2</v>
      </c>
      <c r="G192" s="338">
        <f t="shared" si="57"/>
        <v>1</v>
      </c>
      <c r="H192" s="339">
        <f t="shared" si="58"/>
        <v>0</v>
      </c>
      <c r="I192" s="337">
        <f t="shared" si="59"/>
        <v>7848.0797670938582</v>
      </c>
      <c r="J192" s="340">
        <f t="shared" si="60"/>
        <v>1.5706689070906654</v>
      </c>
      <c r="K192" s="348">
        <f t="shared" si="81"/>
        <v>2.0932710562439762</v>
      </c>
      <c r="L192" s="349">
        <f t="shared" si="82"/>
        <v>1.0727373610983626</v>
      </c>
      <c r="M192" s="337">
        <f t="shared" si="63"/>
        <v>1.0040668761321214</v>
      </c>
      <c r="N192" s="340">
        <f t="shared" si="64"/>
        <v>9.0034892062477612E-2</v>
      </c>
      <c r="O192" s="341">
        <f t="shared" si="65"/>
        <v>1.0001106639712509</v>
      </c>
      <c r="P192" s="342">
        <f t="shared" si="66"/>
        <v>0.14026332834375563</v>
      </c>
      <c r="Q192" s="343">
        <f t="shared" si="67"/>
        <v>15.236261953225299</v>
      </c>
      <c r="R192" s="344">
        <f t="shared" si="68"/>
        <v>-108.6017768168866</v>
      </c>
      <c r="S192" s="346">
        <f t="shared" si="69"/>
        <v>71.398223183113402</v>
      </c>
      <c r="U192" s="319">
        <f t="shared" si="75"/>
        <v>1000000000</v>
      </c>
      <c r="V192" s="319">
        <f t="shared" si="76"/>
        <v>117505600</v>
      </c>
      <c r="X192" s="345">
        <f t="shared" si="70"/>
        <v>26.193212798413626</v>
      </c>
      <c r="Y192" s="346">
        <f t="shared" si="71"/>
        <v>-33.687995434373221</v>
      </c>
      <c r="AA192" s="345">
        <f t="shared" si="72"/>
        <v>51.284552777258696</v>
      </c>
      <c r="AB192" s="346">
        <f t="shared" si="73"/>
        <v>-74.913781382513392</v>
      </c>
      <c r="AD192">
        <f t="shared" si="77"/>
        <v>0</v>
      </c>
      <c r="AE192">
        <f t="shared" si="80"/>
        <v>0</v>
      </c>
    </row>
    <row r="193" spans="1:31" x14ac:dyDescent="0.25">
      <c r="A193" s="347">
        <v>10902.5</v>
      </c>
      <c r="B193" s="364">
        <f t="shared" si="74"/>
        <v>10.9025</v>
      </c>
      <c r="C193" s="337">
        <f t="shared" si="53"/>
        <v>2.6612745187531277</v>
      </c>
      <c r="D193" s="338">
        <f t="shared" si="54"/>
        <v>1.1855797972630875</v>
      </c>
      <c r="E193" s="338">
        <f t="shared" si="55"/>
        <v>1.0001351372479961</v>
      </c>
      <c r="F193" s="339">
        <f t="shared" si="56"/>
        <v>1.6439101639347316E-2</v>
      </c>
      <c r="G193" s="338">
        <f t="shared" si="57"/>
        <v>1</v>
      </c>
      <c r="H193" s="339">
        <f t="shared" si="58"/>
        <v>0</v>
      </c>
      <c r="I193" s="337">
        <f t="shared" si="59"/>
        <v>7893.3293037638268</v>
      </c>
      <c r="J193" s="340">
        <f t="shared" si="60"/>
        <v>1.5706696375406932</v>
      </c>
      <c r="K193" s="348">
        <f t="shared" si="81"/>
        <v>2.1025919050779973</v>
      </c>
      <c r="L193" s="349">
        <f t="shared" si="82"/>
        <v>1.0751463988893188</v>
      </c>
      <c r="M193" s="337">
        <f t="shared" si="63"/>
        <v>1.0041138116160859</v>
      </c>
      <c r="N193" s="340">
        <f t="shared" si="64"/>
        <v>9.0551179729666226E-2</v>
      </c>
      <c r="O193" s="341">
        <f t="shared" si="65"/>
        <v>1.000112495244426</v>
      </c>
      <c r="P193" s="342">
        <f t="shared" si="66"/>
        <v>0.14107717457459124</v>
      </c>
      <c r="Q193" s="343">
        <f t="shared" si="67"/>
        <v>15.181656996698891</v>
      </c>
      <c r="R193" s="344">
        <f t="shared" si="68"/>
        <v>-108.64954498295219</v>
      </c>
      <c r="S193" s="346">
        <f t="shared" si="69"/>
        <v>71.350455017047807</v>
      </c>
      <c r="U193" s="319">
        <f t="shared" si="75"/>
        <v>1000000000</v>
      </c>
      <c r="V193" s="319">
        <f t="shared" si="76"/>
        <v>118864506.25</v>
      </c>
      <c r="X193" s="345">
        <f t="shared" si="70"/>
        <v>26.181460912310762</v>
      </c>
      <c r="Y193" s="346">
        <f t="shared" si="71"/>
        <v>-33.57959069218834</v>
      </c>
      <c r="AA193" s="345">
        <f t="shared" si="72"/>
        <v>51.241699706835149</v>
      </c>
      <c r="AB193" s="346">
        <f t="shared" si="73"/>
        <v>-75.069954290763832</v>
      </c>
      <c r="AD193">
        <f t="shared" si="77"/>
        <v>0</v>
      </c>
      <c r="AE193">
        <f t="shared" si="80"/>
        <v>0</v>
      </c>
    </row>
    <row r="194" spans="1:31" x14ac:dyDescent="0.25">
      <c r="A194" s="347">
        <v>10965</v>
      </c>
      <c r="B194" s="364">
        <f t="shared" si="74"/>
        <v>10.965</v>
      </c>
      <c r="C194" s="337">
        <f t="shared" si="53"/>
        <v>2.6743818057926396</v>
      </c>
      <c r="D194" s="338">
        <f t="shared" si="54"/>
        <v>1.1875662487871745</v>
      </c>
      <c r="E194" s="338">
        <f t="shared" si="55"/>
        <v>1.0001366909665548</v>
      </c>
      <c r="F194" s="339">
        <f t="shared" si="56"/>
        <v>1.6533323805003233E-2</v>
      </c>
      <c r="G194" s="338">
        <f t="shared" si="57"/>
        <v>1</v>
      </c>
      <c r="H194" s="339">
        <f t="shared" si="58"/>
        <v>0</v>
      </c>
      <c r="I194" s="337">
        <f t="shared" si="59"/>
        <v>7938.5788404379591</v>
      </c>
      <c r="J194" s="340">
        <f t="shared" si="60"/>
        <v>1.5706703596636575</v>
      </c>
      <c r="K194" s="348">
        <f t="shared" si="81"/>
        <v>2.1119248484770998</v>
      </c>
      <c r="L194" s="349">
        <f t="shared" si="82"/>
        <v>1.0775341585669702</v>
      </c>
      <c r="M194" s="337">
        <f t="shared" si="63"/>
        <v>1.0041610147244924</v>
      </c>
      <c r="N194" s="340">
        <f t="shared" si="64"/>
        <v>9.1067418995654389E-2</v>
      </c>
      <c r="O194" s="341">
        <f t="shared" si="65"/>
        <v>1.0001143497626352</v>
      </c>
      <c r="P194" s="342">
        <f t="shared" si="66"/>
        <v>0.14189110858195314</v>
      </c>
      <c r="Q194" s="343">
        <f t="shared" si="67"/>
        <v>15.127390032666826</v>
      </c>
      <c r="R194" s="344">
        <f t="shared" si="68"/>
        <v>-108.69740787627697</v>
      </c>
      <c r="S194" s="346">
        <f t="shared" si="69"/>
        <v>71.302592123723031</v>
      </c>
      <c r="U194" s="319">
        <f t="shared" si="75"/>
        <v>1000000000</v>
      </c>
      <c r="V194" s="319">
        <f t="shared" si="76"/>
        <v>120231225</v>
      </c>
      <c r="X194" s="345">
        <f t="shared" si="70"/>
        <v>26.169871227718396</v>
      </c>
      <c r="Y194" s="346">
        <f t="shared" si="71"/>
        <v>-33.472401845803113</v>
      </c>
      <c r="AA194" s="345">
        <f t="shared" si="72"/>
        <v>51.199022427395455</v>
      </c>
      <c r="AB194" s="346">
        <f t="shared" si="73"/>
        <v>-75.225006030473878</v>
      </c>
      <c r="AD194">
        <f t="shared" si="77"/>
        <v>0</v>
      </c>
      <c r="AE194">
        <f t="shared" si="80"/>
        <v>0</v>
      </c>
    </row>
    <row r="195" spans="1:31" x14ac:dyDescent="0.25">
      <c r="A195" s="347">
        <v>11028.75</v>
      </c>
      <c r="B195" s="364">
        <f t="shared" si="74"/>
        <v>11.02875</v>
      </c>
      <c r="C195" s="337">
        <f t="shared" si="53"/>
        <v>2.687762003237216</v>
      </c>
      <c r="D195" s="338">
        <f t="shared" si="54"/>
        <v>1.1895724616678838</v>
      </c>
      <c r="E195" s="338">
        <f t="shared" si="55"/>
        <v>1.0001382849066327</v>
      </c>
      <c r="F195" s="339">
        <f t="shared" si="56"/>
        <v>1.6629430111509035E-2</v>
      </c>
      <c r="G195" s="338">
        <f t="shared" si="57"/>
        <v>1</v>
      </c>
      <c r="H195" s="339">
        <f t="shared" si="58"/>
        <v>0</v>
      </c>
      <c r="I195" s="337">
        <f t="shared" si="59"/>
        <v>7984.7333678497898</v>
      </c>
      <c r="J195" s="340">
        <f t="shared" si="60"/>
        <v>1.5706710877973566</v>
      </c>
      <c r="K195" s="348">
        <f t="shared" si="81"/>
        <v>2.1214567450239721</v>
      </c>
      <c r="L195" s="349">
        <f t="shared" si="82"/>
        <v>1.0799480159184591</v>
      </c>
      <c r="M195" s="337">
        <f t="shared" si="63"/>
        <v>1.0042094375626278</v>
      </c>
      <c r="N195" s="340">
        <f t="shared" si="64"/>
        <v>9.1593932905786768E-2</v>
      </c>
      <c r="O195" s="341">
        <f t="shared" si="65"/>
        <v>1.0001162655449842</v>
      </c>
      <c r="P195" s="342">
        <f t="shared" si="66"/>
        <v>0.14272141219640636</v>
      </c>
      <c r="Q195" s="343">
        <f t="shared" si="67"/>
        <v>15.072381674736516</v>
      </c>
      <c r="R195" s="344">
        <f t="shared" si="68"/>
        <v>-108.746326719584</v>
      </c>
      <c r="S195" s="346">
        <f t="shared" si="69"/>
        <v>71.253673280415995</v>
      </c>
      <c r="U195" s="319">
        <f t="shared" si="75"/>
        <v>1000000000</v>
      </c>
      <c r="V195" s="319">
        <f t="shared" si="76"/>
        <v>121633326.5625</v>
      </c>
      <c r="X195" s="345">
        <f t="shared" si="70"/>
        <v>26.158213685638305</v>
      </c>
      <c r="Y195" s="346">
        <f t="shared" si="71"/>
        <v>-33.364306750986046</v>
      </c>
      <c r="AA195" s="345">
        <f t="shared" si="72"/>
        <v>51.15567161154523</v>
      </c>
      <c r="AB195" s="346">
        <f t="shared" si="73"/>
        <v>-75.382019968597959</v>
      </c>
      <c r="AD195">
        <f t="shared" si="77"/>
        <v>0</v>
      </c>
      <c r="AE195">
        <f t="shared" si="80"/>
        <v>0</v>
      </c>
    </row>
    <row r="196" spans="1:31" x14ac:dyDescent="0.25">
      <c r="A196" s="347">
        <v>11092.5</v>
      </c>
      <c r="B196" s="364">
        <f t="shared" si="74"/>
        <v>11.092499999999999</v>
      </c>
      <c r="C196" s="337">
        <f t="shared" si="53"/>
        <v>2.7011529114295887</v>
      </c>
      <c r="D196" s="338">
        <f t="shared" si="54"/>
        <v>1.1915587909619503</v>
      </c>
      <c r="E196" s="338">
        <f t="shared" si="55"/>
        <v>1.0001398880843806</v>
      </c>
      <c r="F196" s="339">
        <f t="shared" si="56"/>
        <v>1.6725536110794633E-2</v>
      </c>
      <c r="G196" s="338">
        <f t="shared" si="57"/>
        <v>1</v>
      </c>
      <c r="H196" s="339">
        <f t="shared" si="58"/>
        <v>0</v>
      </c>
      <c r="I196" s="337">
        <f t="shared" si="59"/>
        <v>8030.887895265806</v>
      </c>
      <c r="J196" s="340">
        <f t="shared" si="60"/>
        <v>1.5706718075617028</v>
      </c>
      <c r="K196" s="348">
        <f t="shared" si="81"/>
        <v>2.1310008920549279</v>
      </c>
      <c r="L196" s="349">
        <f t="shared" si="82"/>
        <v>1.0823402651437215</v>
      </c>
      <c r="M196" s="337">
        <f t="shared" si="63"/>
        <v>1.004258138757697</v>
      </c>
      <c r="N196" s="340">
        <f t="shared" si="64"/>
        <v>9.2120395895585794E-2</v>
      </c>
      <c r="O196" s="341">
        <f t="shared" si="65"/>
        <v>1.0001182059722851</v>
      </c>
      <c r="P196" s="342">
        <f t="shared" si="66"/>
        <v>0.14355180814552493</v>
      </c>
      <c r="Q196" s="343">
        <f t="shared" si="67"/>
        <v>15.017716416525138</v>
      </c>
      <c r="R196" s="344">
        <f t="shared" si="68"/>
        <v>-108.79534628267115</v>
      </c>
      <c r="S196" s="346">
        <f t="shared" si="69"/>
        <v>71.204653717328853</v>
      </c>
      <c r="U196" s="319">
        <f t="shared" si="75"/>
        <v>1000000000</v>
      </c>
      <c r="V196" s="319">
        <f t="shared" si="76"/>
        <v>123043556.25</v>
      </c>
      <c r="X196" s="345">
        <f t="shared" si="70"/>
        <v>26.146718558985977</v>
      </c>
      <c r="Y196" s="346">
        <f t="shared" si="71"/>
        <v>-33.257446313557573</v>
      </c>
      <c r="AA196" s="345">
        <f t="shared" si="72"/>
        <v>51.112501479986186</v>
      </c>
      <c r="AB196" s="346">
        <f t="shared" si="73"/>
        <v>-75.537899969113596</v>
      </c>
      <c r="AD196">
        <f t="shared" si="77"/>
        <v>0</v>
      </c>
      <c r="AE196">
        <f t="shared" si="80"/>
        <v>0</v>
      </c>
    </row>
    <row r="197" spans="1:31" x14ac:dyDescent="0.25">
      <c r="A197" s="347">
        <v>11156.25</v>
      </c>
      <c r="B197" s="364">
        <f t="shared" si="74"/>
        <v>11.15625</v>
      </c>
      <c r="C197" s="337">
        <f t="shared" si="53"/>
        <v>2.7145543718612681</v>
      </c>
      <c r="D197" s="338">
        <f t="shared" si="54"/>
        <v>1.193525515367581</v>
      </c>
      <c r="E197" s="338">
        <f t="shared" si="55"/>
        <v>1.0001415004997538</v>
      </c>
      <c r="F197" s="339">
        <f t="shared" si="56"/>
        <v>1.6821641801086161E-2</v>
      </c>
      <c r="G197" s="338">
        <f t="shared" si="57"/>
        <v>1</v>
      </c>
      <c r="H197" s="339">
        <f t="shared" si="58"/>
        <v>0</v>
      </c>
      <c r="I197" s="337">
        <f t="shared" si="59"/>
        <v>8077.0424226859341</v>
      </c>
      <c r="J197" s="340">
        <f t="shared" si="60"/>
        <v>1.5706725191001709</v>
      </c>
      <c r="K197" s="348">
        <f t="shared" si="81"/>
        <v>2.1405571257055018</v>
      </c>
      <c r="L197" s="349">
        <f t="shared" si="82"/>
        <v>1.0847111680772452</v>
      </c>
      <c r="M197" s="337">
        <f t="shared" si="63"/>
        <v>1.0043071182692054</v>
      </c>
      <c r="N197" s="340">
        <f t="shared" si="64"/>
        <v>9.2646807680648077E-2</v>
      </c>
      <c r="O197" s="341">
        <f t="shared" si="65"/>
        <v>1.0001201712792378</v>
      </c>
      <c r="P197" s="342">
        <f t="shared" si="66"/>
        <v>0.14438229693969584</v>
      </c>
      <c r="Q197" s="343">
        <f t="shared" si="67"/>
        <v>14.963390052262788</v>
      </c>
      <c r="R197" s="344">
        <f t="shared" si="68"/>
        <v>-108.84446755302838</v>
      </c>
      <c r="S197" s="346">
        <f t="shared" si="69"/>
        <v>71.15553244697162</v>
      </c>
      <c r="U197" s="319">
        <f t="shared" si="75"/>
        <v>1000000000</v>
      </c>
      <c r="V197" s="319">
        <f t="shared" si="76"/>
        <v>124461914.0625</v>
      </c>
      <c r="X197" s="345">
        <f t="shared" si="70"/>
        <v>26.135382754472765</v>
      </c>
      <c r="Y197" s="346">
        <f t="shared" si="71"/>
        <v>-33.151805523431968</v>
      </c>
      <c r="AA197" s="345">
        <f t="shared" si="72"/>
        <v>51.06951092023705</v>
      </c>
      <c r="AB197" s="346">
        <f t="shared" si="73"/>
        <v>-75.692662029596448</v>
      </c>
      <c r="AD197">
        <f t="shared" si="77"/>
        <v>0</v>
      </c>
      <c r="AE197">
        <f t="shared" si="80"/>
        <v>0</v>
      </c>
    </row>
    <row r="198" spans="1:31" x14ac:dyDescent="0.25">
      <c r="A198" s="347">
        <v>11220</v>
      </c>
      <c r="B198" s="364">
        <f t="shared" si="74"/>
        <v>11.22</v>
      </c>
      <c r="C198" s="337">
        <f t="shared" si="53"/>
        <v>2.727966229014847</v>
      </c>
      <c r="D198" s="338">
        <f t="shared" si="54"/>
        <v>1.1954729087153255</v>
      </c>
      <c r="E198" s="338">
        <f t="shared" si="55"/>
        <v>1.0001431221527077</v>
      </c>
      <c r="F198" s="339">
        <f t="shared" si="56"/>
        <v>1.6917747180609798E-2</v>
      </c>
      <c r="G198" s="338">
        <f t="shared" si="57"/>
        <v>1</v>
      </c>
      <c r="H198" s="339">
        <f t="shared" si="58"/>
        <v>0</v>
      </c>
      <c r="I198" s="337">
        <f t="shared" si="59"/>
        <v>8123.1969501101057</v>
      </c>
      <c r="J198" s="340">
        <f t="shared" si="60"/>
        <v>1.5706732225529747</v>
      </c>
      <c r="K198" s="348">
        <f t="shared" si="81"/>
        <v>2.1501252848187264</v>
      </c>
      <c r="L198" s="349">
        <f t="shared" si="82"/>
        <v>1.0870609828616016</v>
      </c>
      <c r="M198" s="337">
        <f t="shared" si="63"/>
        <v>1.0043563760564351</v>
      </c>
      <c r="N198" s="340">
        <f t="shared" si="64"/>
        <v>9.3173167976739121E-2</v>
      </c>
      <c r="O198" s="341">
        <f t="shared" si="65"/>
        <v>1.0001221617018921</v>
      </c>
      <c r="P198" s="342">
        <f t="shared" si="66"/>
        <v>0.14521287908889483</v>
      </c>
      <c r="Q198" s="343">
        <f t="shared" si="67"/>
        <v>14.909398448232508</v>
      </c>
      <c r="R198" s="344">
        <f t="shared" si="68"/>
        <v>-108.89369145058002</v>
      </c>
      <c r="S198" s="346">
        <f t="shared" si="69"/>
        <v>71.106308549419978</v>
      </c>
      <c r="U198" s="319">
        <f t="shared" si="75"/>
        <v>1000000000</v>
      </c>
      <c r="V198" s="319">
        <f t="shared" si="76"/>
        <v>125888400</v>
      </c>
      <c r="X198" s="345">
        <f t="shared" si="70"/>
        <v>26.12420324859864</v>
      </c>
      <c r="Y198" s="346">
        <f t="shared" si="71"/>
        <v>-33.047369581877582</v>
      </c>
      <c r="AA198" s="345">
        <f t="shared" si="72"/>
        <v>51.026698822080895</v>
      </c>
      <c r="AB198" s="346">
        <f t="shared" si="73"/>
        <v>-75.846321868702447</v>
      </c>
      <c r="AD198">
        <f t="shared" si="77"/>
        <v>0</v>
      </c>
      <c r="AE198">
        <f t="shared" si="80"/>
        <v>0</v>
      </c>
    </row>
    <row r="199" spans="1:31" x14ac:dyDescent="0.25">
      <c r="A199" s="347">
        <v>11285.5</v>
      </c>
      <c r="B199" s="364">
        <f t="shared" si="74"/>
        <v>11.285500000000001</v>
      </c>
      <c r="C199" s="337">
        <f t="shared" si="53"/>
        <v>2.7417569231677947</v>
      </c>
      <c r="D199" s="338">
        <f t="shared" si="54"/>
        <v>1.1974539083647924</v>
      </c>
      <c r="E199" s="338">
        <f t="shared" si="55"/>
        <v>1.0001447979430105</v>
      </c>
      <c r="F199" s="339">
        <f t="shared" si="56"/>
        <v>1.7016490421476613E-2</v>
      </c>
      <c r="G199" s="338">
        <f t="shared" si="57"/>
        <v>1</v>
      </c>
      <c r="H199" s="339">
        <f t="shared" si="58"/>
        <v>0</v>
      </c>
      <c r="I199" s="337">
        <f t="shared" si="59"/>
        <v>8170.6184645657449</v>
      </c>
      <c r="J199" s="340">
        <f t="shared" si="60"/>
        <v>1.5706739370386213</v>
      </c>
      <c r="K199" s="348">
        <f t="shared" si="81"/>
        <v>2.1599683537061827</v>
      </c>
      <c r="L199" s="349">
        <f t="shared" si="82"/>
        <v>1.0894536054126935</v>
      </c>
      <c r="M199" s="337">
        <f t="shared" si="63"/>
        <v>1.0044072758141636</v>
      </c>
      <c r="N199" s="340">
        <f t="shared" si="64"/>
        <v>9.3713923451917425E-2</v>
      </c>
      <c r="O199" s="341">
        <f t="shared" si="65"/>
        <v>1.0001242331724771</v>
      </c>
      <c r="P199" s="342">
        <f t="shared" si="66"/>
        <v>0.14606635930220802</v>
      </c>
      <c r="Q199" s="343">
        <f t="shared" si="67"/>
        <v>14.854269122082391</v>
      </c>
      <c r="R199" s="344">
        <f t="shared" si="68"/>
        <v>-108.94437438227591</v>
      </c>
      <c r="S199" s="346">
        <f t="shared" si="69"/>
        <v>71.05562561772409</v>
      </c>
      <c r="U199" s="319">
        <f t="shared" si="75"/>
        <v>1000000000</v>
      </c>
      <c r="V199" s="319">
        <f t="shared" si="76"/>
        <v>127362510.25</v>
      </c>
      <c r="X199" s="345">
        <f t="shared" si="70"/>
        <v>26.112876541655009</v>
      </c>
      <c r="Y199" s="346">
        <f t="shared" si="71"/>
        <v>-32.941306351099385</v>
      </c>
      <c r="AA199" s="345">
        <f t="shared" si="72"/>
        <v>50.9828962028744</v>
      </c>
      <c r="AB199" s="346">
        <f t="shared" si="73"/>
        <v>-76.003068031176554</v>
      </c>
      <c r="AD199">
        <f t="shared" si="77"/>
        <v>0</v>
      </c>
      <c r="AE199">
        <f t="shared" si="80"/>
        <v>0</v>
      </c>
    </row>
    <row r="200" spans="1:31" x14ac:dyDescent="0.25">
      <c r="A200" s="347">
        <v>11351</v>
      </c>
      <c r="B200" s="364">
        <f t="shared" si="74"/>
        <v>11.351000000000001</v>
      </c>
      <c r="C200" s="337">
        <f t="shared" si="53"/>
        <v>2.7555582692392231</v>
      </c>
      <c r="D200" s="338">
        <f t="shared" si="54"/>
        <v>1.1994150717825041</v>
      </c>
      <c r="E200" s="338">
        <f t="shared" si="55"/>
        <v>1.0001464834849199</v>
      </c>
      <c r="F200" s="339">
        <f t="shared" si="56"/>
        <v>1.7115233330483197E-2</v>
      </c>
      <c r="G200" s="338">
        <f t="shared" si="57"/>
        <v>1</v>
      </c>
      <c r="H200" s="339">
        <f t="shared" si="58"/>
        <v>0</v>
      </c>
      <c r="I200" s="337">
        <f t="shared" si="59"/>
        <v>8218.0399790255105</v>
      </c>
      <c r="J200" s="340">
        <f t="shared" si="60"/>
        <v>1.5706746432785084</v>
      </c>
      <c r="K200" s="348">
        <f t="shared" si="81"/>
        <v>2.1698236754153326</v>
      </c>
      <c r="L200" s="349">
        <f t="shared" si="82"/>
        <v>1.0918245068890222</v>
      </c>
      <c r="M200" s="337">
        <f t="shared" si="63"/>
        <v>1.0044584692473193</v>
      </c>
      <c r="N200" s="340">
        <f t="shared" si="64"/>
        <v>9.4254623964686604E-2</v>
      </c>
      <c r="O200" s="341">
        <f t="shared" si="65"/>
        <v>1.0001263316661861</v>
      </c>
      <c r="P200" s="342">
        <f t="shared" si="66"/>
        <v>0.14691993915642301</v>
      </c>
      <c r="Q200" s="343">
        <f t="shared" si="67"/>
        <v>14.799484567197435</v>
      </c>
      <c r="R200" s="344">
        <f t="shared" si="68"/>
        <v>-108.99516741397741</v>
      </c>
      <c r="S200" s="346">
        <f t="shared" si="69"/>
        <v>71.004832586022587</v>
      </c>
      <c r="U200" s="319">
        <f t="shared" si="75"/>
        <v>1000000000</v>
      </c>
      <c r="V200" s="319">
        <f t="shared" si="76"/>
        <v>128845201</v>
      </c>
      <c r="X200" s="345">
        <f t="shared" si="70"/>
        <v>26.101708579638792</v>
      </c>
      <c r="Y200" s="346">
        <f t="shared" si="71"/>
        <v>-32.836484024671719</v>
      </c>
      <c r="AA200" s="345">
        <f t="shared" si="72"/>
        <v>50.93927961000567</v>
      </c>
      <c r="AB200" s="346">
        <f t="shared" si="73"/>
        <v>-76.158683389305708</v>
      </c>
      <c r="AD200">
        <f t="shared" si="77"/>
        <v>0</v>
      </c>
      <c r="AE200">
        <f t="shared" si="80"/>
        <v>0</v>
      </c>
    </row>
    <row r="201" spans="1:31" x14ac:dyDescent="0.25">
      <c r="A201" s="347">
        <v>11416.5</v>
      </c>
      <c r="B201" s="364">
        <f t="shared" si="74"/>
        <v>11.416499999999999</v>
      </c>
      <c r="C201" s="337">
        <f t="shared" si="53"/>
        <v>2.7693701079754356</v>
      </c>
      <c r="D201" s="338">
        <f t="shared" si="54"/>
        <v>1.2013566805599281</v>
      </c>
      <c r="E201" s="338">
        <f t="shared" si="55"/>
        <v>1.0001481787783864</v>
      </c>
      <c r="F201" s="339">
        <f t="shared" si="56"/>
        <v>1.7213975905705722E-2</v>
      </c>
      <c r="G201" s="338">
        <f t="shared" si="57"/>
        <v>1</v>
      </c>
      <c r="H201" s="339">
        <f t="shared" si="58"/>
        <v>0</v>
      </c>
      <c r="I201" s="337">
        <f t="shared" si="59"/>
        <v>8265.4614934893234</v>
      </c>
      <c r="J201" s="340">
        <f t="shared" si="60"/>
        <v>1.5706753414145609</v>
      </c>
      <c r="K201" s="348">
        <f t="shared" si="81"/>
        <v>2.1796910837453383</v>
      </c>
      <c r="L201" s="349">
        <f t="shared" si="82"/>
        <v>1.0941739554463814</v>
      </c>
      <c r="M201" s="337">
        <f t="shared" si="63"/>
        <v>1.0045099563110025</v>
      </c>
      <c r="N201" s="340">
        <f t="shared" si="64"/>
        <v>9.4795269207318997E-2</v>
      </c>
      <c r="O201" s="341">
        <f t="shared" si="65"/>
        <v>1.000128457443499</v>
      </c>
      <c r="P201" s="342">
        <f t="shared" si="66"/>
        <v>0.1477736192033044</v>
      </c>
      <c r="Q201" s="343">
        <f t="shared" si="67"/>
        <v>14.745040527603146</v>
      </c>
      <c r="R201" s="344">
        <f t="shared" si="68"/>
        <v>-109.0460713377161</v>
      </c>
      <c r="S201" s="346">
        <f t="shared" si="69"/>
        <v>70.9539286622839</v>
      </c>
      <c r="U201" s="319">
        <f t="shared" si="75"/>
        <v>1000000000</v>
      </c>
      <c r="V201" s="319">
        <f t="shared" si="76"/>
        <v>130336472.25</v>
      </c>
      <c r="X201" s="345">
        <f t="shared" si="70"/>
        <v>26.090696301475262</v>
      </c>
      <c r="Y201" s="346">
        <f t="shared" si="71"/>
        <v>-32.732887228899557</v>
      </c>
      <c r="AA201" s="345">
        <f t="shared" si="72"/>
        <v>50.895847848574917</v>
      </c>
      <c r="AB201" s="346">
        <f t="shared" si="73"/>
        <v>-76.313184108816515</v>
      </c>
      <c r="AD201">
        <f t="shared" si="77"/>
        <v>0</v>
      </c>
      <c r="AE201">
        <f t="shared" si="80"/>
        <v>0</v>
      </c>
    </row>
    <row r="202" spans="1:31" x14ac:dyDescent="0.25">
      <c r="A202" s="347">
        <v>11482</v>
      </c>
      <c r="B202" s="364">
        <f t="shared" si="74"/>
        <v>11.481999999999999</v>
      </c>
      <c r="C202" s="337">
        <f t="shared" si="53"/>
        <v>2.7831922831640949</v>
      </c>
      <c r="D202" s="338">
        <f t="shared" si="54"/>
        <v>1.2032790112907941</v>
      </c>
      <c r="E202" s="338">
        <f t="shared" si="55"/>
        <v>1.0001498838233609</v>
      </c>
      <c r="F202" s="339">
        <f t="shared" si="56"/>
        <v>1.7312718145220386E-2</v>
      </c>
      <c r="G202" s="338">
        <f t="shared" si="57"/>
        <v>1</v>
      </c>
      <c r="H202" s="339">
        <f t="shared" si="58"/>
        <v>0</v>
      </c>
      <c r="I202" s="337">
        <f t="shared" si="59"/>
        <v>8312.8830079571198</v>
      </c>
      <c r="J202" s="340">
        <f t="shared" si="60"/>
        <v>1.5706760315854664</v>
      </c>
      <c r="K202" s="348">
        <f t="shared" si="81"/>
        <v>2.1895704152893258</v>
      </c>
      <c r="L202" s="349">
        <f t="shared" si="82"/>
        <v>1.0965022153571469</v>
      </c>
      <c r="M202" s="337">
        <f t="shared" si="63"/>
        <v>1.0045617369600643</v>
      </c>
      <c r="N202" s="340">
        <f t="shared" si="64"/>
        <v>9.533585887227905E-2</v>
      </c>
      <c r="O202" s="341">
        <f t="shared" si="65"/>
        <v>1.0001306107663999</v>
      </c>
      <c r="P202" s="342">
        <f t="shared" si="66"/>
        <v>0.14862739999414704</v>
      </c>
      <c r="Q202" s="343">
        <f t="shared" si="67"/>
        <v>14.690932820940766</v>
      </c>
      <c r="R202" s="344">
        <f t="shared" si="68"/>
        <v>-109.09708688147633</v>
      </c>
      <c r="S202" s="346">
        <f t="shared" si="69"/>
        <v>70.902913118523671</v>
      </c>
      <c r="U202" s="319">
        <f t="shared" si="75"/>
        <v>1000000000</v>
      </c>
      <c r="V202" s="319">
        <f t="shared" si="76"/>
        <v>131836324</v>
      </c>
      <c r="X202" s="345">
        <f t="shared" si="70"/>
        <v>26.079836716010675</v>
      </c>
      <c r="Y202" s="346">
        <f t="shared" si="71"/>
        <v>-32.630500812416827</v>
      </c>
      <c r="AA202" s="345">
        <f t="shared" si="72"/>
        <v>50.852599727377111</v>
      </c>
      <c r="AB202" s="346">
        <f t="shared" si="73"/>
        <v>-76.466586069059488</v>
      </c>
      <c r="AD202">
        <f t="shared" si="77"/>
        <v>0</v>
      </c>
      <c r="AE202">
        <f t="shared" si="80"/>
        <v>0</v>
      </c>
    </row>
    <row r="203" spans="1:31" x14ac:dyDescent="0.25">
      <c r="A203" s="347">
        <v>11548.75</v>
      </c>
      <c r="B203" s="364">
        <f t="shared" si="74"/>
        <v>11.54875</v>
      </c>
      <c r="C203" s="337">
        <f t="shared" si="53"/>
        <v>2.7972887159042363</v>
      </c>
      <c r="D203" s="338">
        <f t="shared" si="54"/>
        <v>1.2052184755929034</v>
      </c>
      <c r="E203" s="338">
        <f t="shared" si="55"/>
        <v>1.0001516314397398</v>
      </c>
      <c r="F203" s="339">
        <f t="shared" si="56"/>
        <v>1.7413344431248208E-2</v>
      </c>
      <c r="G203" s="338">
        <f t="shared" si="57"/>
        <v>1</v>
      </c>
      <c r="H203" s="339">
        <f t="shared" si="58"/>
        <v>0</v>
      </c>
      <c r="I203" s="337">
        <f t="shared" si="59"/>
        <v>8361.2095131630631</v>
      </c>
      <c r="J203" s="340">
        <f t="shared" si="60"/>
        <v>1.5706767268732813</v>
      </c>
      <c r="K203" s="348">
        <f t="shared" si="81"/>
        <v>2.1996503840600781</v>
      </c>
      <c r="L203" s="349">
        <f t="shared" si="82"/>
        <v>1.0988533782935699</v>
      </c>
      <c r="M203" s="337">
        <f t="shared" si="63"/>
        <v>1.0046148077854511</v>
      </c>
      <c r="N203" s="340">
        <f t="shared" si="64"/>
        <v>9.5886707636934992E-2</v>
      </c>
      <c r="O203" s="341">
        <f t="shared" si="65"/>
        <v>1.0001328337951825</v>
      </c>
      <c r="P203" s="342">
        <f t="shared" si="66"/>
        <v>0.14949757852802409</v>
      </c>
      <c r="Q203" s="343">
        <f t="shared" si="67"/>
        <v>14.636134291193112</v>
      </c>
      <c r="R203" s="344">
        <f t="shared" si="68"/>
        <v>-109.14919152969705</v>
      </c>
      <c r="S203" s="346">
        <f t="shared" si="69"/>
        <v>70.850808470302951</v>
      </c>
      <c r="U203" s="319">
        <f t="shared" si="75"/>
        <v>1000000000</v>
      </c>
      <c r="V203" s="319">
        <f t="shared" si="76"/>
        <v>133373626.5625</v>
      </c>
      <c r="X203" s="345">
        <f t="shared" si="70"/>
        <v>26.068923951940029</v>
      </c>
      <c r="Y203" s="346">
        <f t="shared" si="71"/>
        <v>-32.5273902455165</v>
      </c>
      <c r="AA203" s="345">
        <f t="shared" si="72"/>
        <v>50.808713961700107</v>
      </c>
      <c r="AB203" s="346">
        <f t="shared" si="73"/>
        <v>-76.621801284180563</v>
      </c>
      <c r="AD203">
        <f t="shared" si="77"/>
        <v>0</v>
      </c>
      <c r="AE203">
        <f t="shared" si="80"/>
        <v>0</v>
      </c>
    </row>
    <row r="204" spans="1:31" x14ac:dyDescent="0.25">
      <c r="A204" s="347">
        <v>11615.5</v>
      </c>
      <c r="B204" s="364">
        <f t="shared" si="74"/>
        <v>11.615500000000001</v>
      </c>
      <c r="C204" s="337">
        <f t="shared" si="53"/>
        <v>2.8113955651678966</v>
      </c>
      <c r="D204" s="338">
        <f t="shared" si="54"/>
        <v>1.2071384836054455</v>
      </c>
      <c r="E204" s="338">
        <f t="shared" si="55"/>
        <v>1.0001533891832679</v>
      </c>
      <c r="F204" s="339">
        <f t="shared" si="56"/>
        <v>1.7513970364598772E-2</v>
      </c>
      <c r="G204" s="338">
        <f t="shared" si="57"/>
        <v>1</v>
      </c>
      <c r="H204" s="339">
        <f t="shared" si="58"/>
        <v>0</v>
      </c>
      <c r="I204" s="337">
        <f t="shared" si="59"/>
        <v>8409.5360183730027</v>
      </c>
      <c r="J204" s="340">
        <f t="shared" si="60"/>
        <v>1.5706774141699704</v>
      </c>
      <c r="K204" s="348">
        <f t="shared" si="81"/>
        <v>2.2097424014523961</v>
      </c>
      <c r="L204" s="349">
        <f t="shared" si="82"/>
        <v>1.1011830782248979</v>
      </c>
      <c r="M204" s="337">
        <f t="shared" si="63"/>
        <v>1.0046681834132314</v>
      </c>
      <c r="N204" s="340">
        <f t="shared" si="64"/>
        <v>9.6437498038139086E-2</v>
      </c>
      <c r="O204" s="341">
        <f t="shared" si="65"/>
        <v>1.0001350859850582</v>
      </c>
      <c r="P204" s="342">
        <f t="shared" si="66"/>
        <v>0.15036786284224304</v>
      </c>
      <c r="Q204" s="343">
        <f t="shared" si="67"/>
        <v>14.581676510642311</v>
      </c>
      <c r="R204" s="344">
        <f t="shared" si="68"/>
        <v>-109.20141343338521</v>
      </c>
      <c r="S204" s="346">
        <f t="shared" si="69"/>
        <v>70.798586566614787</v>
      </c>
      <c r="U204" s="319">
        <f t="shared" si="75"/>
        <v>1000000000</v>
      </c>
      <c r="V204" s="319">
        <f t="shared" si="76"/>
        <v>134919840.25</v>
      </c>
      <c r="X204" s="345">
        <f t="shared" si="70"/>
        <v>26.058163705817343</v>
      </c>
      <c r="Y204" s="346">
        <f t="shared" si="71"/>
        <v>-32.425505616387937</v>
      </c>
      <c r="AA204" s="345">
        <f t="shared" si="72"/>
        <v>50.765016427271988</v>
      </c>
      <c r="AB204" s="346">
        <f t="shared" si="73"/>
        <v>-76.775907816997261</v>
      </c>
      <c r="AD204">
        <f t="shared" si="77"/>
        <v>0</v>
      </c>
      <c r="AE204">
        <f t="shared" si="80"/>
        <v>0</v>
      </c>
    </row>
    <row r="205" spans="1:31" x14ac:dyDescent="0.25">
      <c r="A205" s="347">
        <v>11682.25</v>
      </c>
      <c r="B205" s="364">
        <f t="shared" si="74"/>
        <v>11.68225</v>
      </c>
      <c r="C205" s="337">
        <f t="shared" ref="C205:C268" si="83">SQRT(1+(A205/pole1)^2)</f>
        <v>2.8255126749363195</v>
      </c>
      <c r="D205" s="338">
        <f t="shared" ref="D205:D268" si="84">ATAN(A205/pole1)</f>
        <v>1.2090393126939065</v>
      </c>
      <c r="E205" s="338">
        <f t="shared" ref="E205:E268" si="85">SQRT(1+(A205/Zero1)^2)</f>
        <v>1.000155157053892</v>
      </c>
      <c r="F205" s="339">
        <f t="shared" ref="F205:F268" si="86">ATAN(A205/Zero1)</f>
        <v>1.761459594323616E-2</v>
      </c>
      <c r="G205" s="338">
        <f t="shared" ref="G205:G268" si="87">IF(VIN_nom&gt;Vout, 1, SQRT(1+(A205/z_RHP)^2))</f>
        <v>1</v>
      </c>
      <c r="H205" s="339">
        <f t="shared" ref="H205:H268" si="88">IF(VIN_nom&gt;Vout, 0, -ATAN(A205/z_RHP))</f>
        <v>0</v>
      </c>
      <c r="I205" s="337">
        <f t="shared" ref="I205:I268" si="89">SQRT(1+(A205/Pole2)^2)</f>
        <v>8457.8625235868694</v>
      </c>
      <c r="J205" s="340">
        <f t="shared" ref="J205:J268" si="90">ATAN(A205/Pole2)</f>
        <v>1.5706780936125126</v>
      </c>
      <c r="K205" s="348">
        <f t="shared" si="81"/>
        <v>2.2198463031374782</v>
      </c>
      <c r="L205" s="349">
        <f t="shared" si="82"/>
        <v>1.1034915827630201</v>
      </c>
      <c r="M205" s="337">
        <f t="shared" ref="M205:M268" si="91">SQRT(1+(A205/pole4)^2)</f>
        <v>1.0047218637948274</v>
      </c>
      <c r="N205" s="340">
        <f t="shared" ref="N205:N268" si="92">ATAN(A205/pole4)</f>
        <v>9.6988229751033078E-2</v>
      </c>
      <c r="O205" s="341">
        <f t="shared" ref="O205:O268" si="93">SQRT((1-(V205/pterm2))^2+(A205/pterm1)^2)</f>
        <v>1.0001373676181187</v>
      </c>
      <c r="P205" s="342">
        <f t="shared" ref="P205:P268" si="94">IF((ATAN((A205/pterm1)/(1-A205^2/pterm2))&gt;0),ATAN((A205/pterm1)/(1-A205^2/pterm2)),PI()+ATAN((A205/pterm1)/(1-A205^2/pterm2)))</f>
        <v>0.15123825351874329</v>
      </c>
      <c r="Q205" s="343">
        <f t="shared" ref="Q205:Q268" si="95">20*LOG10(((E205*K205*G205)/(C205*I205*O205*M205))*Adc)</f>
        <v>14.527555278760698</v>
      </c>
      <c r="R205" s="344">
        <f t="shared" ref="R205:R268" si="96">((F205+L205+H205)-(D205+J205+P205+N205))*radconv</f>
        <v>-109.25375317407527</v>
      </c>
      <c r="S205" s="346">
        <f t="shared" ref="S205:S268" si="97">IF(R205&gt;0,R205,R205+180)</f>
        <v>70.746246825924729</v>
      </c>
      <c r="U205" s="319">
        <f t="shared" si="75"/>
        <v>1000000000</v>
      </c>
      <c r="V205" s="319">
        <f t="shared" si="76"/>
        <v>136474965.0625</v>
      </c>
      <c r="X205" s="345">
        <f t="shared" ref="X205:X268" si="98">20*LOG10((K205/(I205*M205))*AEA)</f>
        <v>26.047553024388904</v>
      </c>
      <c r="Y205" s="346">
        <f t="shared" ref="Y205:Y268" si="99">(L205-(J205+N205))*radconv</f>
        <v>-32.324831581234641</v>
      </c>
      <c r="AA205" s="345">
        <f t="shared" ref="AA205:AA268" si="100">20*LOG10((E205*G205/(C205*O205))*Acs*Am)</f>
        <v>50.721505876818824</v>
      </c>
      <c r="AB205" s="346">
        <f t="shared" ref="AB205:AB268" si="101">(F205+H205-(D205+P205))*radconv</f>
        <v>-76.928921592840638</v>
      </c>
      <c r="AD205">
        <f t="shared" si="77"/>
        <v>0</v>
      </c>
      <c r="AE205">
        <f t="shared" si="80"/>
        <v>0</v>
      </c>
    </row>
    <row r="206" spans="1:31" x14ac:dyDescent="0.25">
      <c r="A206" s="347">
        <v>11749</v>
      </c>
      <c r="B206" s="364">
        <f t="shared" ref="B206:B269" si="102">A206/1000</f>
        <v>11.749000000000001</v>
      </c>
      <c r="C206" s="337">
        <f t="shared" si="83"/>
        <v>2.839639892180946</v>
      </c>
      <c r="D206" s="338">
        <f t="shared" si="84"/>
        <v>1.2109212352646019</v>
      </c>
      <c r="E206" s="338">
        <f t="shared" si="85"/>
        <v>1.0001569350515584</v>
      </c>
      <c r="F206" s="339">
        <f t="shared" si="86"/>
        <v>1.771522116512448E-2</v>
      </c>
      <c r="G206" s="338">
        <f t="shared" si="87"/>
        <v>1</v>
      </c>
      <c r="H206" s="339">
        <f t="shared" si="88"/>
        <v>0</v>
      </c>
      <c r="I206" s="337">
        <f t="shared" si="89"/>
        <v>8506.1890288045943</v>
      </c>
      <c r="J206" s="340">
        <f t="shared" si="90"/>
        <v>1.5706787653347742</v>
      </c>
      <c r="K206" s="348">
        <f t="shared" si="81"/>
        <v>2.2299619275730316</v>
      </c>
      <c r="L206" s="349">
        <f t="shared" si="82"/>
        <v>1.1057791555762444</v>
      </c>
      <c r="M206" s="337">
        <f t="shared" si="91"/>
        <v>1.0047758488813947</v>
      </c>
      <c r="N206" s="340">
        <f t="shared" si="92"/>
        <v>9.7538902450970313E-2</v>
      </c>
      <c r="O206" s="341">
        <f t="shared" si="93"/>
        <v>1.000139678978077</v>
      </c>
      <c r="P206" s="342">
        <f t="shared" si="94"/>
        <v>0.15210875113894465</v>
      </c>
      <c r="Q206" s="343">
        <f t="shared" si="95"/>
        <v>14.473766467762948</v>
      </c>
      <c r="R206" s="344">
        <f t="shared" si="96"/>
        <v>-109.30621127491686</v>
      </c>
      <c r="S206" s="346">
        <f t="shared" si="97"/>
        <v>70.693788725083138</v>
      </c>
      <c r="U206" s="319">
        <f t="shared" ref="U206:U269" si="103">IF(Q206&lt;0,A206,1000000000)</f>
        <v>1000000000</v>
      </c>
      <c r="V206" s="319">
        <f t="shared" ref="V206:V269" si="104">A206^2</f>
        <v>138039001</v>
      </c>
      <c r="X206" s="345">
        <f t="shared" si="98"/>
        <v>26.037089022133749</v>
      </c>
      <c r="Y206" s="346">
        <f t="shared" si="99"/>
        <v>-32.225353022044409</v>
      </c>
      <c r="AA206" s="345">
        <f t="shared" si="100"/>
        <v>50.678181068076221</v>
      </c>
      <c r="AB206" s="346">
        <f t="shared" si="101"/>
        <v>-77.08085825287246</v>
      </c>
      <c r="AD206">
        <f t="shared" ref="AD206:AD269" si="105">SUM((Q207&lt;0)*(Q206&gt;0))*A206</f>
        <v>0</v>
      </c>
      <c r="AE206">
        <f t="shared" si="80"/>
        <v>0</v>
      </c>
    </row>
    <row r="207" spans="1:31" x14ac:dyDescent="0.25">
      <c r="A207" s="347">
        <v>11817.5</v>
      </c>
      <c r="B207" s="364">
        <f t="shared" si="102"/>
        <v>11.817500000000001</v>
      </c>
      <c r="C207" s="337">
        <f t="shared" si="83"/>
        <v>2.8541478369368645</v>
      </c>
      <c r="D207" s="338">
        <f t="shared" si="84"/>
        <v>1.2128331206607581</v>
      </c>
      <c r="E207" s="338">
        <f t="shared" si="85"/>
        <v>1.0001587701921164</v>
      </c>
      <c r="F207" s="339">
        <f t="shared" si="86"/>
        <v>1.7818484128408113E-2</v>
      </c>
      <c r="G207" s="338">
        <f t="shared" si="87"/>
        <v>1</v>
      </c>
      <c r="H207" s="339">
        <f t="shared" si="88"/>
        <v>0</v>
      </c>
      <c r="I207" s="337">
        <f t="shared" si="89"/>
        <v>8555.7825210544434</v>
      </c>
      <c r="J207" s="340">
        <f t="shared" si="90"/>
        <v>1.5706794467783913</v>
      </c>
      <c r="K207" s="348">
        <f t="shared" si="81"/>
        <v>2.2403547768973002</v>
      </c>
      <c r="L207" s="349">
        <f t="shared" si="82"/>
        <v>1.1081052125566371</v>
      </c>
      <c r="M207" s="337">
        <f t="shared" si="91"/>
        <v>1.0048315660482718</v>
      </c>
      <c r="N207" s="340">
        <f t="shared" si="92"/>
        <v>9.8103950568668608E-2</v>
      </c>
      <c r="O207" s="341">
        <f t="shared" si="93"/>
        <v>1.0001420821408942</v>
      </c>
      <c r="P207" s="342">
        <f t="shared" si="94"/>
        <v>0.15300218258945372</v>
      </c>
      <c r="Q207" s="343">
        <f t="shared" si="95"/>
        <v>14.418908817158705</v>
      </c>
      <c r="R207" s="344">
        <f t="shared" si="96"/>
        <v>-109.36016822683894</v>
      </c>
      <c r="S207" s="346">
        <f t="shared" si="97"/>
        <v>70.639831773161063</v>
      </c>
      <c r="U207" s="319">
        <f t="shared" si="103"/>
        <v>1000000000</v>
      </c>
      <c r="V207" s="319">
        <f t="shared" si="104"/>
        <v>139653306.25</v>
      </c>
      <c r="X207" s="345">
        <f t="shared" si="98"/>
        <v>26.026500223995392</v>
      </c>
      <c r="Y207" s="346">
        <f t="shared" si="99"/>
        <v>-32.124493690254887</v>
      </c>
      <c r="AA207" s="345">
        <f t="shared" si="100"/>
        <v>50.633912215610337</v>
      </c>
      <c r="AB207" s="346">
        <f t="shared" si="101"/>
        <v>-77.235674536584057</v>
      </c>
      <c r="AD207">
        <f t="shared" si="105"/>
        <v>0</v>
      </c>
      <c r="AE207">
        <f t="shared" si="80"/>
        <v>0</v>
      </c>
    </row>
    <row r="208" spans="1:31" x14ac:dyDescent="0.25">
      <c r="A208" s="347">
        <v>11886</v>
      </c>
      <c r="B208" s="364">
        <f t="shared" si="102"/>
        <v>11.885999999999999</v>
      </c>
      <c r="C208" s="337">
        <f t="shared" si="83"/>
        <v>2.8686661089285486</v>
      </c>
      <c r="D208" s="338">
        <f t="shared" si="84"/>
        <v>1.2147256608754287</v>
      </c>
      <c r="E208" s="338">
        <f t="shared" si="85"/>
        <v>1.0001606159975678</v>
      </c>
      <c r="F208" s="339">
        <f t="shared" si="86"/>
        <v>1.7921746711647386E-2</v>
      </c>
      <c r="G208" s="338">
        <f t="shared" si="87"/>
        <v>1</v>
      </c>
      <c r="H208" s="339">
        <f t="shared" si="88"/>
        <v>0</v>
      </c>
      <c r="I208" s="337">
        <f t="shared" si="89"/>
        <v>8605.3760133082214</v>
      </c>
      <c r="J208" s="340">
        <f t="shared" si="90"/>
        <v>1.5706801203675766</v>
      </c>
      <c r="K208" s="348">
        <f t="shared" si="81"/>
        <v>2.2507596357730764</v>
      </c>
      <c r="L208" s="349">
        <f t="shared" si="82"/>
        <v>1.1104097760200817</v>
      </c>
      <c r="M208" s="337">
        <f t="shared" si="91"/>
        <v>1.0048876040015073</v>
      </c>
      <c r="N208" s="340">
        <f t="shared" si="92"/>
        <v>9.8668935846476402E-2</v>
      </c>
      <c r="O208" s="341">
        <f t="shared" si="93"/>
        <v>1.0001445172204009</v>
      </c>
      <c r="P208" s="342">
        <f t="shared" si="94"/>
        <v>0.153895727903677</v>
      </c>
      <c r="Q208" s="343">
        <f t="shared" si="95"/>
        <v>14.364392666549664</v>
      </c>
      <c r="R208" s="344">
        <f t="shared" si="96"/>
        <v>-109.41425076451503</v>
      </c>
      <c r="S208" s="346">
        <f t="shared" si="97"/>
        <v>70.585749235484968</v>
      </c>
      <c r="U208" s="319">
        <f t="shared" si="103"/>
        <v>1000000000</v>
      </c>
      <c r="V208" s="319">
        <f t="shared" si="104"/>
        <v>141276996</v>
      </c>
      <c r="X208" s="345">
        <f t="shared" si="98"/>
        <v>26.01605995087338</v>
      </c>
      <c r="Y208" s="346">
        <f t="shared" si="99"/>
        <v>-32.024861795788453</v>
      </c>
      <c r="AA208" s="345">
        <f t="shared" si="100"/>
        <v>50.589836338123312</v>
      </c>
      <c r="AB208" s="346">
        <f t="shared" si="101"/>
        <v>-77.389388968726564</v>
      </c>
      <c r="AD208">
        <f t="shared" si="105"/>
        <v>0</v>
      </c>
      <c r="AE208">
        <f t="shared" si="80"/>
        <v>0</v>
      </c>
    </row>
    <row r="209" spans="1:31" x14ac:dyDescent="0.25">
      <c r="A209" s="347">
        <v>11954.5</v>
      </c>
      <c r="B209" s="364">
        <f t="shared" si="102"/>
        <v>11.954499999999999</v>
      </c>
      <c r="C209" s="337">
        <f t="shared" si="83"/>
        <v>2.8831945521481979</v>
      </c>
      <c r="D209" s="338">
        <f t="shared" si="84"/>
        <v>1.2165991346898648</v>
      </c>
      <c r="E209" s="338">
        <f t="shared" si="85"/>
        <v>1.0001624724678533</v>
      </c>
      <c r="F209" s="339">
        <f t="shared" si="86"/>
        <v>1.8025008912642207E-2</v>
      </c>
      <c r="G209" s="338">
        <f t="shared" si="87"/>
        <v>1</v>
      </c>
      <c r="H209" s="339">
        <f t="shared" si="88"/>
        <v>0</v>
      </c>
      <c r="I209" s="337">
        <f t="shared" si="89"/>
        <v>8654.9695055658613</v>
      </c>
      <c r="J209" s="340">
        <f t="shared" si="90"/>
        <v>1.5706807862373497</v>
      </c>
      <c r="K209" s="348">
        <f t="shared" si="81"/>
        <v>2.2611763384136205</v>
      </c>
      <c r="L209" s="349">
        <f t="shared" si="82"/>
        <v>1.1126931183638433</v>
      </c>
      <c r="M209" s="337">
        <f t="shared" si="91"/>
        <v>1.0049439626874377</v>
      </c>
      <c r="N209" s="340">
        <f t="shared" si="92"/>
        <v>9.9233857934240263E-2</v>
      </c>
      <c r="O209" s="341">
        <f t="shared" si="93"/>
        <v>1.0001469845285407</v>
      </c>
      <c r="P209" s="342">
        <f t="shared" si="94"/>
        <v>0.15478938770824549</v>
      </c>
      <c r="Q209" s="343">
        <f t="shared" si="95"/>
        <v>14.31021378356485</v>
      </c>
      <c r="R209" s="344">
        <f t="shared" si="96"/>
        <v>-109.4684592774237</v>
      </c>
      <c r="S209" s="346">
        <f t="shared" si="97"/>
        <v>70.531540722576295</v>
      </c>
      <c r="U209" s="319">
        <f t="shared" si="103"/>
        <v>1000000000</v>
      </c>
      <c r="V209" s="319">
        <f t="shared" si="104"/>
        <v>142910070.25</v>
      </c>
      <c r="X209" s="345">
        <f t="shared" si="98"/>
        <v>26.005765295088281</v>
      </c>
      <c r="Y209" s="346">
        <f t="shared" si="99"/>
        <v>-31.926441719105238</v>
      </c>
      <c r="AA209" s="345">
        <f t="shared" si="100"/>
        <v>50.545952110923587</v>
      </c>
      <c r="AB209" s="346">
        <f t="shared" si="101"/>
        <v>-77.542017558318477</v>
      </c>
      <c r="AD209">
        <f t="shared" si="105"/>
        <v>0</v>
      </c>
      <c r="AE209">
        <f t="shared" si="80"/>
        <v>0</v>
      </c>
    </row>
    <row r="210" spans="1:31" x14ac:dyDescent="0.25">
      <c r="A210" s="347">
        <v>12023</v>
      </c>
      <c r="B210" s="364">
        <f t="shared" si="102"/>
        <v>12.023</v>
      </c>
      <c r="C210" s="337">
        <f t="shared" si="83"/>
        <v>2.8977330136085255</v>
      </c>
      <c r="D210" s="338">
        <f t="shared" si="84"/>
        <v>1.2184538158317926</v>
      </c>
      <c r="E210" s="338">
        <f t="shared" si="85"/>
        <v>1.0001643396029141</v>
      </c>
      <c r="F210" s="339">
        <f t="shared" si="86"/>
        <v>1.8128270729192524E-2</v>
      </c>
      <c r="G210" s="338">
        <f t="shared" si="87"/>
        <v>1</v>
      </c>
      <c r="H210" s="339">
        <f t="shared" si="88"/>
        <v>0</v>
      </c>
      <c r="I210" s="337">
        <f t="shared" si="89"/>
        <v>8704.56299782729</v>
      </c>
      <c r="J210" s="340">
        <f t="shared" si="90"/>
        <v>1.5706814445196522</v>
      </c>
      <c r="K210" s="348">
        <f t="shared" si="81"/>
        <v>2.2716047218861357</v>
      </c>
      <c r="L210" s="349">
        <f t="shared" si="82"/>
        <v>1.1149555078768134</v>
      </c>
      <c r="M210" s="337">
        <f t="shared" si="91"/>
        <v>1.0050006420521047</v>
      </c>
      <c r="N210" s="340">
        <f t="shared" si="92"/>
        <v>9.9798716482046385E-2</v>
      </c>
      <c r="O210" s="341">
        <f t="shared" si="93"/>
        <v>1.0001494843790559</v>
      </c>
      <c r="P210" s="342">
        <f t="shared" si="94"/>
        <v>0.15568316262919943</v>
      </c>
      <c r="Q210" s="343">
        <f t="shared" si="95"/>
        <v>14.256368009700404</v>
      </c>
      <c r="R210" s="344">
        <f t="shared" si="96"/>
        <v>-109.52279410069384</v>
      </c>
      <c r="S210" s="346">
        <f t="shared" si="97"/>
        <v>70.477205899306156</v>
      </c>
      <c r="U210" s="319">
        <f t="shared" si="103"/>
        <v>1000000000</v>
      </c>
      <c r="V210" s="319">
        <f t="shared" si="104"/>
        <v>144552529</v>
      </c>
      <c r="X210" s="345">
        <f t="shared" si="98"/>
        <v>25.995613416368684</v>
      </c>
      <c r="Y210" s="346">
        <f t="shared" si="99"/>
        <v>-31.829218075895142</v>
      </c>
      <c r="AA210" s="345">
        <f t="shared" si="100"/>
        <v>50.502258215778745</v>
      </c>
      <c r="AB210" s="346">
        <f t="shared" si="101"/>
        <v>-77.693576024798716</v>
      </c>
      <c r="AD210">
        <f t="shared" si="105"/>
        <v>0</v>
      </c>
      <c r="AE210">
        <f t="shared" si="80"/>
        <v>0</v>
      </c>
    </row>
    <row r="211" spans="1:31" x14ac:dyDescent="0.25">
      <c r="A211" s="347">
        <v>12093</v>
      </c>
      <c r="B211" s="364">
        <f t="shared" si="102"/>
        <v>12.093</v>
      </c>
      <c r="C211" s="337">
        <f t="shared" si="83"/>
        <v>2.9126000291318093</v>
      </c>
      <c r="D211" s="338">
        <f t="shared" si="84"/>
        <v>1.220329975646671</v>
      </c>
      <c r="E211" s="338">
        <f t="shared" si="85"/>
        <v>1.0001662586417164</v>
      </c>
      <c r="F211" s="339">
        <f t="shared" si="86"/>
        <v>1.8233793353950725E-2</v>
      </c>
      <c r="G211" s="338">
        <f t="shared" si="87"/>
        <v>1</v>
      </c>
      <c r="H211" s="339">
        <f t="shared" si="88"/>
        <v>0</v>
      </c>
      <c r="I211" s="337">
        <f t="shared" si="89"/>
        <v>8755.2424789742126</v>
      </c>
      <c r="J211" s="340">
        <f t="shared" si="90"/>
        <v>1.5706821095125569</v>
      </c>
      <c r="K211" s="348">
        <f t="shared" si="81"/>
        <v>2.2822733648045337</v>
      </c>
      <c r="L211" s="349">
        <f t="shared" si="82"/>
        <v>1.1172460676384073</v>
      </c>
      <c r="M211" s="337">
        <f t="shared" si="91"/>
        <v>1.0050588938031482</v>
      </c>
      <c r="N211" s="340">
        <f t="shared" si="92"/>
        <v>0.10037587818898433</v>
      </c>
      <c r="O211" s="341">
        <f t="shared" si="93"/>
        <v>1.0001520729182807</v>
      </c>
      <c r="P211" s="342">
        <f t="shared" si="94"/>
        <v>0.15659662883978381</v>
      </c>
      <c r="Q211" s="343">
        <f t="shared" si="95"/>
        <v>14.201683009963666</v>
      </c>
      <c r="R211" s="344">
        <f t="shared" si="96"/>
        <v>-109.57844952152368</v>
      </c>
      <c r="S211" s="346">
        <f t="shared" si="97"/>
        <v>70.42155047847632</v>
      </c>
      <c r="U211" s="319">
        <f t="shared" si="103"/>
        <v>1000000000</v>
      </c>
      <c r="V211" s="319">
        <f t="shared" si="104"/>
        <v>146240649</v>
      </c>
      <c r="X211" s="345">
        <f t="shared" si="98"/>
        <v>25.985383847757049</v>
      </c>
      <c r="Y211" s="346">
        <f t="shared" si="99"/>
        <v>-31.731085699912146</v>
      </c>
      <c r="AA211" s="345">
        <f t="shared" si="100"/>
        <v>50.457802784653644</v>
      </c>
      <c r="AB211" s="346">
        <f t="shared" si="101"/>
        <v>-77.847363821611538</v>
      </c>
      <c r="AD211">
        <f t="shared" si="105"/>
        <v>0</v>
      </c>
      <c r="AE211">
        <f t="shared" si="80"/>
        <v>0</v>
      </c>
    </row>
    <row r="212" spans="1:31" x14ac:dyDescent="0.25">
      <c r="A212" s="347">
        <v>12163</v>
      </c>
      <c r="B212" s="364">
        <f t="shared" si="102"/>
        <v>12.163</v>
      </c>
      <c r="C212" s="337">
        <f t="shared" si="83"/>
        <v>2.927477192784171</v>
      </c>
      <c r="D212" s="338">
        <f t="shared" si="84"/>
        <v>1.2221870730079405</v>
      </c>
      <c r="E212" s="338">
        <f t="shared" si="85"/>
        <v>1.0001681888173515</v>
      </c>
      <c r="F212" s="339">
        <f t="shared" si="86"/>
        <v>1.8339315572598019E-2</v>
      </c>
      <c r="G212" s="338">
        <f t="shared" si="87"/>
        <v>1</v>
      </c>
      <c r="H212" s="339">
        <f t="shared" si="88"/>
        <v>0</v>
      </c>
      <c r="I212" s="337">
        <f t="shared" si="89"/>
        <v>8805.9219601249606</v>
      </c>
      <c r="J212" s="340">
        <f t="shared" si="90"/>
        <v>1.5706827668511818</v>
      </c>
      <c r="K212" s="348">
        <f t="shared" si="81"/>
        <v>2.2929538705799191</v>
      </c>
      <c r="L212" s="349">
        <f t="shared" si="82"/>
        <v>1.1195153005055083</v>
      </c>
      <c r="M212" s="337">
        <f t="shared" si="91"/>
        <v>1.0051174803161522</v>
      </c>
      <c r="N212" s="340">
        <f t="shared" si="92"/>
        <v>0.100952972804681</v>
      </c>
      <c r="O212" s="341">
        <f t="shared" si="93"/>
        <v>1.0001546961088819</v>
      </c>
      <c r="P212" s="342">
        <f t="shared" si="94"/>
        <v>0.1575102165834763</v>
      </c>
      <c r="Q212" s="343">
        <f t="shared" si="95"/>
        <v>14.14733731651592</v>
      </c>
      <c r="R212" s="344">
        <f t="shared" si="96"/>
        <v>-109.63423738925898</v>
      </c>
      <c r="S212" s="346">
        <f t="shared" si="97"/>
        <v>70.365762610741015</v>
      </c>
      <c r="U212" s="319">
        <f t="shared" si="103"/>
        <v>1000000000</v>
      </c>
      <c r="V212" s="319">
        <f t="shared" si="104"/>
        <v>147938569</v>
      </c>
      <c r="X212" s="345">
        <f t="shared" si="98"/>
        <v>25.975297588298503</v>
      </c>
      <c r="Y212" s="346">
        <f t="shared" si="99"/>
        <v>-31.634170982372204</v>
      </c>
      <c r="AA212" s="345">
        <f t="shared" si="100"/>
        <v>50.41354335066444</v>
      </c>
      <c r="AB212" s="346">
        <f t="shared" si="101"/>
        <v>-78.000066406886759</v>
      </c>
      <c r="AD212">
        <f t="shared" si="105"/>
        <v>0</v>
      </c>
      <c r="AE212">
        <f t="shared" si="80"/>
        <v>0</v>
      </c>
    </row>
    <row r="213" spans="1:31" x14ac:dyDescent="0.25">
      <c r="A213" s="347">
        <v>12233</v>
      </c>
      <c r="B213" s="364">
        <f t="shared" si="102"/>
        <v>12.233000000000001</v>
      </c>
      <c r="C213" s="337">
        <f t="shared" si="83"/>
        <v>2.9423643506329022</v>
      </c>
      <c r="D213" s="338">
        <f t="shared" si="84"/>
        <v>1.2240253843526203</v>
      </c>
      <c r="E213" s="338">
        <f t="shared" si="85"/>
        <v>1.000170130129755</v>
      </c>
      <c r="F213" s="339">
        <f t="shared" si="86"/>
        <v>1.8444837382786794E-2</v>
      </c>
      <c r="G213" s="338">
        <f t="shared" si="87"/>
        <v>1</v>
      </c>
      <c r="H213" s="339">
        <f t="shared" si="88"/>
        <v>0</v>
      </c>
      <c r="I213" s="337">
        <f t="shared" si="89"/>
        <v>8856.6014412794684</v>
      </c>
      <c r="J213" s="340">
        <f t="shared" si="90"/>
        <v>1.5706834166669255</v>
      </c>
      <c r="K213" s="348">
        <f t="shared" si="81"/>
        <v>2.3036460742112834</v>
      </c>
      <c r="L213" s="349">
        <f t="shared" si="82"/>
        <v>1.1217634799055505</v>
      </c>
      <c r="M213" s="337">
        <f t="shared" si="91"/>
        <v>1.0051764015325824</v>
      </c>
      <c r="N213" s="340">
        <f t="shared" si="92"/>
        <v>0.10152999995651223</v>
      </c>
      <c r="O213" s="341">
        <f t="shared" si="93"/>
        <v>1.0001573542914854</v>
      </c>
      <c r="P213" s="342">
        <f t="shared" si="94"/>
        <v>0.15842392652641438</v>
      </c>
      <c r="Q213" s="343">
        <f t="shared" si="95"/>
        <v>14.093326720339807</v>
      </c>
      <c r="R213" s="344">
        <f t="shared" si="96"/>
        <v>-109.69015790081639</v>
      </c>
      <c r="S213" s="346">
        <f t="shared" si="97"/>
        <v>70.309842099183612</v>
      </c>
      <c r="U213" s="319">
        <f t="shared" si="103"/>
        <v>1000000000</v>
      </c>
      <c r="V213" s="319">
        <f t="shared" si="104"/>
        <v>149646289</v>
      </c>
      <c r="X213" s="345">
        <f t="shared" si="98"/>
        <v>25.965351813612024</v>
      </c>
      <c r="Y213" s="346">
        <f t="shared" si="99"/>
        <v>-31.538458243216123</v>
      </c>
      <c r="AA213" s="345">
        <f t="shared" si="100"/>
        <v>50.369478529174813</v>
      </c>
      <c r="AB213" s="346">
        <f t="shared" si="101"/>
        <v>-78.15169965760029</v>
      </c>
      <c r="AD213">
        <f t="shared" si="105"/>
        <v>0</v>
      </c>
      <c r="AE213">
        <f t="shared" si="80"/>
        <v>0</v>
      </c>
    </row>
    <row r="214" spans="1:31" x14ac:dyDescent="0.25">
      <c r="A214" s="347">
        <v>12303</v>
      </c>
      <c r="B214" s="364">
        <f t="shared" si="102"/>
        <v>12.303000000000001</v>
      </c>
      <c r="C214" s="337">
        <f t="shared" si="83"/>
        <v>2.9572613517425683</v>
      </c>
      <c r="D214" s="338">
        <f t="shared" si="84"/>
        <v>1.225845181061108</v>
      </c>
      <c r="E214" s="338">
        <f t="shared" si="85"/>
        <v>1.000172082578862</v>
      </c>
      <c r="F214" s="339">
        <f t="shared" si="86"/>
        <v>1.8550358782169499E-2</v>
      </c>
      <c r="G214" s="338">
        <f t="shared" si="87"/>
        <v>1</v>
      </c>
      <c r="H214" s="339">
        <f t="shared" si="88"/>
        <v>0</v>
      </c>
      <c r="I214" s="337">
        <f t="shared" si="89"/>
        <v>8907.2809224376742</v>
      </c>
      <c r="J214" s="340">
        <f t="shared" si="90"/>
        <v>1.5706840590881959</v>
      </c>
      <c r="K214" s="348">
        <f t="shared" si="81"/>
        <v>2.3143498135677527</v>
      </c>
      <c r="L214" s="349">
        <f t="shared" si="82"/>
        <v>1.1239908750672256</v>
      </c>
      <c r="M214" s="337">
        <f t="shared" si="91"/>
        <v>1.0052356573935832</v>
      </c>
      <c r="N214" s="340">
        <f t="shared" si="92"/>
        <v>0.10210695927212071</v>
      </c>
      <c r="O214" s="341">
        <f t="shared" si="93"/>
        <v>1.0001600478086783</v>
      </c>
      <c r="P214" s="342">
        <f t="shared" si="94"/>
        <v>0.15933775933407468</v>
      </c>
      <c r="Q214" s="343">
        <f t="shared" si="95"/>
        <v>14.039647086119189</v>
      </c>
      <c r="R214" s="344">
        <f t="shared" si="96"/>
        <v>-109.74621120376591</v>
      </c>
      <c r="S214" s="346">
        <f t="shared" si="97"/>
        <v>70.25378879623409</v>
      </c>
      <c r="U214" s="319">
        <f t="shared" si="103"/>
        <v>1000000000</v>
      </c>
      <c r="V214" s="319">
        <f t="shared" si="104"/>
        <v>151363809</v>
      </c>
      <c r="X214" s="345">
        <f t="shared" si="98"/>
        <v>25.955543765210351</v>
      </c>
      <c r="Y214" s="346">
        <f t="shared" si="99"/>
        <v>-31.443932042798849</v>
      </c>
      <c r="AA214" s="345">
        <f t="shared" si="100"/>
        <v>50.325606943355858</v>
      </c>
      <c r="AB214" s="346">
        <f t="shared" si="101"/>
        <v>-78.302279160967061</v>
      </c>
      <c r="AD214">
        <f t="shared" si="105"/>
        <v>0</v>
      </c>
      <c r="AE214">
        <f t="shared" si="80"/>
        <v>0</v>
      </c>
    </row>
    <row r="215" spans="1:31" x14ac:dyDescent="0.25">
      <c r="A215" s="347">
        <v>12374.5</v>
      </c>
      <c r="B215" s="364">
        <f t="shared" si="102"/>
        <v>12.374499999999999</v>
      </c>
      <c r="C215" s="337">
        <f t="shared" si="83"/>
        <v>2.9724875823409822</v>
      </c>
      <c r="D215" s="338">
        <f t="shared" si="84"/>
        <v>1.2276851364076682</v>
      </c>
      <c r="E215" s="338">
        <f t="shared" si="85"/>
        <v>1.0001740883633223</v>
      </c>
      <c r="F215" s="339">
        <f t="shared" si="86"/>
        <v>1.8658140927850442E-2</v>
      </c>
      <c r="G215" s="338">
        <f t="shared" si="87"/>
        <v>1</v>
      </c>
      <c r="H215" s="339">
        <f t="shared" si="88"/>
        <v>0</v>
      </c>
      <c r="I215" s="337">
        <f t="shared" si="89"/>
        <v>8959.0463924815958</v>
      </c>
      <c r="J215" s="340">
        <f t="shared" si="90"/>
        <v>1.570684707772261</v>
      </c>
      <c r="K215" s="348">
        <f t="shared" ref="K215:K278" si="106">SQRT(1+(A215/Zero2)^2)</f>
        <v>2.3252946622967614</v>
      </c>
      <c r="L215" s="349">
        <f t="shared" ref="L215:L278" si="107">ATAN(A215/Zero2)</f>
        <v>1.1262448186628908</v>
      </c>
      <c r="M215" s="337">
        <f t="shared" si="91"/>
        <v>1.0052965284393398</v>
      </c>
      <c r="N215" s="340">
        <f t="shared" si="92"/>
        <v>0.1026962115825108</v>
      </c>
      <c r="O215" s="341">
        <f t="shared" si="93"/>
        <v>1.0001628358808052</v>
      </c>
      <c r="P215" s="342">
        <f t="shared" si="94"/>
        <v>0.16027130180671376</v>
      </c>
      <c r="Q215" s="343">
        <f t="shared" si="95"/>
        <v>13.985154625685428</v>
      </c>
      <c r="R215" s="344">
        <f t="shared" si="96"/>
        <v>-109.80360284332669</v>
      </c>
      <c r="S215" s="346">
        <f t="shared" si="97"/>
        <v>70.196397156673314</v>
      </c>
      <c r="U215" s="319">
        <f t="shared" si="103"/>
        <v>1000000000</v>
      </c>
      <c r="V215" s="319">
        <f t="shared" si="104"/>
        <v>153128250.25</v>
      </c>
      <c r="X215" s="345">
        <f t="shared" si="98"/>
        <v>25.945664928048174</v>
      </c>
      <c r="Y215" s="346">
        <f t="shared" si="99"/>
        <v>-31.3485894247106</v>
      </c>
      <c r="AA215" s="345">
        <f t="shared" si="100"/>
        <v>50.280993320084278</v>
      </c>
      <c r="AB215" s="346">
        <f t="shared" si="101"/>
        <v>-78.455013418616076</v>
      </c>
      <c r="AD215">
        <f t="shared" si="105"/>
        <v>0</v>
      </c>
      <c r="AE215">
        <f t="shared" si="80"/>
        <v>0</v>
      </c>
    </row>
    <row r="216" spans="1:31" x14ac:dyDescent="0.25">
      <c r="A216" s="347">
        <v>12446</v>
      </c>
      <c r="B216" s="364">
        <f t="shared" si="102"/>
        <v>12.446</v>
      </c>
      <c r="C216" s="337">
        <f t="shared" si="83"/>
        <v>2.9877237735160458</v>
      </c>
      <c r="D216" s="338">
        <f t="shared" si="84"/>
        <v>1.2295063318010511</v>
      </c>
      <c r="E216" s="338">
        <f t="shared" si="85"/>
        <v>1.0001761057667493</v>
      </c>
      <c r="F216" s="339">
        <f t="shared" si="86"/>
        <v>1.876592263997991E-2</v>
      </c>
      <c r="G216" s="338">
        <f t="shared" si="87"/>
        <v>1</v>
      </c>
      <c r="H216" s="339">
        <f t="shared" si="88"/>
        <v>0</v>
      </c>
      <c r="I216" s="337">
        <f t="shared" si="89"/>
        <v>9010.8118625292409</v>
      </c>
      <c r="J216" s="340">
        <f t="shared" si="90"/>
        <v>1.5706853490031827</v>
      </c>
      <c r="K216" s="348">
        <f t="shared" si="106"/>
        <v>2.3362512134125808</v>
      </c>
      <c r="L216" s="349">
        <f t="shared" si="107"/>
        <v>1.1284776324236923</v>
      </c>
      <c r="M216" s="337">
        <f t="shared" si="91"/>
        <v>1.005357748500094</v>
      </c>
      <c r="N216" s="340">
        <f t="shared" si="92"/>
        <v>0.10328539233382154</v>
      </c>
      <c r="O216" s="341">
        <f t="shared" si="93"/>
        <v>1.0001656615468495</v>
      </c>
      <c r="P216" s="342">
        <f t="shared" si="94"/>
        <v>0.16120497386748084</v>
      </c>
      <c r="Q216" s="343">
        <f t="shared" si="95"/>
        <v>13.930998970123822</v>
      </c>
      <c r="R216" s="344">
        <f t="shared" si="96"/>
        <v>-109.86113318973275</v>
      </c>
      <c r="S216" s="346">
        <f t="shared" si="97"/>
        <v>70.138866810267245</v>
      </c>
      <c r="U216" s="319">
        <f t="shared" si="103"/>
        <v>1000000000</v>
      </c>
      <c r="V216" s="319">
        <f t="shared" si="104"/>
        <v>154902916</v>
      </c>
      <c r="X216" s="345">
        <f t="shared" si="98"/>
        <v>25.935924167973219</v>
      </c>
      <c r="Y216" s="346">
        <f t="shared" si="99"/>
        <v>-31.25445292991634</v>
      </c>
      <c r="AA216" s="345">
        <f t="shared" si="100"/>
        <v>50.236578424597624</v>
      </c>
      <c r="AB216" s="346">
        <f t="shared" si="101"/>
        <v>-78.606680259816414</v>
      </c>
      <c r="AD216">
        <f t="shared" si="105"/>
        <v>0</v>
      </c>
      <c r="AE216">
        <f t="shared" si="80"/>
        <v>0</v>
      </c>
    </row>
    <row r="217" spans="1:31" x14ac:dyDescent="0.25">
      <c r="A217" s="347">
        <v>12517.5</v>
      </c>
      <c r="B217" s="364">
        <f t="shared" si="102"/>
        <v>12.5175</v>
      </c>
      <c r="C217" s="337">
        <f t="shared" si="83"/>
        <v>3.0029697736565968</v>
      </c>
      <c r="D217" s="338">
        <f t="shared" si="84"/>
        <v>1.2313090407989544</v>
      </c>
      <c r="E217" s="338">
        <f t="shared" si="85"/>
        <v>1.0001781347890724</v>
      </c>
      <c r="F217" s="339">
        <f t="shared" si="86"/>
        <v>1.8873703916056361E-2</v>
      </c>
      <c r="G217" s="338">
        <f t="shared" si="87"/>
        <v>1</v>
      </c>
      <c r="H217" s="339">
        <f t="shared" si="88"/>
        <v>0</v>
      </c>
      <c r="I217" s="337">
        <f t="shared" si="89"/>
        <v>9062.5773325805494</v>
      </c>
      <c r="J217" s="340">
        <f t="shared" si="90"/>
        <v>1.5706859829086786</v>
      </c>
      <c r="K217" s="348">
        <f t="shared" si="106"/>
        <v>2.3472193030390085</v>
      </c>
      <c r="L217" s="349">
        <f t="shared" si="107"/>
        <v>1.1306895901359335</v>
      </c>
      <c r="M217" s="337">
        <f t="shared" si="91"/>
        <v>1.0054193175120911</v>
      </c>
      <c r="N217" s="340">
        <f t="shared" si="92"/>
        <v>0.10387450113011286</v>
      </c>
      <c r="O217" s="341">
        <f t="shared" si="93"/>
        <v>1.0001685251782297</v>
      </c>
      <c r="P217" s="342">
        <f t="shared" si="94"/>
        <v>0.16213877622339373</v>
      </c>
      <c r="Q217" s="343">
        <f t="shared" si="95"/>
        <v>13.877175940300289</v>
      </c>
      <c r="R217" s="344">
        <f t="shared" si="96"/>
        <v>-109.91880225517043</v>
      </c>
      <c r="S217" s="346">
        <f t="shared" si="97"/>
        <v>70.081197744829566</v>
      </c>
      <c r="U217" s="319">
        <f t="shared" si="103"/>
        <v>1000000000</v>
      </c>
      <c r="V217" s="319">
        <f t="shared" si="104"/>
        <v>156687806.25</v>
      </c>
      <c r="X217" s="345">
        <f t="shared" si="98"/>
        <v>25.926318746889358</v>
      </c>
      <c r="Y217" s="346">
        <f t="shared" si="99"/>
        <v>-31.161506856248341</v>
      </c>
      <c r="AA217" s="345">
        <f t="shared" si="100"/>
        <v>50.192360815857953</v>
      </c>
      <c r="AB217" s="346">
        <f t="shared" si="101"/>
        <v>-78.757295398922111</v>
      </c>
      <c r="AD217">
        <f t="shared" si="105"/>
        <v>0</v>
      </c>
      <c r="AE217">
        <f t="shared" si="80"/>
        <v>0</v>
      </c>
    </row>
    <row r="218" spans="1:31" x14ac:dyDescent="0.25">
      <c r="A218" s="347">
        <v>12589</v>
      </c>
      <c r="B218" s="364">
        <f t="shared" si="102"/>
        <v>12.589</v>
      </c>
      <c r="C218" s="337">
        <f t="shared" si="83"/>
        <v>3.0182254341181864</v>
      </c>
      <c r="D218" s="338">
        <f t="shared" si="84"/>
        <v>1.2330935319142373</v>
      </c>
      <c r="E218" s="338">
        <f t="shared" si="85"/>
        <v>1.0001801754302213</v>
      </c>
      <c r="F218" s="339">
        <f t="shared" si="86"/>
        <v>1.8981484753578304E-2</v>
      </c>
      <c r="G218" s="338">
        <f t="shared" si="87"/>
        <v>1</v>
      </c>
      <c r="H218" s="339">
        <f t="shared" si="88"/>
        <v>0</v>
      </c>
      <c r="I218" s="337">
        <f t="shared" si="89"/>
        <v>9114.3428026354595</v>
      </c>
      <c r="J218" s="340">
        <f t="shared" si="90"/>
        <v>1.5706866096135639</v>
      </c>
      <c r="K218" s="348">
        <f t="shared" si="106"/>
        <v>2.3581987701776392</v>
      </c>
      <c r="L218" s="349">
        <f t="shared" si="107"/>
        <v>1.1328809613114754</v>
      </c>
      <c r="M218" s="337">
        <f t="shared" si="91"/>
        <v>1.005481235411229</v>
      </c>
      <c r="N218" s="340">
        <f t="shared" si="92"/>
        <v>0.1044635375757412</v>
      </c>
      <c r="O218" s="341">
        <f t="shared" si="93"/>
        <v>1.0001714271484976</v>
      </c>
      <c r="P218" s="342">
        <f t="shared" si="94"/>
        <v>0.16307270958073244</v>
      </c>
      <c r="Q218" s="343">
        <f t="shared" si="95"/>
        <v>13.8236814304452</v>
      </c>
      <c r="R218" s="344">
        <f t="shared" si="96"/>
        <v>-109.97661000749406</v>
      </c>
      <c r="S218" s="346">
        <f t="shared" si="97"/>
        <v>70.02338999250594</v>
      </c>
      <c r="U218" s="319">
        <f t="shared" si="103"/>
        <v>1000000000</v>
      </c>
      <c r="V218" s="319">
        <f t="shared" si="104"/>
        <v>158482921</v>
      </c>
      <c r="X218" s="345">
        <f t="shared" si="98"/>
        <v>25.916845990946221</v>
      </c>
      <c r="Y218" s="346">
        <f t="shared" si="99"/>
        <v>-31.06973574629713</v>
      </c>
      <c r="AA218" s="345">
        <f t="shared" si="100"/>
        <v>50.148339061946004</v>
      </c>
      <c r="AB218" s="346">
        <f t="shared" si="101"/>
        <v>-78.906874261196933</v>
      </c>
      <c r="AD218">
        <f t="shared" si="105"/>
        <v>0</v>
      </c>
      <c r="AE218">
        <f t="shared" ref="AE218:AE281" si="108">IF(AD218&gt;0,S218,0)</f>
        <v>0</v>
      </c>
    </row>
    <row r="219" spans="1:31" x14ac:dyDescent="0.25">
      <c r="A219" s="347">
        <v>12662.25</v>
      </c>
      <c r="B219" s="364">
        <f t="shared" si="102"/>
        <v>12.66225</v>
      </c>
      <c r="C219" s="337">
        <f t="shared" si="83"/>
        <v>3.0338643503905276</v>
      </c>
      <c r="D219" s="338">
        <f t="shared" si="84"/>
        <v>1.2349030827397551</v>
      </c>
      <c r="E219" s="338">
        <f t="shared" si="85"/>
        <v>1.0001822780659291</v>
      </c>
      <c r="F219" s="339">
        <f t="shared" si="86"/>
        <v>1.9091903126225187E-2</v>
      </c>
      <c r="G219" s="338">
        <f t="shared" si="87"/>
        <v>1</v>
      </c>
      <c r="H219" s="339">
        <f t="shared" si="88"/>
        <v>0</v>
      </c>
      <c r="I219" s="337">
        <f t="shared" si="89"/>
        <v>9167.3752597233542</v>
      </c>
      <c r="J219" s="340">
        <f t="shared" si="90"/>
        <v>1.5706872443177806</v>
      </c>
      <c r="K219" s="348">
        <f t="shared" si="106"/>
        <v>2.3694585988042376</v>
      </c>
      <c r="L219" s="349">
        <f t="shared" si="107"/>
        <v>1.1351048962909687</v>
      </c>
      <c r="M219" s="337">
        <f t="shared" si="91"/>
        <v>1.0055450305164748</v>
      </c>
      <c r="N219" s="340">
        <f t="shared" si="92"/>
        <v>0.1050669155554257</v>
      </c>
      <c r="O219" s="341">
        <f t="shared" si="93"/>
        <v>1.0001744402967092</v>
      </c>
      <c r="P219" s="342">
        <f t="shared" si="94"/>
        <v>0.16402963803459009</v>
      </c>
      <c r="Q219" s="343">
        <f t="shared" si="95"/>
        <v>13.76921407680415</v>
      </c>
      <c r="R219" s="344">
        <f t="shared" si="96"/>
        <v>-110.03597637697057</v>
      </c>
      <c r="S219" s="346">
        <f t="shared" si="97"/>
        <v>69.964023623029433</v>
      </c>
      <c r="U219" s="319">
        <f t="shared" si="103"/>
        <v>1000000000</v>
      </c>
      <c r="V219" s="319">
        <f t="shared" si="104"/>
        <v>160332575.0625</v>
      </c>
      <c r="X219" s="345">
        <f t="shared" si="98"/>
        <v>25.907276230076071</v>
      </c>
      <c r="Y219" s="346">
        <f t="shared" si="99"/>
        <v>-30.976921035514511</v>
      </c>
      <c r="AA219" s="345">
        <f t="shared" si="100"/>
        <v>50.103441469175102</v>
      </c>
      <c r="AB219" s="346">
        <f t="shared" si="101"/>
        <v>-79.059055341456059</v>
      </c>
      <c r="AD219">
        <f t="shared" si="105"/>
        <v>0</v>
      </c>
      <c r="AE219">
        <f t="shared" si="108"/>
        <v>0</v>
      </c>
    </row>
    <row r="220" spans="1:31" x14ac:dyDescent="0.25">
      <c r="A220" s="347">
        <v>12735.5</v>
      </c>
      <c r="B220" s="364">
        <f t="shared" si="102"/>
        <v>12.7355</v>
      </c>
      <c r="C220" s="337">
        <f t="shared" si="83"/>
        <v>3.0495130990616279</v>
      </c>
      <c r="D220" s="338">
        <f t="shared" si="84"/>
        <v>1.2366940677552776</v>
      </c>
      <c r="E220" s="338">
        <f t="shared" si="85"/>
        <v>1.000184392896025</v>
      </c>
      <c r="F220" s="339">
        <f t="shared" si="86"/>
        <v>1.9202321033272216E-2</v>
      </c>
      <c r="G220" s="338">
        <f t="shared" si="87"/>
        <v>1</v>
      </c>
      <c r="H220" s="339">
        <f t="shared" si="88"/>
        <v>0</v>
      </c>
      <c r="I220" s="337">
        <f t="shared" si="89"/>
        <v>9220.4077168148997</v>
      </c>
      <c r="J220" s="340">
        <f t="shared" si="90"/>
        <v>1.5706878717208181</v>
      </c>
      <c r="K220" s="348">
        <f t="shared" si="106"/>
        <v>2.3807300356188472</v>
      </c>
      <c r="L220" s="349">
        <f t="shared" si="107"/>
        <v>1.1373077838816199</v>
      </c>
      <c r="M220" s="337">
        <f t="shared" si="91"/>
        <v>1.0056091916589323</v>
      </c>
      <c r="N220" s="340">
        <f t="shared" si="92"/>
        <v>0.10567021675976622</v>
      </c>
      <c r="O220" s="341">
        <f t="shared" si="93"/>
        <v>1.0001774944840853</v>
      </c>
      <c r="P220" s="342">
        <f t="shared" si="94"/>
        <v>0.16498670547930869</v>
      </c>
      <c r="Q220" s="343">
        <f t="shared" si="95"/>
        <v>13.715083026521839</v>
      </c>
      <c r="R220" s="344">
        <f t="shared" si="96"/>
        <v>-110.09548810347835</v>
      </c>
      <c r="S220" s="346">
        <f t="shared" si="97"/>
        <v>69.904511896521655</v>
      </c>
      <c r="U220" s="319">
        <f t="shared" si="103"/>
        <v>1000000000</v>
      </c>
      <c r="V220" s="319">
        <f t="shared" si="104"/>
        <v>162192960.25</v>
      </c>
      <c r="X220" s="345">
        <f t="shared" si="98"/>
        <v>25.897840225767862</v>
      </c>
      <c r="Y220" s="346">
        <f t="shared" si="99"/>
        <v>-30.885307434053743</v>
      </c>
      <c r="AA220" s="345">
        <f t="shared" si="100"/>
        <v>50.058746423201008</v>
      </c>
      <c r="AB220" s="346">
        <f t="shared" si="101"/>
        <v>-79.210180669424631</v>
      </c>
      <c r="AD220">
        <f t="shared" si="105"/>
        <v>0</v>
      </c>
      <c r="AE220">
        <f t="shared" si="108"/>
        <v>0</v>
      </c>
    </row>
    <row r="221" spans="1:31" x14ac:dyDescent="0.25">
      <c r="A221" s="347">
        <v>12808.75</v>
      </c>
      <c r="B221" s="364">
        <f t="shared" si="102"/>
        <v>12.80875</v>
      </c>
      <c r="C221" s="337">
        <f t="shared" si="83"/>
        <v>3.0651715295382198</v>
      </c>
      <c r="D221" s="338">
        <f t="shared" si="84"/>
        <v>1.2384667599127241</v>
      </c>
      <c r="E221" s="338">
        <f t="shared" si="85"/>
        <v>1.0001865199204314</v>
      </c>
      <c r="F221" s="339">
        <f t="shared" si="86"/>
        <v>1.931273847202989E-2</v>
      </c>
      <c r="G221" s="338">
        <f t="shared" si="87"/>
        <v>1</v>
      </c>
      <c r="H221" s="339">
        <f t="shared" si="88"/>
        <v>0</v>
      </c>
      <c r="I221" s="337">
        <f t="shared" si="89"/>
        <v>9273.4401739100322</v>
      </c>
      <c r="J221" s="340">
        <f t="shared" si="90"/>
        <v>1.5706884919479376</v>
      </c>
      <c r="K221" s="348">
        <f t="shared" si="106"/>
        <v>2.3920129165241684</v>
      </c>
      <c r="L221" s="349">
        <f t="shared" si="107"/>
        <v>1.1394899003863321</v>
      </c>
      <c r="M221" s="337">
        <f t="shared" si="91"/>
        <v>1.0056737187685432</v>
      </c>
      <c r="N221" s="340">
        <f t="shared" si="92"/>
        <v>0.10627344076432969</v>
      </c>
      <c r="O221" s="341">
        <f t="shared" si="93"/>
        <v>1.0001805901192471</v>
      </c>
      <c r="P221" s="342">
        <f t="shared" si="94"/>
        <v>0.16594391267186748</v>
      </c>
      <c r="Q221" s="343">
        <f t="shared" si="95"/>
        <v>13.661284093952624</v>
      </c>
      <c r="R221" s="344">
        <f t="shared" si="96"/>
        <v>-110.15514502140479</v>
      </c>
      <c r="S221" s="346">
        <f t="shared" si="97"/>
        <v>69.844854978595208</v>
      </c>
      <c r="U221" s="319">
        <f t="shared" si="103"/>
        <v>1000000000</v>
      </c>
      <c r="V221" s="319">
        <f t="shared" si="104"/>
        <v>164064076.5625</v>
      </c>
      <c r="X221" s="345">
        <f t="shared" si="98"/>
        <v>25.888535301480701</v>
      </c>
      <c r="Y221" s="346">
        <f t="shared" si="99"/>
        <v>-30.794879093783315</v>
      </c>
      <c r="AA221" s="345">
        <f t="shared" si="100"/>
        <v>50.01425241491895</v>
      </c>
      <c r="AB221" s="346">
        <f t="shared" si="101"/>
        <v>-79.360265927621469</v>
      </c>
      <c r="AD221">
        <f t="shared" si="105"/>
        <v>0</v>
      </c>
      <c r="AE221">
        <f t="shared" si="108"/>
        <v>0</v>
      </c>
    </row>
    <row r="222" spans="1:31" x14ac:dyDescent="0.25">
      <c r="A222" s="347">
        <v>12882</v>
      </c>
      <c r="B222" s="364">
        <f t="shared" si="102"/>
        <v>12.882</v>
      </c>
      <c r="C222" s="337">
        <f t="shared" si="83"/>
        <v>3.0808394941963759</v>
      </c>
      <c r="D222" s="338">
        <f t="shared" si="84"/>
        <v>1.2402214270765397</v>
      </c>
      <c r="E222" s="338">
        <f t="shared" si="85"/>
        <v>1.000188659139071</v>
      </c>
      <c r="F222" s="339">
        <f t="shared" si="86"/>
        <v>1.9423155439808791E-2</v>
      </c>
      <c r="G222" s="338">
        <f t="shared" si="87"/>
        <v>1</v>
      </c>
      <c r="H222" s="339">
        <f t="shared" si="88"/>
        <v>0</v>
      </c>
      <c r="I222" s="337">
        <f t="shared" si="89"/>
        <v>9326.4726310086935</v>
      </c>
      <c r="J222" s="340">
        <f t="shared" si="90"/>
        <v>1.5706891051215501</v>
      </c>
      <c r="K222" s="348">
        <f t="shared" si="106"/>
        <v>2.4033070803394141</v>
      </c>
      <c r="L222" s="349">
        <f t="shared" si="107"/>
        <v>1.141651517713302</v>
      </c>
      <c r="M222" s="337">
        <f t="shared" si="91"/>
        <v>1.0057386117748672</v>
      </c>
      <c r="N222" s="340">
        <f t="shared" si="92"/>
        <v>0.1068765871450164</v>
      </c>
      <c r="O222" s="341">
        <f t="shared" si="93"/>
        <v>1.0001837276131647</v>
      </c>
      <c r="P222" s="342">
        <f t="shared" si="94"/>
        <v>0.1669012603684118</v>
      </c>
      <c r="Q222" s="343">
        <f t="shared" si="95"/>
        <v>13.607813167312152</v>
      </c>
      <c r="R222" s="344">
        <f t="shared" si="96"/>
        <v>-110.21494692525248</v>
      </c>
      <c r="S222" s="346">
        <f t="shared" si="97"/>
        <v>69.785053074747523</v>
      </c>
      <c r="U222" s="319">
        <f t="shared" si="103"/>
        <v>1000000000</v>
      </c>
      <c r="V222" s="319">
        <f t="shared" si="104"/>
        <v>165945924</v>
      </c>
      <c r="X222" s="345">
        <f t="shared" si="98"/>
        <v>25.879358844006831</v>
      </c>
      <c r="Y222" s="346">
        <f t="shared" si="99"/>
        <v>-30.705620418225642</v>
      </c>
      <c r="AA222" s="345">
        <f t="shared" si="100"/>
        <v>49.969957945752341</v>
      </c>
      <c r="AB222" s="346">
        <f t="shared" si="101"/>
        <v>-79.509326507026827</v>
      </c>
      <c r="AD222">
        <f t="shared" si="105"/>
        <v>0</v>
      </c>
      <c r="AE222">
        <f t="shared" si="108"/>
        <v>0</v>
      </c>
    </row>
    <row r="223" spans="1:31" x14ac:dyDescent="0.25">
      <c r="A223" s="347">
        <v>12957.25</v>
      </c>
      <c r="B223" s="364">
        <f t="shared" si="102"/>
        <v>12.95725</v>
      </c>
      <c r="C223" s="337">
        <f t="shared" si="83"/>
        <v>3.0969450292676881</v>
      </c>
      <c r="D223" s="338">
        <f t="shared" si="84"/>
        <v>1.2420055095139226</v>
      </c>
      <c r="E223" s="338">
        <f t="shared" si="85"/>
        <v>1.000190869464529</v>
      </c>
      <c r="F223" s="339">
        <f t="shared" si="86"/>
        <v>1.9536586712073183E-2</v>
      </c>
      <c r="G223" s="338">
        <f t="shared" si="87"/>
        <v>1</v>
      </c>
      <c r="H223" s="339">
        <f t="shared" si="88"/>
        <v>0</v>
      </c>
      <c r="I223" s="337">
        <f t="shared" si="89"/>
        <v>9380.9530732877192</v>
      </c>
      <c r="J223" s="340">
        <f t="shared" si="90"/>
        <v>1.5706897278177905</v>
      </c>
      <c r="K223" s="348">
        <f t="shared" si="106"/>
        <v>2.4149212000939158</v>
      </c>
      <c r="L223" s="349">
        <f t="shared" si="107"/>
        <v>1.1438510900874117</v>
      </c>
      <c r="M223" s="337">
        <f t="shared" si="91"/>
        <v>1.0058056575480985</v>
      </c>
      <c r="N223" s="340">
        <f t="shared" si="92"/>
        <v>0.10749612040903019</v>
      </c>
      <c r="O223" s="341">
        <f t="shared" si="93"/>
        <v>1.00018699479549</v>
      </c>
      <c r="P223" s="342">
        <f t="shared" si="94"/>
        <v>0.16788489435567164</v>
      </c>
      <c r="Q223" s="343">
        <f t="shared" si="95"/>
        <v>13.553219601218697</v>
      </c>
      <c r="R223" s="344">
        <f t="shared" si="96"/>
        <v>-110.27653236757075</v>
      </c>
      <c r="S223" s="346">
        <f t="shared" si="97"/>
        <v>69.723467632429248</v>
      </c>
      <c r="U223" s="319">
        <f t="shared" si="103"/>
        <v>1000000000</v>
      </c>
      <c r="V223" s="319">
        <f t="shared" si="104"/>
        <v>167890327.5625</v>
      </c>
      <c r="X223" s="345">
        <f t="shared" si="98"/>
        <v>25.870062930113491</v>
      </c>
      <c r="Y223" s="346">
        <f t="shared" si="99"/>
        <v>-30.615126523514622</v>
      </c>
      <c r="AA223" s="345">
        <f t="shared" si="100"/>
        <v>49.924660293552222</v>
      </c>
      <c r="AB223" s="346">
        <f t="shared" si="101"/>
        <v>-79.661405844056134</v>
      </c>
      <c r="AD223">
        <f t="shared" si="105"/>
        <v>0</v>
      </c>
      <c r="AE223">
        <f t="shared" si="108"/>
        <v>0</v>
      </c>
    </row>
    <row r="224" spans="1:31" x14ac:dyDescent="0.25">
      <c r="A224" s="347">
        <v>13032.5</v>
      </c>
      <c r="B224" s="364">
        <f t="shared" si="102"/>
        <v>13.032500000000001</v>
      </c>
      <c r="C224" s="337">
        <f t="shared" si="83"/>
        <v>3.1130603197469471</v>
      </c>
      <c r="D224" s="338">
        <f t="shared" si="84"/>
        <v>1.2437711263055662</v>
      </c>
      <c r="E224" s="338">
        <f t="shared" si="85"/>
        <v>1.0001930926590394</v>
      </c>
      <c r="F224" s="339">
        <f t="shared" si="86"/>
        <v>1.9650017481534852E-2</v>
      </c>
      <c r="G224" s="338">
        <f t="shared" si="87"/>
        <v>1</v>
      </c>
      <c r="H224" s="339">
        <f t="shared" si="88"/>
        <v>0</v>
      </c>
      <c r="I224" s="337">
        <f t="shared" si="89"/>
        <v>9435.4335155703393</v>
      </c>
      <c r="J224" s="340">
        <f t="shared" si="90"/>
        <v>1.5706903433231014</v>
      </c>
      <c r="K224" s="348">
        <f t="shared" si="106"/>
        <v>2.4265468916483157</v>
      </c>
      <c r="L224" s="349">
        <f t="shared" si="107"/>
        <v>1.1460295964238665</v>
      </c>
      <c r="M224" s="337">
        <f t="shared" si="91"/>
        <v>1.0058730893195806</v>
      </c>
      <c r="N224" s="340">
        <f t="shared" si="92"/>
        <v>0.10811557084617071</v>
      </c>
      <c r="O224" s="341">
        <f t="shared" si="93"/>
        <v>1.0001903070404761</v>
      </c>
      <c r="P224" s="342">
        <f t="shared" si="94"/>
        <v>0.16886867823929627</v>
      </c>
      <c r="Q224" s="343">
        <f t="shared" si="95"/>
        <v>13.498963632345824</v>
      </c>
      <c r="R224" s="344">
        <f t="shared" si="96"/>
        <v>-110.33827026096839</v>
      </c>
      <c r="S224" s="346">
        <f t="shared" si="97"/>
        <v>69.661729739031614</v>
      </c>
      <c r="U224" s="319">
        <f t="shared" si="103"/>
        <v>1000000000</v>
      </c>
      <c r="V224" s="319">
        <f t="shared" si="104"/>
        <v>169846056.25</v>
      </c>
      <c r="X224" s="345">
        <f t="shared" si="98"/>
        <v>25.860897200932623</v>
      </c>
      <c r="Y224" s="346">
        <f t="shared" si="99"/>
        <v>-30.525834466213503</v>
      </c>
      <c r="AA224" s="345">
        <f t="shared" si="100"/>
        <v>49.879570053860228</v>
      </c>
      <c r="AB224" s="346">
        <f t="shared" si="101"/>
        <v>-79.812435794754919</v>
      </c>
      <c r="AD224">
        <f t="shared" si="105"/>
        <v>0</v>
      </c>
      <c r="AE224">
        <f t="shared" si="108"/>
        <v>0</v>
      </c>
    </row>
    <row r="225" spans="1:31" x14ac:dyDescent="0.25">
      <c r="A225" s="347">
        <v>13107.75</v>
      </c>
      <c r="B225" s="364">
        <f t="shared" si="102"/>
        <v>13.107749999999999</v>
      </c>
      <c r="C225" s="337">
        <f t="shared" si="83"/>
        <v>3.1291852149132287</v>
      </c>
      <c r="D225" s="338">
        <f t="shared" si="84"/>
        <v>1.2455185518213754</v>
      </c>
      <c r="E225" s="338">
        <f t="shared" si="85"/>
        <v>1.0001953287225165</v>
      </c>
      <c r="F225" s="339">
        <f t="shared" si="86"/>
        <v>1.9763447745278235E-2</v>
      </c>
      <c r="G225" s="338">
        <f t="shared" si="87"/>
        <v>1</v>
      </c>
      <c r="H225" s="339">
        <f t="shared" si="88"/>
        <v>0</v>
      </c>
      <c r="I225" s="337">
        <f t="shared" si="89"/>
        <v>9489.9139578564937</v>
      </c>
      <c r="J225" s="340">
        <f t="shared" si="90"/>
        <v>1.5706909517613303</v>
      </c>
      <c r="K225" s="348">
        <f t="shared" si="106"/>
        <v>2.4381839894734672</v>
      </c>
      <c r="L225" s="349">
        <f t="shared" si="107"/>
        <v>1.1481873175311039</v>
      </c>
      <c r="M225" s="337">
        <f t="shared" si="91"/>
        <v>1.0059409070116894</v>
      </c>
      <c r="N225" s="340">
        <f t="shared" si="92"/>
        <v>0.10873493799775295</v>
      </c>
      <c r="O225" s="341">
        <f t="shared" si="93"/>
        <v>1.0001936648014262</v>
      </c>
      <c r="P225" s="342">
        <f t="shared" si="94"/>
        <v>0.16985261283629</v>
      </c>
      <c r="Q225" s="343">
        <f t="shared" si="95"/>
        <v>13.44504103556126</v>
      </c>
      <c r="R225" s="344">
        <f t="shared" si="96"/>
        <v>-110.40016026433788</v>
      </c>
      <c r="S225" s="346">
        <f t="shared" si="97"/>
        <v>69.599839735662115</v>
      </c>
      <c r="U225" s="319">
        <f t="shared" si="103"/>
        <v>1000000000</v>
      </c>
      <c r="V225" s="319">
        <f t="shared" si="104"/>
        <v>171813110.0625</v>
      </c>
      <c r="X225" s="345">
        <f t="shared" si="98"/>
        <v>25.851859020759285</v>
      </c>
      <c r="Y225" s="346">
        <f t="shared" si="99"/>
        <v>-30.437728137999134</v>
      </c>
      <c r="AA225" s="345">
        <f t="shared" si="100"/>
        <v>49.834685637248995</v>
      </c>
      <c r="AB225" s="346">
        <f t="shared" si="101"/>
        <v>-79.96243212633874</v>
      </c>
      <c r="AD225">
        <f t="shared" si="105"/>
        <v>0</v>
      </c>
      <c r="AE225">
        <f t="shared" si="108"/>
        <v>0</v>
      </c>
    </row>
    <row r="226" spans="1:31" x14ac:dyDescent="0.25">
      <c r="A226" s="347">
        <v>13183</v>
      </c>
      <c r="B226" s="364">
        <f t="shared" si="102"/>
        <v>13.183</v>
      </c>
      <c r="C226" s="337">
        <f t="shared" si="83"/>
        <v>3.1453195670474559</v>
      </c>
      <c r="D226" s="338">
        <f t="shared" si="84"/>
        <v>1.2472480552510026</v>
      </c>
      <c r="E226" s="338">
        <f t="shared" si="85"/>
        <v>1.0001975776548737</v>
      </c>
      <c r="F226" s="339">
        <f t="shared" si="86"/>
        <v>1.9876877500387854E-2</v>
      </c>
      <c r="G226" s="338">
        <f t="shared" si="87"/>
        <v>1</v>
      </c>
      <c r="H226" s="339">
        <f t="shared" si="88"/>
        <v>0</v>
      </c>
      <c r="I226" s="337">
        <f t="shared" si="89"/>
        <v>9544.3944001461205</v>
      </c>
      <c r="J226" s="340">
        <f t="shared" si="90"/>
        <v>1.5706915532534957</v>
      </c>
      <c r="K226" s="348">
        <f t="shared" si="106"/>
        <v>2.4498323310245107</v>
      </c>
      <c r="L226" s="349">
        <f t="shared" si="107"/>
        <v>1.1503245296589053</v>
      </c>
      <c r="M226" s="337">
        <f t="shared" si="91"/>
        <v>1.0060091105463771</v>
      </c>
      <c r="N226" s="340">
        <f t="shared" si="92"/>
        <v>0.10935422140547076</v>
      </c>
      <c r="O226" s="341">
        <f t="shared" si="93"/>
        <v>1.0001970685342598</v>
      </c>
      <c r="P226" s="342">
        <f t="shared" si="94"/>
        <v>0.17083669896270434</v>
      </c>
      <c r="Q226" s="343">
        <f t="shared" si="95"/>
        <v>13.391447660857157</v>
      </c>
      <c r="R226" s="344">
        <f t="shared" si="96"/>
        <v>-110.46220200076172</v>
      </c>
      <c r="S226" s="346">
        <f t="shared" si="97"/>
        <v>69.537797999238279</v>
      </c>
      <c r="U226" s="319">
        <f t="shared" si="103"/>
        <v>1000000000</v>
      </c>
      <c r="V226" s="319">
        <f t="shared" si="104"/>
        <v>173791489</v>
      </c>
      <c r="X226" s="345">
        <f t="shared" si="98"/>
        <v>25.842945816938908</v>
      </c>
      <c r="Y226" s="346">
        <f t="shared" si="99"/>
        <v>-30.350791691599802</v>
      </c>
      <c r="AA226" s="345">
        <f t="shared" si="100"/>
        <v>49.790005466365272</v>
      </c>
      <c r="AB226" s="346">
        <f t="shared" si="101"/>
        <v>-80.11141030916194</v>
      </c>
      <c r="AD226">
        <f t="shared" si="105"/>
        <v>0</v>
      </c>
      <c r="AE226">
        <f t="shared" si="108"/>
        <v>0</v>
      </c>
    </row>
    <row r="227" spans="1:31" x14ac:dyDescent="0.25">
      <c r="A227" s="347">
        <v>13259.75</v>
      </c>
      <c r="B227" s="364">
        <f t="shared" si="102"/>
        <v>13.25975</v>
      </c>
      <c r="C227" s="337">
        <f t="shared" si="83"/>
        <v>3.1617851256641583</v>
      </c>
      <c r="D227" s="338">
        <f t="shared" si="84"/>
        <v>1.2489938461659225</v>
      </c>
      <c r="E227" s="338">
        <f t="shared" si="85"/>
        <v>1.0001998846725781</v>
      </c>
      <c r="F227" s="339">
        <f t="shared" si="86"/>
        <v>1.9992567786772612E-2</v>
      </c>
      <c r="G227" s="338">
        <f t="shared" si="87"/>
        <v>1</v>
      </c>
      <c r="H227" s="339">
        <f t="shared" si="88"/>
        <v>0</v>
      </c>
      <c r="I227" s="337">
        <f t="shared" si="89"/>
        <v>9599.9608313221142</v>
      </c>
      <c r="J227" s="340">
        <f t="shared" si="90"/>
        <v>1.5706921597030326</v>
      </c>
      <c r="K227" s="348">
        <f t="shared" si="106"/>
        <v>2.4617242820753962</v>
      </c>
      <c r="L227" s="349">
        <f t="shared" si="107"/>
        <v>1.1524834995326494</v>
      </c>
      <c r="M227" s="337">
        <f t="shared" si="91"/>
        <v>1.006079070994647</v>
      </c>
      <c r="N227" s="340">
        <f t="shared" si="92"/>
        <v>0.10998576259363163</v>
      </c>
      <c r="O227" s="341">
        <f t="shared" si="93"/>
        <v>1.0002005879466673</v>
      </c>
      <c r="P227" s="342">
        <f t="shared" si="94"/>
        <v>0.17184055835936998</v>
      </c>
      <c r="Q227" s="343">
        <f t="shared" si="95"/>
        <v>13.337120884213425</v>
      </c>
      <c r="R227" s="344">
        <f t="shared" si="96"/>
        <v>-110.52563632349222</v>
      </c>
      <c r="S227" s="346">
        <f t="shared" si="97"/>
        <v>69.474363676507778</v>
      </c>
      <c r="U227" s="319">
        <f t="shared" si="103"/>
        <v>1000000000</v>
      </c>
      <c r="V227" s="319">
        <f t="shared" si="104"/>
        <v>175820970.0625</v>
      </c>
      <c r="X227" s="345">
        <f t="shared" si="98"/>
        <v>25.833981075474227</v>
      </c>
      <c r="Y227" s="346">
        <f t="shared" si="99"/>
        <v>-30.263311221307653</v>
      </c>
      <c r="AA227" s="345">
        <f t="shared" si="100"/>
        <v>49.744643431186219</v>
      </c>
      <c r="AB227" s="346">
        <f t="shared" si="101"/>
        <v>-80.262325102184562</v>
      </c>
      <c r="AD227">
        <f t="shared" si="105"/>
        <v>0</v>
      </c>
      <c r="AE227">
        <f t="shared" si="108"/>
        <v>0</v>
      </c>
    </row>
    <row r="228" spans="1:31" x14ac:dyDescent="0.25">
      <c r="A228" s="347">
        <v>13336.5</v>
      </c>
      <c r="B228" s="364">
        <f t="shared" si="102"/>
        <v>13.336499999999999</v>
      </c>
      <c r="C228" s="337">
        <f t="shared" si="83"/>
        <v>3.1782602208612905</v>
      </c>
      <c r="D228" s="338">
        <f t="shared" si="84"/>
        <v>1.2507215430458418</v>
      </c>
      <c r="E228" s="338">
        <f t="shared" si="85"/>
        <v>1.0002022050771384</v>
      </c>
      <c r="F228" s="339">
        <f t="shared" si="86"/>
        <v>2.0108257537917784E-2</v>
      </c>
      <c r="G228" s="338">
        <f t="shared" si="87"/>
        <v>1</v>
      </c>
      <c r="H228" s="339">
        <f t="shared" si="88"/>
        <v>0</v>
      </c>
      <c r="I228" s="337">
        <f t="shared" si="89"/>
        <v>9655.5272625015969</v>
      </c>
      <c r="J228" s="340">
        <f t="shared" si="90"/>
        <v>1.5706927591724766</v>
      </c>
      <c r="K228" s="348">
        <f t="shared" si="106"/>
        <v>2.4736275972367605</v>
      </c>
      <c r="L228" s="349">
        <f t="shared" si="107"/>
        <v>1.1546217009844937</v>
      </c>
      <c r="M228" s="337">
        <f t="shared" si="91"/>
        <v>1.006149432655896</v>
      </c>
      <c r="N228" s="340">
        <f t="shared" si="92"/>
        <v>0.11061721570421605</v>
      </c>
      <c r="O228" s="341">
        <f t="shared" si="93"/>
        <v>1.0002041561483037</v>
      </c>
      <c r="P228" s="342">
        <f t="shared" si="94"/>
        <v>0.17284457709839404</v>
      </c>
      <c r="Q228" s="343">
        <f t="shared" si="95"/>
        <v>13.283128096793753</v>
      </c>
      <c r="R228" s="344">
        <f t="shared" si="96"/>
        <v>-110.58922759121336</v>
      </c>
      <c r="S228" s="346">
        <f t="shared" si="97"/>
        <v>69.410772408786642</v>
      </c>
      <c r="U228" s="319">
        <f t="shared" si="103"/>
        <v>1000000000</v>
      </c>
      <c r="V228" s="319">
        <f t="shared" si="104"/>
        <v>177862232.25</v>
      </c>
      <c r="X228" s="345">
        <f t="shared" si="98"/>
        <v>25.825141129502573</v>
      </c>
      <c r="Y228" s="346">
        <f t="shared" si="99"/>
        <v>-30.177015247535611</v>
      </c>
      <c r="AA228" s="345">
        <f t="shared" si="100"/>
        <v>49.699490589738211</v>
      </c>
      <c r="AB228" s="346">
        <f t="shared" si="101"/>
        <v>-80.412212343677723</v>
      </c>
      <c r="AD228">
        <f t="shared" si="105"/>
        <v>0</v>
      </c>
      <c r="AE228">
        <f t="shared" si="108"/>
        <v>0</v>
      </c>
    </row>
    <row r="229" spans="1:31" x14ac:dyDescent="0.25">
      <c r="A229" s="347">
        <v>13413.25</v>
      </c>
      <c r="B229" s="364">
        <f t="shared" si="102"/>
        <v>13.41325</v>
      </c>
      <c r="C229" s="337">
        <f t="shared" si="83"/>
        <v>3.19474470510024</v>
      </c>
      <c r="D229" s="338">
        <f t="shared" si="84"/>
        <v>1.2524314155849776</v>
      </c>
      <c r="E229" s="338">
        <f t="shared" si="85"/>
        <v>1.0002045388684615</v>
      </c>
      <c r="F229" s="339">
        <f t="shared" si="86"/>
        <v>2.0223946750730307E-2</v>
      </c>
      <c r="G229" s="338">
        <f t="shared" si="87"/>
        <v>1</v>
      </c>
      <c r="H229" s="339">
        <f t="shared" si="88"/>
        <v>0</v>
      </c>
      <c r="I229" s="337">
        <f t="shared" si="89"/>
        <v>9711.0936936845101</v>
      </c>
      <c r="J229" s="340">
        <f t="shared" si="90"/>
        <v>1.5706933517816479</v>
      </c>
      <c r="K229" s="348">
        <f t="shared" si="106"/>
        <v>2.4855421132396942</v>
      </c>
      <c r="L229" s="349">
        <f t="shared" si="107"/>
        <v>1.1567394129835931</v>
      </c>
      <c r="M229" s="337">
        <f t="shared" si="91"/>
        <v>1.0062201954459571</v>
      </c>
      <c r="N229" s="340">
        <f t="shared" si="92"/>
        <v>0.11124858025219163</v>
      </c>
      <c r="O229" s="341">
        <f t="shared" si="93"/>
        <v>1.0002077736313055</v>
      </c>
      <c r="P229" s="342">
        <f t="shared" si="94"/>
        <v>0.17384875604250491</v>
      </c>
      <c r="Q229" s="343">
        <f t="shared" si="95"/>
        <v>13.229465126175462</v>
      </c>
      <c r="R229" s="344">
        <f t="shared" si="96"/>
        <v>-110.65297530119307</v>
      </c>
      <c r="S229" s="346">
        <f t="shared" si="97"/>
        <v>69.347024698806933</v>
      </c>
      <c r="U229" s="319">
        <f t="shared" si="103"/>
        <v>1000000000</v>
      </c>
      <c r="V229" s="319">
        <f t="shared" si="104"/>
        <v>179915275.5625</v>
      </c>
      <c r="X229" s="345">
        <f t="shared" si="98"/>
        <v>25.816423441011199</v>
      </c>
      <c r="Y229" s="346">
        <f t="shared" si="99"/>
        <v>-30.091887765603335</v>
      </c>
      <c r="AA229" s="345">
        <f t="shared" si="100"/>
        <v>49.654545307611286</v>
      </c>
      <c r="AB229" s="346">
        <f t="shared" si="101"/>
        <v>-80.561087535589735</v>
      </c>
      <c r="AD229">
        <f t="shared" si="105"/>
        <v>0</v>
      </c>
      <c r="AE229">
        <f t="shared" si="108"/>
        <v>0</v>
      </c>
    </row>
    <row r="230" spans="1:31" x14ac:dyDescent="0.25">
      <c r="A230" s="347">
        <v>13490</v>
      </c>
      <c r="B230" s="364">
        <f t="shared" si="102"/>
        <v>13.49</v>
      </c>
      <c r="C230" s="337">
        <f t="shared" si="83"/>
        <v>3.2112384337886524</v>
      </c>
      <c r="D230" s="338">
        <f t="shared" si="84"/>
        <v>1.254123728358326</v>
      </c>
      <c r="E230" s="338">
        <f t="shared" si="85"/>
        <v>1.0002068860464532</v>
      </c>
      <c r="F230" s="339">
        <f t="shared" si="86"/>
        <v>2.0339635422117183E-2</v>
      </c>
      <c r="G230" s="338">
        <f t="shared" si="87"/>
        <v>1</v>
      </c>
      <c r="H230" s="339">
        <f t="shared" si="88"/>
        <v>0</v>
      </c>
      <c r="I230" s="337">
        <f t="shared" si="89"/>
        <v>9766.6601248707957</v>
      </c>
      <c r="J230" s="340">
        <f t="shared" si="90"/>
        <v>1.5706939376476383</v>
      </c>
      <c r="K230" s="348">
        <f t="shared" si="106"/>
        <v>2.4974676697786955</v>
      </c>
      <c r="L230" s="349">
        <f t="shared" si="107"/>
        <v>1.1588369099133693</v>
      </c>
      <c r="M230" s="337">
        <f t="shared" si="91"/>
        <v>1.0062913592802083</v>
      </c>
      <c r="N230" s="340">
        <f t="shared" si="92"/>
        <v>0.11187985575294436</v>
      </c>
      <c r="O230" s="341">
        <f t="shared" si="93"/>
        <v>1.0002114408906375</v>
      </c>
      <c r="P230" s="342">
        <f t="shared" si="94"/>
        <v>0.17485309605337301</v>
      </c>
      <c r="Q230" s="343">
        <f t="shared" si="95"/>
        <v>13.176127874132053</v>
      </c>
      <c r="R230" s="344">
        <f t="shared" si="96"/>
        <v>-110.7168789199399</v>
      </c>
      <c r="S230" s="346">
        <f t="shared" si="97"/>
        <v>69.283121080060099</v>
      </c>
      <c r="U230" s="319">
        <f t="shared" si="103"/>
        <v>1000000000</v>
      </c>
      <c r="V230" s="319">
        <f t="shared" si="104"/>
        <v>181980100</v>
      </c>
      <c r="X230" s="345">
        <f t="shared" si="98"/>
        <v>25.807825532917899</v>
      </c>
      <c r="Y230" s="346">
        <f t="shared" si="99"/>
        <v>-30.007913033441302</v>
      </c>
      <c r="AA230" s="345">
        <f t="shared" si="100"/>
        <v>49.609805963661188</v>
      </c>
      <c r="AB230" s="346">
        <f t="shared" si="101"/>
        <v>-80.708965886498575</v>
      </c>
      <c r="AD230">
        <f t="shared" si="105"/>
        <v>0</v>
      </c>
      <c r="AE230">
        <f t="shared" si="108"/>
        <v>0</v>
      </c>
    </row>
    <row r="231" spans="1:31" x14ac:dyDescent="0.25">
      <c r="A231" s="347">
        <v>13568.5</v>
      </c>
      <c r="B231" s="364">
        <f t="shared" si="102"/>
        <v>13.5685</v>
      </c>
      <c r="C231" s="337">
        <f t="shared" si="83"/>
        <v>3.2281176563136755</v>
      </c>
      <c r="D231" s="338">
        <f t="shared" si="84"/>
        <v>1.2558367336870715</v>
      </c>
      <c r="E231" s="338">
        <f t="shared" si="85"/>
        <v>1.0002093005910624</v>
      </c>
      <c r="F231" s="339">
        <f t="shared" si="86"/>
        <v>2.0457961382638095E-2</v>
      </c>
      <c r="G231" s="338">
        <f t="shared" si="87"/>
        <v>1</v>
      </c>
      <c r="H231" s="339">
        <f t="shared" si="88"/>
        <v>0</v>
      </c>
      <c r="I231" s="337">
        <f t="shared" si="89"/>
        <v>9823.4935430908154</v>
      </c>
      <c r="J231" s="340">
        <f t="shared" si="90"/>
        <v>1.5706945300158444</v>
      </c>
      <c r="K231" s="348">
        <f t="shared" si="106"/>
        <v>2.5096764015084685</v>
      </c>
      <c r="L231" s="349">
        <f t="shared" si="107"/>
        <v>1.1609616020646789</v>
      </c>
      <c r="M231" s="337">
        <f t="shared" si="91"/>
        <v>1.0063645605188563</v>
      </c>
      <c r="N231" s="340">
        <f t="shared" si="92"/>
        <v>0.11252543253697934</v>
      </c>
      <c r="O231" s="341">
        <f t="shared" si="93"/>
        <v>1.0002152437788576</v>
      </c>
      <c r="P231" s="342">
        <f t="shared" si="94"/>
        <v>0.17588050383952339</v>
      </c>
      <c r="Q231" s="343">
        <f t="shared" si="95"/>
        <v>13.121907211037726</v>
      </c>
      <c r="R231" s="344">
        <f t="shared" si="96"/>
        <v>-110.78240031971623</v>
      </c>
      <c r="S231" s="346">
        <f t="shared" si="97"/>
        <v>69.217599680283769</v>
      </c>
      <c r="U231" s="319">
        <f t="shared" si="103"/>
        <v>1000000000</v>
      </c>
      <c r="V231" s="319">
        <f t="shared" si="104"/>
        <v>184104192.25</v>
      </c>
      <c r="X231" s="345">
        <f t="shared" si="98"/>
        <v>25.799152969734838</v>
      </c>
      <c r="Y231" s="346">
        <f t="shared" si="99"/>
        <v>-29.923199905584848</v>
      </c>
      <c r="AA231" s="345">
        <f t="shared" si="100"/>
        <v>49.564257863749916</v>
      </c>
      <c r="AB231" s="346">
        <f t="shared" si="101"/>
        <v>-80.859200414131408</v>
      </c>
      <c r="AD231">
        <f t="shared" si="105"/>
        <v>0</v>
      </c>
      <c r="AE231">
        <f t="shared" si="108"/>
        <v>0</v>
      </c>
    </row>
    <row r="232" spans="1:31" x14ac:dyDescent="0.25">
      <c r="A232" s="347">
        <v>13647</v>
      </c>
      <c r="B232" s="364">
        <f t="shared" si="102"/>
        <v>13.647</v>
      </c>
      <c r="C232" s="337">
        <f t="shared" si="83"/>
        <v>3.2450062528251027</v>
      </c>
      <c r="D232" s="338">
        <f t="shared" si="84"/>
        <v>1.2575319133152967</v>
      </c>
      <c r="E232" s="338">
        <f t="shared" si="85"/>
        <v>1.0002117291395671</v>
      </c>
      <c r="F232" s="339">
        <f t="shared" si="86"/>
        <v>2.0576286770216667E-2</v>
      </c>
      <c r="G232" s="338">
        <f t="shared" si="87"/>
        <v>1</v>
      </c>
      <c r="H232" s="339">
        <f t="shared" si="88"/>
        <v>0</v>
      </c>
      <c r="I232" s="337">
        <f t="shared" si="89"/>
        <v>9880.326961314242</v>
      </c>
      <c r="J232" s="340">
        <f t="shared" si="90"/>
        <v>1.5706951155692335</v>
      </c>
      <c r="K232" s="348">
        <f t="shared" si="106"/>
        <v>2.5218963529887111</v>
      </c>
      <c r="L232" s="349">
        <f t="shared" si="107"/>
        <v>1.1630657130733919</v>
      </c>
      <c r="M232" s="337">
        <f t="shared" si="91"/>
        <v>1.0064381811183287</v>
      </c>
      <c r="N232" s="340">
        <f t="shared" si="92"/>
        <v>0.11317091514256897</v>
      </c>
      <c r="O232" s="341">
        <f t="shared" si="93"/>
        <v>1.0002190997956699</v>
      </c>
      <c r="P232" s="342">
        <f t="shared" si="94"/>
        <v>0.17690808194119514</v>
      </c>
      <c r="Q232" s="343">
        <f t="shared" si="95"/>
        <v>13.068018847671874</v>
      </c>
      <c r="R232" s="344">
        <f t="shared" si="96"/>
        <v>-110.84808359939456</v>
      </c>
      <c r="S232" s="346">
        <f t="shared" si="97"/>
        <v>69.151916400605444</v>
      </c>
      <c r="U232" s="319">
        <f t="shared" si="103"/>
        <v>1000000000</v>
      </c>
      <c r="V232" s="319">
        <f t="shared" si="104"/>
        <v>186240609</v>
      </c>
      <c r="X232" s="345">
        <f t="shared" si="98"/>
        <v>25.790600657638862</v>
      </c>
      <c r="Y232" s="346">
        <f t="shared" si="99"/>
        <v>-29.839660203850393</v>
      </c>
      <c r="AA232" s="345">
        <f t="shared" si="100"/>
        <v>49.518921812480031</v>
      </c>
      <c r="AB232" s="346">
        <f t="shared" si="101"/>
        <v>-81.008423395544142</v>
      </c>
      <c r="AD232">
        <f t="shared" si="105"/>
        <v>0</v>
      </c>
      <c r="AE232">
        <f t="shared" si="108"/>
        <v>0</v>
      </c>
    </row>
    <row r="233" spans="1:31" x14ac:dyDescent="0.25">
      <c r="A233" s="347">
        <v>13725.5</v>
      </c>
      <c r="B233" s="364">
        <f t="shared" si="102"/>
        <v>13.7255</v>
      </c>
      <c r="C233" s="337">
        <f t="shared" si="83"/>
        <v>3.2619040777207333</v>
      </c>
      <c r="D233" s="338">
        <f t="shared" si="84"/>
        <v>1.2592095344543919</v>
      </c>
      <c r="E233" s="338">
        <f t="shared" si="85"/>
        <v>1.0002141716918656</v>
      </c>
      <c r="F233" s="339">
        <f t="shared" si="86"/>
        <v>2.0694611581543766E-2</v>
      </c>
      <c r="G233" s="338">
        <f t="shared" si="87"/>
        <v>1</v>
      </c>
      <c r="H233" s="339">
        <f t="shared" si="88"/>
        <v>0</v>
      </c>
      <c r="I233" s="337">
        <f t="shared" si="89"/>
        <v>9937.1603795410156</v>
      </c>
      <c r="J233" s="340">
        <f t="shared" si="90"/>
        <v>1.5706956944247332</v>
      </c>
      <c r="K233" s="348">
        <f t="shared" si="106"/>
        <v>2.5341273619093467</v>
      </c>
      <c r="L233" s="349">
        <f t="shared" si="107"/>
        <v>1.1651495221783583</v>
      </c>
      <c r="M233" s="337">
        <f t="shared" si="91"/>
        <v>1.0065122209866044</v>
      </c>
      <c r="N233" s="340">
        <f t="shared" si="92"/>
        <v>0.11381630305256056</v>
      </c>
      <c r="O233" s="341">
        <f t="shared" si="93"/>
        <v>1.0002230094798574</v>
      </c>
      <c r="P233" s="342">
        <f t="shared" si="94"/>
        <v>0.1779358312768749</v>
      </c>
      <c r="Q233" s="343">
        <f t="shared" si="95"/>
        <v>13.014458629133934</v>
      </c>
      <c r="R233" s="344">
        <f t="shared" si="96"/>
        <v>-110.91392809973583</v>
      </c>
      <c r="S233" s="346">
        <f t="shared" si="97"/>
        <v>69.086071900264173</v>
      </c>
      <c r="U233" s="319">
        <f t="shared" si="103"/>
        <v>1000000000</v>
      </c>
      <c r="V233" s="319">
        <f t="shared" si="104"/>
        <v>188389350.25</v>
      </c>
      <c r="X233" s="345">
        <f t="shared" si="98"/>
        <v>25.782166133119286</v>
      </c>
      <c r="Y233" s="346">
        <f t="shared" si="99"/>
        <v>-29.757277906099112</v>
      </c>
      <c r="AA233" s="345">
        <f t="shared" si="100"/>
        <v>49.473796118461671</v>
      </c>
      <c r="AB233" s="346">
        <f t="shared" si="101"/>
        <v>-81.156650193636679</v>
      </c>
      <c r="AD233">
        <f t="shared" si="105"/>
        <v>0</v>
      </c>
      <c r="AE233">
        <f t="shared" si="108"/>
        <v>0</v>
      </c>
    </row>
    <row r="234" spans="1:31" x14ac:dyDescent="0.25">
      <c r="A234" s="347">
        <v>13804</v>
      </c>
      <c r="B234" s="364">
        <f t="shared" si="102"/>
        <v>13.804</v>
      </c>
      <c r="C234" s="337">
        <f t="shared" si="83"/>
        <v>3.2788109883211458</v>
      </c>
      <c r="D234" s="338">
        <f t="shared" si="84"/>
        <v>1.2608698592042</v>
      </c>
      <c r="E234" s="338">
        <f t="shared" si="85"/>
        <v>1.0002166282478548</v>
      </c>
      <c r="F234" s="339">
        <f t="shared" si="86"/>
        <v>2.0812935813310347E-2</v>
      </c>
      <c r="G234" s="338">
        <f t="shared" si="87"/>
        <v>1</v>
      </c>
      <c r="H234" s="339">
        <f t="shared" si="88"/>
        <v>0</v>
      </c>
      <c r="I234" s="337">
        <f t="shared" si="89"/>
        <v>9993.9937977710852</v>
      </c>
      <c r="J234" s="340">
        <f t="shared" si="90"/>
        <v>1.5706962666966111</v>
      </c>
      <c r="K234" s="348">
        <f t="shared" si="106"/>
        <v>2.5463692689333359</v>
      </c>
      <c r="L234" s="349">
        <f t="shared" si="107"/>
        <v>1.1672133039611114</v>
      </c>
      <c r="M234" s="337">
        <f t="shared" si="91"/>
        <v>1.0065866800311645</v>
      </c>
      <c r="N234" s="340">
        <f t="shared" si="92"/>
        <v>0.11446159575026869</v>
      </c>
      <c r="O234" s="341">
        <f t="shared" si="93"/>
        <v>1.0002269733732982</v>
      </c>
      <c r="P234" s="342">
        <f t="shared" si="94"/>
        <v>0.17896375276386131</v>
      </c>
      <c r="Q234" s="343">
        <f t="shared" si="95"/>
        <v>12.961222474603346</v>
      </c>
      <c r="R234" s="344">
        <f t="shared" si="96"/>
        <v>-110.97993313528201</v>
      </c>
      <c r="S234" s="346">
        <f t="shared" si="97"/>
        <v>69.02006686471799</v>
      </c>
      <c r="U234" s="319">
        <f t="shared" si="103"/>
        <v>1000000000</v>
      </c>
      <c r="V234" s="319">
        <f t="shared" si="104"/>
        <v>190550416</v>
      </c>
      <c r="X234" s="345">
        <f t="shared" si="98"/>
        <v>25.77384699217324</v>
      </c>
      <c r="Y234" s="346">
        <f t="shared" si="99"/>
        <v>-29.676037256911165</v>
      </c>
      <c r="AA234" s="345">
        <f t="shared" si="100"/>
        <v>49.428879104877133</v>
      </c>
      <c r="AB234" s="346">
        <f t="shared" si="101"/>
        <v>-81.303895878370838</v>
      </c>
      <c r="AD234">
        <f t="shared" si="105"/>
        <v>0</v>
      </c>
      <c r="AE234">
        <f t="shared" si="108"/>
        <v>0</v>
      </c>
    </row>
    <row r="235" spans="1:31" x14ac:dyDescent="0.25">
      <c r="A235" s="347">
        <v>13884.25</v>
      </c>
      <c r="B235" s="364">
        <f t="shared" si="102"/>
        <v>13.88425</v>
      </c>
      <c r="C235" s="337">
        <f t="shared" si="83"/>
        <v>3.2961040507597561</v>
      </c>
      <c r="D235" s="338">
        <f t="shared" si="84"/>
        <v>1.2625495862057265</v>
      </c>
      <c r="E235" s="338">
        <f t="shared" si="85"/>
        <v>1.0002191540431711</v>
      </c>
      <c r="F235" s="339">
        <f t="shared" si="86"/>
        <v>2.0933897243891469E-2</v>
      </c>
      <c r="G235" s="338">
        <f t="shared" si="87"/>
        <v>1</v>
      </c>
      <c r="H235" s="339">
        <f t="shared" si="88"/>
        <v>0</v>
      </c>
      <c r="I235" s="337">
        <f t="shared" si="89"/>
        <v>10052.094203035102</v>
      </c>
      <c r="J235" s="340">
        <f t="shared" si="90"/>
        <v>1.5706968450370209</v>
      </c>
      <c r="K235" s="348">
        <f t="shared" si="106"/>
        <v>2.5588951870681016</v>
      </c>
      <c r="L235" s="349">
        <f t="shared" si="107"/>
        <v>1.1693026727711791</v>
      </c>
      <c r="M235" s="337">
        <f t="shared" si="91"/>
        <v>1.0066632321913516</v>
      </c>
      <c r="N235" s="340">
        <f t="shared" si="92"/>
        <v>0.11512117499661528</v>
      </c>
      <c r="O235" s="341">
        <f t="shared" si="93"/>
        <v>1.0002310822367786</v>
      </c>
      <c r="P235" s="342">
        <f t="shared" si="94"/>
        <v>0.18001476860274043</v>
      </c>
      <c r="Q235" s="343">
        <f t="shared" si="95"/>
        <v>12.907130334053576</v>
      </c>
      <c r="R235" s="344">
        <f t="shared" si="96"/>
        <v>-111.04757482446547</v>
      </c>
      <c r="S235" s="346">
        <f t="shared" si="97"/>
        <v>68.952425175534529</v>
      </c>
      <c r="U235" s="319">
        <f t="shared" si="103"/>
        <v>1000000000</v>
      </c>
      <c r="V235" s="319">
        <f t="shared" si="104"/>
        <v>192772398.0625</v>
      </c>
      <c r="X235" s="345">
        <f t="shared" si="98"/>
        <v>25.76545922038585</v>
      </c>
      <c r="Y235" s="346">
        <f t="shared" si="99"/>
        <v>-29.594149485689133</v>
      </c>
      <c r="AA235" s="345">
        <f t="shared" si="100"/>
        <v>49.383174736114761</v>
      </c>
      <c r="AB235" s="346">
        <f t="shared" si="101"/>
        <v>-81.453425338776356</v>
      </c>
      <c r="AD235">
        <f t="shared" si="105"/>
        <v>0</v>
      </c>
      <c r="AE235">
        <f t="shared" si="108"/>
        <v>0</v>
      </c>
    </row>
    <row r="236" spans="1:31" x14ac:dyDescent="0.25">
      <c r="A236" s="347">
        <v>13964.5</v>
      </c>
      <c r="B236" s="364">
        <f t="shared" si="102"/>
        <v>13.964499999999999</v>
      </c>
      <c r="C236" s="337">
        <f t="shared" si="83"/>
        <v>3.313406316009456</v>
      </c>
      <c r="D236" s="338">
        <f t="shared" si="84"/>
        <v>1.2642117751348578</v>
      </c>
      <c r="E236" s="338">
        <f t="shared" si="85"/>
        <v>1.0002216944732873</v>
      </c>
      <c r="F236" s="339">
        <f t="shared" si="86"/>
        <v>2.1054858061790541E-2</v>
      </c>
      <c r="G236" s="338">
        <f t="shared" si="87"/>
        <v>1</v>
      </c>
      <c r="H236" s="339">
        <f t="shared" si="88"/>
        <v>0</v>
      </c>
      <c r="I236" s="337">
        <f t="shared" si="89"/>
        <v>10110.194608302445</v>
      </c>
      <c r="J236" s="340">
        <f t="shared" si="90"/>
        <v>1.5706974167303158</v>
      </c>
      <c r="K236" s="348">
        <f t="shared" si="106"/>
        <v>2.5714321671047027</v>
      </c>
      <c r="L236" s="349">
        <f t="shared" si="107"/>
        <v>1.1713716771658487</v>
      </c>
      <c r="M236" s="337">
        <f t="shared" si="91"/>
        <v>1.0067402222284119</v>
      </c>
      <c r="N236" s="340">
        <f t="shared" si="92"/>
        <v>0.11578065364773461</v>
      </c>
      <c r="O236" s="341">
        <f t="shared" si="93"/>
        <v>1.0002352489085591</v>
      </c>
      <c r="P236" s="342">
        <f t="shared" si="94"/>
        <v>0.18106596628886262</v>
      </c>
      <c r="Q236" s="343">
        <f t="shared" si="95"/>
        <v>12.853368472328153</v>
      </c>
      <c r="R236" s="344">
        <f t="shared" si="96"/>
        <v>-111.11538276082472</v>
      </c>
      <c r="S236" s="346">
        <f t="shared" si="97"/>
        <v>68.884617239175284</v>
      </c>
      <c r="U236" s="319">
        <f t="shared" si="103"/>
        <v>1000000000</v>
      </c>
      <c r="V236" s="319">
        <f t="shared" si="104"/>
        <v>195007260.25</v>
      </c>
      <c r="X236" s="345">
        <f t="shared" si="98"/>
        <v>25.757187136398905</v>
      </c>
      <c r="Y236" s="346">
        <f t="shared" si="99"/>
        <v>-29.513422364989395</v>
      </c>
      <c r="AA236" s="345">
        <f t="shared" si="100"/>
        <v>49.337684958376272</v>
      </c>
      <c r="AB236" s="346">
        <f t="shared" si="101"/>
        <v>-81.601960395835334</v>
      </c>
      <c r="AD236">
        <f t="shared" si="105"/>
        <v>0</v>
      </c>
      <c r="AE236">
        <f t="shared" si="108"/>
        <v>0</v>
      </c>
    </row>
    <row r="237" spans="1:31" x14ac:dyDescent="0.25">
      <c r="A237" s="347">
        <v>14044.75</v>
      </c>
      <c r="B237" s="364">
        <f t="shared" si="102"/>
        <v>14.044750000000001</v>
      </c>
      <c r="C237" s="337">
        <f t="shared" si="83"/>
        <v>3.3307176406511751</v>
      </c>
      <c r="D237" s="338">
        <f t="shared" si="84"/>
        <v>1.2658566901956263</v>
      </c>
      <c r="E237" s="338">
        <f t="shared" si="85"/>
        <v>1.0002242495380922</v>
      </c>
      <c r="F237" s="339">
        <f t="shared" si="86"/>
        <v>2.1175818263472562E-2</v>
      </c>
      <c r="G237" s="338">
        <f t="shared" si="87"/>
        <v>1</v>
      </c>
      <c r="H237" s="339">
        <f t="shared" si="88"/>
        <v>0</v>
      </c>
      <c r="I237" s="337">
        <f t="shared" si="89"/>
        <v>10168.295013573053</v>
      </c>
      <c r="J237" s="340">
        <f t="shared" si="90"/>
        <v>1.5706979818904385</v>
      </c>
      <c r="K237" s="348">
        <f t="shared" si="106"/>
        <v>2.5839800480324087</v>
      </c>
      <c r="L237" s="349">
        <f t="shared" si="107"/>
        <v>1.1734205959717778</v>
      </c>
      <c r="M237" s="337">
        <f t="shared" si="91"/>
        <v>1.0068176500418939</v>
      </c>
      <c r="N237" s="340">
        <f t="shared" si="92"/>
        <v>0.1164400311531395</v>
      </c>
      <c r="O237" s="341">
        <f t="shared" si="93"/>
        <v>1.0002394739775986</v>
      </c>
      <c r="P237" s="342">
        <f t="shared" si="94"/>
        <v>0.18211734679835143</v>
      </c>
      <c r="Q237" s="343">
        <f t="shared" si="95"/>
        <v>12.799932758844905</v>
      </c>
      <c r="R237" s="344">
        <f t="shared" si="96"/>
        <v>-111.18335613766313</v>
      </c>
      <c r="S237" s="346">
        <f t="shared" si="97"/>
        <v>68.816643862336875</v>
      </c>
      <c r="U237" s="319">
        <f t="shared" si="103"/>
        <v>1000000000</v>
      </c>
      <c r="V237" s="319">
        <f t="shared" si="104"/>
        <v>197255002.5625</v>
      </c>
      <c r="X237" s="345">
        <f t="shared" si="98"/>
        <v>25.749028353975415</v>
      </c>
      <c r="Y237" s="346">
        <f t="shared" si="99"/>
        <v>-29.433839894209079</v>
      </c>
      <c r="AA237" s="345">
        <f t="shared" si="100"/>
        <v>49.292408027316512</v>
      </c>
      <c r="AB237" s="346">
        <f t="shared" si="101"/>
        <v>-81.749516243454067</v>
      </c>
      <c r="AD237">
        <f t="shared" si="105"/>
        <v>0</v>
      </c>
      <c r="AE237">
        <f t="shared" si="108"/>
        <v>0</v>
      </c>
    </row>
    <row r="238" spans="1:31" x14ac:dyDescent="0.25">
      <c r="A238" s="347">
        <v>14125</v>
      </c>
      <c r="B238" s="364">
        <f t="shared" si="102"/>
        <v>14.125</v>
      </c>
      <c r="C238" s="337">
        <f t="shared" si="83"/>
        <v>3.3480378841577649</v>
      </c>
      <c r="D238" s="338">
        <f t="shared" si="84"/>
        <v>1.2674845905031034</v>
      </c>
      <c r="E238" s="338">
        <f t="shared" si="85"/>
        <v>1.0002268192374739</v>
      </c>
      <c r="F238" s="339">
        <f t="shared" si="86"/>
        <v>2.1296777845402647E-2</v>
      </c>
      <c r="G238" s="338">
        <f t="shared" si="87"/>
        <v>1</v>
      </c>
      <c r="H238" s="339">
        <f t="shared" si="88"/>
        <v>0</v>
      </c>
      <c r="I238" s="337">
        <f t="shared" si="89"/>
        <v>10226.395418846874</v>
      </c>
      <c r="J238" s="340">
        <f t="shared" si="90"/>
        <v>1.5706985406287417</v>
      </c>
      <c r="K238" s="348">
        <f t="shared" si="106"/>
        <v>2.5965386718141974</v>
      </c>
      <c r="L238" s="349">
        <f t="shared" si="107"/>
        <v>1.1754497033028566</v>
      </c>
      <c r="M238" s="337">
        <f t="shared" si="91"/>
        <v>1.0068955155308059</v>
      </c>
      <c r="N238" s="340">
        <f t="shared" si="92"/>
        <v>0.11709930696286333</v>
      </c>
      <c r="O238" s="341">
        <f t="shared" si="93"/>
        <v>1.0002437580362342</v>
      </c>
      <c r="P238" s="342">
        <f t="shared" si="94"/>
        <v>0.18316891110599837</v>
      </c>
      <c r="Q238" s="343">
        <f t="shared" si="95"/>
        <v>12.746819136805863</v>
      </c>
      <c r="R238" s="344">
        <f t="shared" si="96"/>
        <v>-111.25149412653498</v>
      </c>
      <c r="S238" s="346">
        <f t="shared" si="97"/>
        <v>68.748505873465021</v>
      </c>
      <c r="U238" s="319">
        <f t="shared" si="103"/>
        <v>1000000000</v>
      </c>
      <c r="V238" s="319">
        <f t="shared" si="104"/>
        <v>199515625</v>
      </c>
      <c r="X238" s="345">
        <f t="shared" si="98"/>
        <v>25.740980544836649</v>
      </c>
      <c r="Y238" s="346">
        <f t="shared" si="99"/>
        <v>-29.35538634264844</v>
      </c>
      <c r="AA238" s="345">
        <f t="shared" si="100"/>
        <v>49.247342214416243</v>
      </c>
      <c r="AB238" s="346">
        <f t="shared" si="101"/>
        <v>-81.896107783886563</v>
      </c>
      <c r="AD238">
        <f t="shared" si="105"/>
        <v>0</v>
      </c>
      <c r="AE238">
        <f t="shared" si="108"/>
        <v>0</v>
      </c>
    </row>
    <row r="239" spans="1:31" x14ac:dyDescent="0.25">
      <c r="A239" s="347">
        <v>14207.25</v>
      </c>
      <c r="B239" s="364">
        <f t="shared" si="102"/>
        <v>14.20725</v>
      </c>
      <c r="C239" s="337">
        <f t="shared" si="83"/>
        <v>3.3657988958080187</v>
      </c>
      <c r="D239" s="338">
        <f t="shared" si="84"/>
        <v>1.2691356713134738</v>
      </c>
      <c r="E239" s="338">
        <f t="shared" si="85"/>
        <v>1.0002294681652981</v>
      </c>
      <c r="F239" s="339">
        <f t="shared" si="86"/>
        <v>2.1420751349541595E-2</v>
      </c>
      <c r="G239" s="338">
        <f t="shared" si="87"/>
        <v>1</v>
      </c>
      <c r="H239" s="339">
        <f t="shared" si="88"/>
        <v>0</v>
      </c>
      <c r="I239" s="337">
        <f t="shared" si="89"/>
        <v>10285.943809302133</v>
      </c>
      <c r="J239" s="340">
        <f t="shared" si="90"/>
        <v>1.5706991067419667</v>
      </c>
      <c r="K239" s="348">
        <f t="shared" si="106"/>
        <v>2.6094212686026461</v>
      </c>
      <c r="L239" s="349">
        <f t="shared" si="107"/>
        <v>1.1775091039864822</v>
      </c>
      <c r="M239" s="337">
        <f t="shared" si="91"/>
        <v>1.0069757756594639</v>
      </c>
      <c r="N239" s="340">
        <f t="shared" si="92"/>
        <v>0.11777490721850434</v>
      </c>
      <c r="O239" s="341">
        <f t="shared" si="93"/>
        <v>1.0002482106991479</v>
      </c>
      <c r="P239" s="342">
        <f t="shared" si="94"/>
        <v>0.18424687436852888</v>
      </c>
      <c r="Q239" s="343">
        <f t="shared" si="95"/>
        <v>12.692711874282478</v>
      </c>
      <c r="R239" s="344">
        <f t="shared" si="96"/>
        <v>-111.32150018722538</v>
      </c>
      <c r="S239" s="346">
        <f t="shared" si="97"/>
        <v>68.678499812774618</v>
      </c>
      <c r="U239" s="319">
        <f t="shared" si="103"/>
        <v>1000000000</v>
      </c>
      <c r="V239" s="319">
        <f t="shared" si="104"/>
        <v>201845952.5625</v>
      </c>
      <c r="X239" s="345">
        <f t="shared" si="98"/>
        <v>25.732844946703615</v>
      </c>
      <c r="Y239" s="346">
        <f t="shared" si="99"/>
        <v>-29.276132854244477</v>
      </c>
      <c r="AA239" s="345">
        <f t="shared" si="100"/>
        <v>49.201370550025885</v>
      </c>
      <c r="AB239" s="346">
        <f t="shared" si="101"/>
        <v>-82.045367332980916</v>
      </c>
      <c r="AD239">
        <f t="shared" si="105"/>
        <v>0</v>
      </c>
      <c r="AE239">
        <f t="shared" si="108"/>
        <v>0</v>
      </c>
    </row>
    <row r="240" spans="1:31" x14ac:dyDescent="0.25">
      <c r="A240" s="347">
        <v>14289.5</v>
      </c>
      <c r="B240" s="364">
        <f t="shared" si="102"/>
        <v>14.2895</v>
      </c>
      <c r="C240" s="337">
        <f t="shared" si="83"/>
        <v>3.3835689865130267</v>
      </c>
      <c r="D240" s="338">
        <f t="shared" si="84"/>
        <v>1.2707694139894732</v>
      </c>
      <c r="E240" s="338">
        <f t="shared" si="85"/>
        <v>1.0002321324659971</v>
      </c>
      <c r="F240" s="339">
        <f t="shared" si="86"/>
        <v>2.1544724195133851E-2</v>
      </c>
      <c r="G240" s="338">
        <f t="shared" si="87"/>
        <v>1</v>
      </c>
      <c r="H240" s="339">
        <f t="shared" si="88"/>
        <v>0</v>
      </c>
      <c r="I240" s="337">
        <f t="shared" si="89"/>
        <v>10345.492199760649</v>
      </c>
      <c r="J240" s="340">
        <f t="shared" si="90"/>
        <v>1.570699666338125</v>
      </c>
      <c r="K240" s="348">
        <f t="shared" si="106"/>
        <v>2.6223148235254818</v>
      </c>
      <c r="L240" s="349">
        <f t="shared" si="107"/>
        <v>1.1795482616779545</v>
      </c>
      <c r="M240" s="337">
        <f t="shared" si="91"/>
        <v>1.0070564953344368</v>
      </c>
      <c r="N240" s="340">
        <f t="shared" si="92"/>
        <v>0.11845039947820518</v>
      </c>
      <c r="O240" s="341">
        <f t="shared" si="93"/>
        <v>1.0002527265994372</v>
      </c>
      <c r="P240" s="342">
        <f t="shared" si="94"/>
        <v>0.18532503277381746</v>
      </c>
      <c r="Q240" s="343">
        <f t="shared" si="95"/>
        <v>12.638934558877359</v>
      </c>
      <c r="R240" s="344">
        <f t="shared" si="96"/>
        <v>-111.39167734148342</v>
      </c>
      <c r="S240" s="346">
        <f t="shared" si="97"/>
        <v>68.608322658516585</v>
      </c>
      <c r="U240" s="319">
        <f t="shared" si="103"/>
        <v>1000000000</v>
      </c>
      <c r="V240" s="319">
        <f t="shared" si="104"/>
        <v>204189810.25</v>
      </c>
      <c r="X240" s="345">
        <f t="shared" si="98"/>
        <v>25.72482114933652</v>
      </c>
      <c r="Y240" s="346">
        <f t="shared" si="99"/>
        <v>-29.198032642744948</v>
      </c>
      <c r="AA240" s="345">
        <f t="shared" si="100"/>
        <v>49.155617031987866</v>
      </c>
      <c r="AB240" s="346">
        <f t="shared" si="101"/>
        <v>-82.193644698738453</v>
      </c>
      <c r="AD240">
        <f t="shared" si="105"/>
        <v>0</v>
      </c>
      <c r="AE240">
        <f t="shared" si="108"/>
        <v>0</v>
      </c>
    </row>
    <row r="241" spans="1:31" x14ac:dyDescent="0.25">
      <c r="A241" s="347">
        <v>14371.75</v>
      </c>
      <c r="B241" s="364">
        <f t="shared" si="102"/>
        <v>14.37175</v>
      </c>
      <c r="C241" s="337">
        <f t="shared" si="83"/>
        <v>3.4013480139742454</v>
      </c>
      <c r="D241" s="338">
        <f t="shared" si="84"/>
        <v>1.2723860816228516</v>
      </c>
      <c r="E241" s="338">
        <f t="shared" si="85"/>
        <v>1.0002348121394484</v>
      </c>
      <c r="F241" s="339">
        <f t="shared" si="86"/>
        <v>2.1668696378373951E-2</v>
      </c>
      <c r="G241" s="338">
        <f t="shared" si="87"/>
        <v>1</v>
      </c>
      <c r="H241" s="339">
        <f t="shared" si="88"/>
        <v>0</v>
      </c>
      <c r="I241" s="337">
        <f t="shared" si="89"/>
        <v>10405.040590222368</v>
      </c>
      <c r="J241" s="340">
        <f t="shared" si="90"/>
        <v>1.5707002195291087</v>
      </c>
      <c r="K241" s="348">
        <f t="shared" si="106"/>
        <v>2.6352191757353958</v>
      </c>
      <c r="L241" s="349">
        <f t="shared" si="107"/>
        <v>1.1815674566759677</v>
      </c>
      <c r="M241" s="337">
        <f t="shared" si="91"/>
        <v>1.0071376744452301</v>
      </c>
      <c r="N241" s="340">
        <f t="shared" si="92"/>
        <v>0.11912578315156667</v>
      </c>
      <c r="O241" s="341">
        <f t="shared" si="93"/>
        <v>1.0002573063858842</v>
      </c>
      <c r="P241" s="342">
        <f t="shared" si="94"/>
        <v>0.18640338736695658</v>
      </c>
      <c r="Q241" s="343">
        <f t="shared" si="95"/>
        <v>12.585483053240365</v>
      </c>
      <c r="R241" s="344">
        <f t="shared" si="96"/>
        <v>-111.46202463610472</v>
      </c>
      <c r="S241" s="346">
        <f t="shared" si="97"/>
        <v>68.537975363895285</v>
      </c>
      <c r="U241" s="319">
        <f t="shared" si="103"/>
        <v>1000000000</v>
      </c>
      <c r="V241" s="319">
        <f t="shared" si="104"/>
        <v>206547198.0625</v>
      </c>
      <c r="X241" s="345">
        <f t="shared" si="98"/>
        <v>25.716906824945369</v>
      </c>
      <c r="Y241" s="346">
        <f t="shared" si="99"/>
        <v>-29.121069620801205</v>
      </c>
      <c r="AA241" s="345">
        <f t="shared" si="100"/>
        <v>49.110079850742025</v>
      </c>
      <c r="AB241" s="346">
        <f t="shared" si="101"/>
        <v>-82.340955015303507</v>
      </c>
      <c r="AD241">
        <f t="shared" si="105"/>
        <v>0</v>
      </c>
      <c r="AE241">
        <f t="shared" si="108"/>
        <v>0</v>
      </c>
    </row>
    <row r="242" spans="1:31" x14ac:dyDescent="0.25">
      <c r="A242" s="347">
        <v>14454</v>
      </c>
      <c r="B242" s="364">
        <f t="shared" si="102"/>
        <v>14.454000000000001</v>
      </c>
      <c r="C242" s="337">
        <f t="shared" si="83"/>
        <v>3.4191358387820361</v>
      </c>
      <c r="D242" s="338">
        <f t="shared" si="84"/>
        <v>1.2739859321916527</v>
      </c>
      <c r="E242" s="338">
        <f t="shared" si="85"/>
        <v>1.0002375071855281</v>
      </c>
      <c r="F242" s="339">
        <f t="shared" si="86"/>
        <v>2.1792667895456551E-2</v>
      </c>
      <c r="G242" s="338">
        <f t="shared" si="87"/>
        <v>1</v>
      </c>
      <c r="H242" s="339">
        <f t="shared" si="88"/>
        <v>0</v>
      </c>
      <c r="I242" s="337">
        <f t="shared" si="89"/>
        <v>10464.588980687236</v>
      </c>
      <c r="J242" s="340">
        <f t="shared" si="90"/>
        <v>1.5707007664242632</v>
      </c>
      <c r="K242" s="348">
        <f t="shared" si="106"/>
        <v>2.6481341673869219</v>
      </c>
      <c r="L242" s="349">
        <f t="shared" si="107"/>
        <v>1.1835669644691411</v>
      </c>
      <c r="M242" s="337">
        <f t="shared" si="91"/>
        <v>1.0072193128807556</v>
      </c>
      <c r="N242" s="340">
        <f t="shared" si="92"/>
        <v>0.11980105764877574</v>
      </c>
      <c r="O242" s="341">
        <f t="shared" si="93"/>
        <v>1.0002619507109964</v>
      </c>
      <c r="P242" s="342">
        <f t="shared" si="94"/>
        <v>0.18748193919153017</v>
      </c>
      <c r="Q242" s="343">
        <f t="shared" si="95"/>
        <v>12.532353294231701</v>
      </c>
      <c r="R242" s="344">
        <f t="shared" si="96"/>
        <v>-111.53254110028946</v>
      </c>
      <c r="S242" s="346">
        <f t="shared" si="97"/>
        <v>68.467458899710536</v>
      </c>
      <c r="U242" s="319">
        <f t="shared" si="103"/>
        <v>1000000000</v>
      </c>
      <c r="V242" s="319">
        <f t="shared" si="104"/>
        <v>208918116</v>
      </c>
      <c r="X242" s="345">
        <f t="shared" si="98"/>
        <v>25.709099702722639</v>
      </c>
      <c r="Y242" s="346">
        <f t="shared" si="99"/>
        <v>-29.045227976549281</v>
      </c>
      <c r="AA242" s="345">
        <f t="shared" si="100"/>
        <v>49.064757213956085</v>
      </c>
      <c r="AB242" s="346">
        <f t="shared" si="101"/>
        <v>-82.487313123740179</v>
      </c>
      <c r="AD242">
        <f t="shared" si="105"/>
        <v>0</v>
      </c>
      <c r="AE242">
        <f t="shared" si="108"/>
        <v>0</v>
      </c>
    </row>
    <row r="243" spans="1:31" x14ac:dyDescent="0.25">
      <c r="A243" s="347">
        <v>14622.5</v>
      </c>
      <c r="B243" s="364">
        <f t="shared" si="102"/>
        <v>14.6225</v>
      </c>
      <c r="C243" s="337">
        <f t="shared" si="83"/>
        <v>3.4556034492117691</v>
      </c>
      <c r="D243" s="338">
        <f t="shared" si="84"/>
        <v>1.2772119826624981</v>
      </c>
      <c r="E243" s="338">
        <f t="shared" si="85"/>
        <v>1.0002430763483112</v>
      </c>
      <c r="F243" s="339">
        <f t="shared" si="86"/>
        <v>2.2046637843282764E-2</v>
      </c>
      <c r="G243" s="338">
        <f t="shared" si="87"/>
        <v>1</v>
      </c>
      <c r="H243" s="339">
        <f t="shared" si="88"/>
        <v>0</v>
      </c>
      <c r="I243" s="337">
        <f t="shared" si="89"/>
        <v>10586.58173198353</v>
      </c>
      <c r="J243" s="340">
        <f t="shared" si="90"/>
        <v>1.5707018675986419</v>
      </c>
      <c r="K243" s="348">
        <f t="shared" si="106"/>
        <v>2.6746248101783792</v>
      </c>
      <c r="L243" s="349">
        <f t="shared" si="107"/>
        <v>1.1876028780895385</v>
      </c>
      <c r="M243" s="337">
        <f t="shared" si="91"/>
        <v>1.0073879939010832</v>
      </c>
      <c r="N243" s="340">
        <f t="shared" si="92"/>
        <v>0.12118410332654581</v>
      </c>
      <c r="O243" s="341">
        <f t="shared" si="93"/>
        <v>1.0002716695337053</v>
      </c>
      <c r="P243" s="342">
        <f t="shared" si="94"/>
        <v>0.18969211550598672</v>
      </c>
      <c r="Q243" s="343">
        <f t="shared" si="95"/>
        <v>12.424497957161794</v>
      </c>
      <c r="R243" s="344">
        <f t="shared" si="96"/>
        <v>-111.67752750152161</v>
      </c>
      <c r="S243" s="346">
        <f t="shared" si="97"/>
        <v>68.32247249847839</v>
      </c>
      <c r="U243" s="319">
        <f t="shared" si="103"/>
        <v>1000000000</v>
      </c>
      <c r="V243" s="319">
        <f t="shared" si="104"/>
        <v>213817506.25</v>
      </c>
      <c r="X243" s="345">
        <f t="shared" si="98"/>
        <v>25.693431270397326</v>
      </c>
      <c r="Y243" s="346">
        <f t="shared" si="99"/>
        <v>-28.893292932301978</v>
      </c>
      <c r="AA243" s="345">
        <f t="shared" si="100"/>
        <v>48.972570309211491</v>
      </c>
      <c r="AB243" s="346">
        <f t="shared" si="101"/>
        <v>-82.784234569219635</v>
      </c>
      <c r="AD243">
        <f t="shared" si="105"/>
        <v>0</v>
      </c>
      <c r="AE243">
        <f t="shared" si="108"/>
        <v>0</v>
      </c>
    </row>
    <row r="244" spans="1:31" x14ac:dyDescent="0.25">
      <c r="A244" s="347">
        <v>14706.75</v>
      </c>
      <c r="B244" s="364">
        <f t="shared" si="102"/>
        <v>14.70675</v>
      </c>
      <c r="C244" s="337">
        <f t="shared" si="83"/>
        <v>3.4738505284678607</v>
      </c>
      <c r="D244" s="338">
        <f t="shared" si="84"/>
        <v>1.2787995999467041</v>
      </c>
      <c r="E244" s="338">
        <f t="shared" si="85"/>
        <v>1.0002458851231553</v>
      </c>
      <c r="F244" s="339">
        <f t="shared" si="86"/>
        <v>2.2173621752561382E-2</v>
      </c>
      <c r="G244" s="338">
        <f t="shared" si="87"/>
        <v>1</v>
      </c>
      <c r="H244" s="339">
        <f t="shared" si="88"/>
        <v>0</v>
      </c>
      <c r="I244" s="337">
        <f t="shared" si="89"/>
        <v>10647.578107636409</v>
      </c>
      <c r="J244" s="340">
        <f t="shared" si="90"/>
        <v>1.5707024087234478</v>
      </c>
      <c r="K244" s="348">
        <f t="shared" si="106"/>
        <v>2.687886227192815</v>
      </c>
      <c r="L244" s="349">
        <f t="shared" si="107"/>
        <v>1.1895909865654195</v>
      </c>
      <c r="M244" s="337">
        <f t="shared" si="91"/>
        <v>1.0074730568345998</v>
      </c>
      <c r="N244" s="340">
        <f t="shared" si="92"/>
        <v>0.12187545183192962</v>
      </c>
      <c r="O244" s="341">
        <f t="shared" si="93"/>
        <v>1.0002766333285398</v>
      </c>
      <c r="P244" s="342">
        <f t="shared" si="94"/>
        <v>0.19079751850704293</v>
      </c>
      <c r="Q244" s="343">
        <f t="shared" si="95"/>
        <v>12.371059931292184</v>
      </c>
      <c r="R244" s="344">
        <f t="shared" si="96"/>
        <v>-111.75028268684224</v>
      </c>
      <c r="S244" s="346">
        <f t="shared" si="97"/>
        <v>68.24971731315776</v>
      </c>
      <c r="U244" s="319">
        <f t="shared" si="103"/>
        <v>1000000000</v>
      </c>
      <c r="V244" s="319">
        <f t="shared" si="104"/>
        <v>216288495.5625</v>
      </c>
      <c r="X244" s="345">
        <f t="shared" si="98"/>
        <v>25.685756537531482</v>
      </c>
      <c r="Y244" s="346">
        <f t="shared" si="99"/>
        <v>-28.819025063033685</v>
      </c>
      <c r="AA244" s="345">
        <f t="shared" si="100"/>
        <v>48.926807016207725</v>
      </c>
      <c r="AB244" s="346">
        <f t="shared" si="101"/>
        <v>-82.931257623808548</v>
      </c>
      <c r="AD244">
        <f t="shared" si="105"/>
        <v>0</v>
      </c>
      <c r="AE244">
        <f t="shared" si="108"/>
        <v>0</v>
      </c>
    </row>
    <row r="245" spans="1:31" x14ac:dyDescent="0.25">
      <c r="A245" s="347">
        <v>14791</v>
      </c>
      <c r="B245" s="364">
        <f t="shared" si="102"/>
        <v>14.791</v>
      </c>
      <c r="C245" s="337">
        <f t="shared" si="83"/>
        <v>3.4921062721472063</v>
      </c>
      <c r="D245" s="338">
        <f t="shared" si="84"/>
        <v>1.2803706219282396</v>
      </c>
      <c r="E245" s="338">
        <f t="shared" si="85"/>
        <v>1.0002487100267865</v>
      </c>
      <c r="F245" s="339">
        <f t="shared" si="86"/>
        <v>2.2300604946631358E-2</v>
      </c>
      <c r="G245" s="338">
        <f t="shared" si="87"/>
        <v>1</v>
      </c>
      <c r="H245" s="339">
        <f t="shared" si="88"/>
        <v>0</v>
      </c>
      <c r="I245" s="337">
        <f t="shared" si="89"/>
        <v>10708.57448329237</v>
      </c>
      <c r="J245" s="340">
        <f t="shared" si="90"/>
        <v>1.5707029436837259</v>
      </c>
      <c r="K245" s="348">
        <f t="shared" si="106"/>
        <v>2.70115816393723</v>
      </c>
      <c r="L245" s="349">
        <f t="shared" si="107"/>
        <v>1.1915595659168363</v>
      </c>
      <c r="M245" s="337">
        <f t="shared" si="91"/>
        <v>1.0075586012212741</v>
      </c>
      <c r="N245" s="340">
        <f t="shared" si="92"/>
        <v>0.1225666832730211</v>
      </c>
      <c r="O245" s="341">
        <f t="shared" si="93"/>
        <v>1.0002816676677015</v>
      </c>
      <c r="P245" s="342">
        <f t="shared" si="94"/>
        <v>0.19190313289106703</v>
      </c>
      <c r="Q245" s="343">
        <f t="shared" si="95"/>
        <v>12.317942894099117</v>
      </c>
      <c r="R245" s="344">
        <f t="shared" si="96"/>
        <v>-111.82321105960872</v>
      </c>
      <c r="S245" s="346">
        <f t="shared" si="97"/>
        <v>68.176788940391276</v>
      </c>
      <c r="U245" s="319">
        <f t="shared" si="103"/>
        <v>1000000000</v>
      </c>
      <c r="V245" s="319">
        <f t="shared" si="104"/>
        <v>218773681</v>
      </c>
      <c r="X245" s="345">
        <f t="shared" si="98"/>
        <v>25.678185162645249</v>
      </c>
      <c r="Y245" s="346">
        <f t="shared" si="99"/>
        <v>-28.74586906968473</v>
      </c>
      <c r="AA245" s="345">
        <f t="shared" si="100"/>
        <v>48.881261353900896</v>
      </c>
      <c r="AB245" s="346">
        <f t="shared" si="101"/>
        <v>-83.077341989923966</v>
      </c>
      <c r="AD245">
        <f t="shared" si="105"/>
        <v>0</v>
      </c>
      <c r="AE245">
        <f t="shared" si="108"/>
        <v>0</v>
      </c>
    </row>
    <row r="246" spans="1:31" x14ac:dyDescent="0.25">
      <c r="A246" s="347">
        <v>14877.25</v>
      </c>
      <c r="B246" s="364">
        <f t="shared" si="102"/>
        <v>14.87725</v>
      </c>
      <c r="C246" s="337">
        <f t="shared" si="83"/>
        <v>3.5108042208654142</v>
      </c>
      <c r="D246" s="338">
        <f t="shared" si="84"/>
        <v>1.2819620095532871</v>
      </c>
      <c r="E246" s="338">
        <f t="shared" si="85"/>
        <v>1.0002516186979526</v>
      </c>
      <c r="F246" s="339">
        <f t="shared" si="86"/>
        <v>2.2430601833395892E-2</v>
      </c>
      <c r="G246" s="338">
        <f t="shared" si="87"/>
        <v>1</v>
      </c>
      <c r="H246" s="339">
        <f t="shared" si="88"/>
        <v>0</v>
      </c>
      <c r="I246" s="337">
        <f t="shared" si="89"/>
        <v>10771.018844130247</v>
      </c>
      <c r="J246" s="340">
        <f t="shared" si="90"/>
        <v>1.5707034850669312</v>
      </c>
      <c r="K246" s="348">
        <f t="shared" si="106"/>
        <v>2.7147558976886321</v>
      </c>
      <c r="L246" s="349">
        <f t="shared" si="107"/>
        <v>1.1935549303373065</v>
      </c>
      <c r="M246" s="337">
        <f t="shared" si="91"/>
        <v>1.0076466749397468</v>
      </c>
      <c r="N246" s="340">
        <f t="shared" si="92"/>
        <v>0.12327420184491346</v>
      </c>
      <c r="O246" s="341">
        <f t="shared" si="93"/>
        <v>1.0002868953460355</v>
      </c>
      <c r="P246" s="342">
        <f t="shared" si="94"/>
        <v>0.19303521344563543</v>
      </c>
      <c r="Q246" s="343">
        <f t="shared" si="95"/>
        <v>12.263893263405228</v>
      </c>
      <c r="R246" s="344">
        <f t="shared" si="96"/>
        <v>-111.89804890624877</v>
      </c>
      <c r="S246" s="346">
        <f t="shared" si="97"/>
        <v>68.101951093751225</v>
      </c>
      <c r="U246" s="319">
        <f t="shared" si="103"/>
        <v>1000000000</v>
      </c>
      <c r="V246" s="319">
        <f t="shared" si="104"/>
        <v>221332567.5625</v>
      </c>
      <c r="X246" s="345">
        <f t="shared" si="98"/>
        <v>25.670538869711987</v>
      </c>
      <c r="Y246" s="346">
        <f t="shared" si="99"/>
        <v>-28.672111956786274</v>
      </c>
      <c r="AA246" s="345">
        <f t="shared" si="100"/>
        <v>48.834858016140274</v>
      </c>
      <c r="AB246" s="346">
        <f t="shared" si="101"/>
        <v>-83.225936949462479</v>
      </c>
      <c r="AD246">
        <f t="shared" si="105"/>
        <v>0</v>
      </c>
      <c r="AE246">
        <f t="shared" si="108"/>
        <v>0</v>
      </c>
    </row>
    <row r="247" spans="1:31" x14ac:dyDescent="0.25">
      <c r="A247" s="347">
        <v>14963.5</v>
      </c>
      <c r="B247" s="364">
        <f t="shared" si="102"/>
        <v>14.9635</v>
      </c>
      <c r="C247" s="337">
        <f t="shared" si="83"/>
        <v>3.5295109665297146</v>
      </c>
      <c r="D247" s="338">
        <f t="shared" si="84"/>
        <v>1.283536532117487</v>
      </c>
      <c r="E247" s="338">
        <f t="shared" si="85"/>
        <v>1.0002545442724631</v>
      </c>
      <c r="F247" s="339">
        <f t="shared" si="86"/>
        <v>2.2560597961919653E-2</v>
      </c>
      <c r="G247" s="338">
        <f t="shared" si="87"/>
        <v>1</v>
      </c>
      <c r="H247" s="339">
        <f t="shared" si="88"/>
        <v>0</v>
      </c>
      <c r="I247" s="337">
        <f t="shared" si="89"/>
        <v>10833.463204971242</v>
      </c>
      <c r="J247" s="340">
        <f t="shared" si="90"/>
        <v>1.5707040202090432</v>
      </c>
      <c r="K247" s="348">
        <f t="shared" si="106"/>
        <v>2.7283643324210147</v>
      </c>
      <c r="L247" s="349">
        <f t="shared" si="107"/>
        <v>1.1955303977480785</v>
      </c>
      <c r="M247" s="337">
        <f t="shared" si="91"/>
        <v>1.007735252980225</v>
      </c>
      <c r="N247" s="340">
        <f t="shared" si="92"/>
        <v>0.12398159639174994</v>
      </c>
      <c r="O247" s="341">
        <f t="shared" si="93"/>
        <v>1.0002921984927511</v>
      </c>
      <c r="P247" s="342">
        <f t="shared" si="94"/>
        <v>0.19416751789738876</v>
      </c>
      <c r="Q247" s="343">
        <f t="shared" si="95"/>
        <v>12.210171659997179</v>
      </c>
      <c r="R247" s="344">
        <f t="shared" si="96"/>
        <v>-111.97306587886901</v>
      </c>
      <c r="S247" s="346">
        <f t="shared" si="97"/>
        <v>68.026934121130992</v>
      </c>
      <c r="U247" s="319">
        <f t="shared" si="103"/>
        <v>1000000000</v>
      </c>
      <c r="V247" s="319">
        <f t="shared" si="104"/>
        <v>223906332.25</v>
      </c>
      <c r="X247" s="345">
        <f t="shared" si="98"/>
        <v>25.662996386988752</v>
      </c>
      <c r="Y247" s="346">
        <f t="shared" si="99"/>
        <v>-28.599487394869168</v>
      </c>
      <c r="AA247" s="345">
        <f t="shared" si="100"/>
        <v>48.788678895455455</v>
      </c>
      <c r="AB247" s="346">
        <f t="shared" si="101"/>
        <v>-83.37357848399985</v>
      </c>
      <c r="AD247">
        <f t="shared" si="105"/>
        <v>0</v>
      </c>
      <c r="AE247">
        <f t="shared" si="108"/>
        <v>0</v>
      </c>
    </row>
    <row r="248" spans="1:31" x14ac:dyDescent="0.25">
      <c r="A248" s="347">
        <v>15049.75</v>
      </c>
      <c r="B248" s="364">
        <f t="shared" si="102"/>
        <v>15.04975</v>
      </c>
      <c r="C248" s="337">
        <f t="shared" si="83"/>
        <v>3.5482263700039205</v>
      </c>
      <c r="D248" s="338">
        <f t="shared" si="84"/>
        <v>1.2850944486199536</v>
      </c>
      <c r="E248" s="338">
        <f t="shared" si="85"/>
        <v>1.0002574867501695</v>
      </c>
      <c r="F248" s="339">
        <f t="shared" si="86"/>
        <v>2.26905933278157E-2</v>
      </c>
      <c r="G248" s="338">
        <f t="shared" si="87"/>
        <v>1</v>
      </c>
      <c r="H248" s="339">
        <f t="shared" si="88"/>
        <v>0</v>
      </c>
      <c r="I248" s="337">
        <f t="shared" si="89"/>
        <v>10895.907565815305</v>
      </c>
      <c r="J248" s="340">
        <f t="shared" si="90"/>
        <v>1.5707045492173646</v>
      </c>
      <c r="K248" s="348">
        <f t="shared" si="106"/>
        <v>2.7419833088078085</v>
      </c>
      <c r="L248" s="349">
        <f t="shared" si="107"/>
        <v>1.1974862490904006</v>
      </c>
      <c r="M248" s="337">
        <f t="shared" si="91"/>
        <v>1.0078243352097338</v>
      </c>
      <c r="N248" s="340">
        <f t="shared" si="92"/>
        <v>0.12468886623835566</v>
      </c>
      <c r="O248" s="341">
        <f t="shared" si="93"/>
        <v>1.0002975778910488</v>
      </c>
      <c r="P248" s="342">
        <f t="shared" si="94"/>
        <v>0.19530004743688548</v>
      </c>
      <c r="Q248" s="343">
        <f t="shared" si="95"/>
        <v>12.15677395780888</v>
      </c>
      <c r="R248" s="344">
        <f t="shared" si="96"/>
        <v>-112.04826075620647</v>
      </c>
      <c r="S248" s="346">
        <f t="shared" si="97"/>
        <v>67.951739243793526</v>
      </c>
      <c r="U248" s="319">
        <f t="shared" si="103"/>
        <v>1000000000</v>
      </c>
      <c r="V248" s="319">
        <f t="shared" si="104"/>
        <v>226494975.0625</v>
      </c>
      <c r="X248" s="345">
        <f t="shared" si="98"/>
        <v>25.65555551571088</v>
      </c>
      <c r="Y248" s="346">
        <f t="shared" si="99"/>
        <v>-28.527979254648919</v>
      </c>
      <c r="AA248" s="345">
        <f t="shared" si="100"/>
        <v>48.742722064545021</v>
      </c>
      <c r="AB248" s="346">
        <f t="shared" si="101"/>
        <v>-83.520281501557562</v>
      </c>
      <c r="AD248">
        <f t="shared" si="105"/>
        <v>0</v>
      </c>
      <c r="AE248">
        <f t="shared" si="108"/>
        <v>0</v>
      </c>
    </row>
    <row r="249" spans="1:31" x14ac:dyDescent="0.25">
      <c r="A249" s="347">
        <v>15136</v>
      </c>
      <c r="B249" s="364">
        <f t="shared" si="102"/>
        <v>15.135999999999999</v>
      </c>
      <c r="C249" s="337">
        <f t="shared" si="83"/>
        <v>3.5669502950082492</v>
      </c>
      <c r="D249" s="338">
        <f t="shared" si="84"/>
        <v>1.2866360129477885</v>
      </c>
      <c r="E249" s="338">
        <f t="shared" si="85"/>
        <v>1.0002604461309226</v>
      </c>
      <c r="F249" s="339">
        <f t="shared" si="86"/>
        <v>2.2820587926697264E-2</v>
      </c>
      <c r="G249" s="338">
        <f t="shared" si="87"/>
        <v>1</v>
      </c>
      <c r="H249" s="339">
        <f t="shared" si="88"/>
        <v>0</v>
      </c>
      <c r="I249" s="337">
        <f t="shared" si="89"/>
        <v>10958.351926662384</v>
      </c>
      <c r="J249" s="340">
        <f t="shared" si="90"/>
        <v>1.5707050721967526</v>
      </c>
      <c r="K249" s="348">
        <f t="shared" si="106"/>
        <v>2.7556126705499735</v>
      </c>
      <c r="L249" s="349">
        <f t="shared" si="107"/>
        <v>1.1994227603541163</v>
      </c>
      <c r="M249" s="337">
        <f t="shared" si="91"/>
        <v>1.0079139214945882</v>
      </c>
      <c r="N249" s="340">
        <f t="shared" si="92"/>
        <v>0.12539601071029288</v>
      </c>
      <c r="O249" s="341">
        <f t="shared" si="93"/>
        <v>1.0003030343286299</v>
      </c>
      <c r="P249" s="342">
        <f t="shared" si="94"/>
        <v>0.19643280325276166</v>
      </c>
      <c r="Q249" s="343">
        <f t="shared" si="95"/>
        <v>12.103696105198855</v>
      </c>
      <c r="R249" s="344">
        <f t="shared" si="96"/>
        <v>-112.12363230758793</v>
      </c>
      <c r="S249" s="346">
        <f t="shared" si="97"/>
        <v>67.876367692412074</v>
      </c>
      <c r="U249" s="319">
        <f t="shared" si="103"/>
        <v>1000000000</v>
      </c>
      <c r="V249" s="319">
        <f t="shared" si="104"/>
        <v>229098496</v>
      </c>
      <c r="X249" s="345">
        <f t="shared" si="98"/>
        <v>25.648214111657559</v>
      </c>
      <c r="Y249" s="346">
        <f t="shared" si="99"/>
        <v>-28.457571690437728</v>
      </c>
      <c r="AA249" s="345">
        <f t="shared" si="100"/>
        <v>48.696985615988318</v>
      </c>
      <c r="AB249" s="346">
        <f t="shared" si="101"/>
        <v>-83.666060617150194</v>
      </c>
      <c r="AD249">
        <f t="shared" si="105"/>
        <v>0</v>
      </c>
      <c r="AE249">
        <f t="shared" si="108"/>
        <v>0</v>
      </c>
    </row>
    <row r="250" spans="1:31" x14ac:dyDescent="0.25">
      <c r="A250" s="347">
        <v>15224</v>
      </c>
      <c r="B250" s="364">
        <f t="shared" si="102"/>
        <v>15.224</v>
      </c>
      <c r="C250" s="337">
        <f t="shared" si="83"/>
        <v>3.5860627698712313</v>
      </c>
      <c r="D250" s="338">
        <f t="shared" si="84"/>
        <v>1.2881922604086804</v>
      </c>
      <c r="E250" s="338">
        <f t="shared" si="85"/>
        <v>1.0002634829778931</v>
      </c>
      <c r="F250" s="339">
        <f t="shared" si="86"/>
        <v>2.2953219302082436E-2</v>
      </c>
      <c r="G250" s="338">
        <f t="shared" si="87"/>
        <v>1</v>
      </c>
      <c r="H250" s="339">
        <f t="shared" si="88"/>
        <v>0</v>
      </c>
      <c r="I250" s="337">
        <f t="shared" si="89"/>
        <v>11022.063274544194</v>
      </c>
      <c r="J250" s="340">
        <f t="shared" si="90"/>
        <v>1.5707055996799759</v>
      </c>
      <c r="K250" s="348">
        <f t="shared" si="106"/>
        <v>2.7695291145436789</v>
      </c>
      <c r="L250" s="349">
        <f t="shared" si="107"/>
        <v>1.2013789117916887</v>
      </c>
      <c r="M250" s="337">
        <f t="shared" si="91"/>
        <v>1.0080058448326414</v>
      </c>
      <c r="N250" s="340">
        <f t="shared" si="92"/>
        <v>0.12611737312582294</v>
      </c>
      <c r="O250" s="341">
        <f t="shared" si="93"/>
        <v>1.0003086816983739</v>
      </c>
      <c r="P250" s="342">
        <f t="shared" si="94"/>
        <v>0.19758877696092703</v>
      </c>
      <c r="Q250" s="343">
        <f t="shared" si="95"/>
        <v>12.04986683240146</v>
      </c>
      <c r="R250" s="344">
        <f t="shared" si="96"/>
        <v>-112.20071393873877</v>
      </c>
      <c r="S250" s="346">
        <f t="shared" si="97"/>
        <v>67.799286061261228</v>
      </c>
      <c r="U250" s="319">
        <f t="shared" si="103"/>
        <v>1000000000</v>
      </c>
      <c r="V250" s="319">
        <f t="shared" si="104"/>
        <v>231770176</v>
      </c>
      <c r="X250" s="345">
        <f t="shared" si="98"/>
        <v>25.640824096904588</v>
      </c>
      <c r="Y250" s="346">
        <f t="shared" si="99"/>
        <v>-28.38685371336727</v>
      </c>
      <c r="AA250" s="345">
        <f t="shared" si="100"/>
        <v>48.650546357943895</v>
      </c>
      <c r="AB250" s="346">
        <f t="shared" si="101"/>
        <v>-83.813860225371499</v>
      </c>
      <c r="AD250">
        <f t="shared" si="105"/>
        <v>0</v>
      </c>
      <c r="AE250">
        <f t="shared" si="108"/>
        <v>0</v>
      </c>
    </row>
    <row r="251" spans="1:31" x14ac:dyDescent="0.25">
      <c r="A251" s="347">
        <v>15312</v>
      </c>
      <c r="B251" s="364">
        <f t="shared" si="102"/>
        <v>15.311999999999999</v>
      </c>
      <c r="C251" s="337">
        <f t="shared" si="83"/>
        <v>3.6051838377432968</v>
      </c>
      <c r="D251" s="338">
        <f t="shared" si="84"/>
        <v>1.2897320036068902</v>
      </c>
      <c r="E251" s="338">
        <f t="shared" si="85"/>
        <v>1.0002665374204736</v>
      </c>
      <c r="F251" s="339">
        <f t="shared" si="86"/>
        <v>2.3085849869786772E-2</v>
      </c>
      <c r="G251" s="338">
        <f t="shared" si="87"/>
        <v>1</v>
      </c>
      <c r="H251" s="339">
        <f t="shared" si="88"/>
        <v>0</v>
      </c>
      <c r="I251" s="337">
        <f t="shared" si="89"/>
        <v>11085.774622429039</v>
      </c>
      <c r="J251" s="340">
        <f t="shared" si="90"/>
        <v>1.5707061211001738</v>
      </c>
      <c r="K251" s="348">
        <f t="shared" si="106"/>
        <v>2.7834560502253556</v>
      </c>
      <c r="L251" s="349">
        <f t="shared" si="107"/>
        <v>1.2033154954923793</v>
      </c>
      <c r="M251" s="337">
        <f t="shared" si="91"/>
        <v>1.008098292604563</v>
      </c>
      <c r="N251" s="340">
        <f t="shared" si="92"/>
        <v>0.12683860361134844</v>
      </c>
      <c r="O251" s="341">
        <f t="shared" si="93"/>
        <v>1.0003144109362723</v>
      </c>
      <c r="P251" s="342">
        <f t="shared" si="94"/>
        <v>0.19874498871451446</v>
      </c>
      <c r="Q251" s="343">
        <f t="shared" si="95"/>
        <v>11.99636222856582</v>
      </c>
      <c r="R251" s="344">
        <f t="shared" si="96"/>
        <v>-112.27797687288862</v>
      </c>
      <c r="S251" s="346">
        <f t="shared" si="97"/>
        <v>67.722023127111385</v>
      </c>
      <c r="U251" s="319">
        <f t="shared" si="103"/>
        <v>1000000000</v>
      </c>
      <c r="V251" s="319">
        <f t="shared" si="104"/>
        <v>234457344</v>
      </c>
      <c r="X251" s="345">
        <f t="shared" si="98"/>
        <v>25.633533283902857</v>
      </c>
      <c r="Y251" s="346">
        <f t="shared" si="99"/>
        <v>-28.317248978617815</v>
      </c>
      <c r="AA251" s="345">
        <f t="shared" si="100"/>
        <v>48.604332567109985</v>
      </c>
      <c r="AB251" s="346">
        <f t="shared" si="101"/>
        <v>-83.960727894270818</v>
      </c>
      <c r="AD251">
        <f t="shared" si="105"/>
        <v>0</v>
      </c>
      <c r="AE251">
        <f t="shared" si="108"/>
        <v>0</v>
      </c>
    </row>
    <row r="252" spans="1:31" x14ac:dyDescent="0.25">
      <c r="A252" s="347">
        <v>15400</v>
      </c>
      <c r="B252" s="364">
        <f t="shared" si="102"/>
        <v>15.4</v>
      </c>
      <c r="C252" s="337">
        <f t="shared" si="83"/>
        <v>3.6243133626200574</v>
      </c>
      <c r="D252" s="338">
        <f t="shared" si="84"/>
        <v>1.2912554965171337</v>
      </c>
      <c r="E252" s="338">
        <f t="shared" si="85"/>
        <v>1.0002696094585024</v>
      </c>
      <c r="F252" s="339">
        <f t="shared" si="86"/>
        <v>2.3218479625151514E-2</v>
      </c>
      <c r="G252" s="338">
        <f t="shared" si="87"/>
        <v>1</v>
      </c>
      <c r="H252" s="339">
        <f t="shared" si="88"/>
        <v>0</v>
      </c>
      <c r="I252" s="337">
        <f t="shared" si="89"/>
        <v>11149.48597031686</v>
      </c>
      <c r="J252" s="340">
        <f t="shared" si="90"/>
        <v>1.5707066365612838</v>
      </c>
      <c r="K252" s="348">
        <f t="shared" si="106"/>
        <v>2.79739332089513</v>
      </c>
      <c r="L252" s="349">
        <f t="shared" si="107"/>
        <v>1.2052327892941832</v>
      </c>
      <c r="M252" s="337">
        <f t="shared" si="91"/>
        <v>1.0081912646660864</v>
      </c>
      <c r="N252" s="340">
        <f t="shared" si="92"/>
        <v>0.12755970145293588</v>
      </c>
      <c r="O252" s="341">
        <f t="shared" si="93"/>
        <v>1.0003202228934323</v>
      </c>
      <c r="P252" s="342">
        <f t="shared" si="94"/>
        <v>0.19990143976972019</v>
      </c>
      <c r="Q252" s="343">
        <f t="shared" si="95"/>
        <v>11.943178218951385</v>
      </c>
      <c r="R252" s="344">
        <f t="shared" si="96"/>
        <v>-112.35541978006378</v>
      </c>
      <c r="S252" s="346">
        <f t="shared" si="97"/>
        <v>67.644580219936216</v>
      </c>
      <c r="U252" s="319">
        <f t="shared" si="103"/>
        <v>1000000000</v>
      </c>
      <c r="V252" s="319">
        <f t="shared" si="104"/>
        <v>237160000</v>
      </c>
      <c r="X252" s="345">
        <f t="shared" si="98"/>
        <v>25.626339560786477</v>
      </c>
      <c r="Y252" s="346">
        <f t="shared" si="99"/>
        <v>-28.248741532294638</v>
      </c>
      <c r="AA252" s="345">
        <f t="shared" si="100"/>
        <v>48.558342280611924</v>
      </c>
      <c r="AB252" s="346">
        <f t="shared" si="101"/>
        <v>-84.106678247769139</v>
      </c>
      <c r="AD252">
        <f t="shared" si="105"/>
        <v>0</v>
      </c>
      <c r="AE252">
        <f t="shared" si="108"/>
        <v>0</v>
      </c>
    </row>
    <row r="253" spans="1:31" x14ac:dyDescent="0.25">
      <c r="A253" s="347">
        <v>15488</v>
      </c>
      <c r="B253" s="364">
        <f t="shared" si="102"/>
        <v>15.488</v>
      </c>
      <c r="C253" s="337">
        <f t="shared" si="83"/>
        <v>3.6434512112939017</v>
      </c>
      <c r="D253" s="338">
        <f t="shared" si="84"/>
        <v>1.2927629880832354</v>
      </c>
      <c r="E253" s="338">
        <f t="shared" si="85"/>
        <v>1.0002726990918176</v>
      </c>
      <c r="F253" s="339">
        <f t="shared" si="86"/>
        <v>2.3351108563518085E-2</v>
      </c>
      <c r="G253" s="338">
        <f t="shared" si="87"/>
        <v>1</v>
      </c>
      <c r="H253" s="339">
        <f t="shared" si="88"/>
        <v>0</v>
      </c>
      <c r="I253" s="337">
        <f t="shared" si="89"/>
        <v>11213.197318207611</v>
      </c>
      <c r="J253" s="340">
        <f t="shared" si="90"/>
        <v>1.5707071461648812</v>
      </c>
      <c r="K253" s="348">
        <f t="shared" si="106"/>
        <v>2.8113407728453579</v>
      </c>
      <c r="L253" s="349">
        <f t="shared" si="107"/>
        <v>1.2071310660949535</v>
      </c>
      <c r="M253" s="337">
        <f t="shared" si="91"/>
        <v>1.0082847608721801</v>
      </c>
      <c r="N253" s="340">
        <f t="shared" si="92"/>
        <v>0.12828066593746601</v>
      </c>
      <c r="O253" s="341">
        <f t="shared" si="93"/>
        <v>1.000326118425835</v>
      </c>
      <c r="P253" s="342">
        <f t="shared" si="94"/>
        <v>0.20105813138060138</v>
      </c>
      <c r="Q253" s="343">
        <f t="shared" si="95"/>
        <v>11.890310802228527</v>
      </c>
      <c r="R253" s="344">
        <f t="shared" si="96"/>
        <v>-112.43304132487964</v>
      </c>
      <c r="S253" s="346">
        <f t="shared" si="97"/>
        <v>67.566958675120361</v>
      </c>
      <c r="U253" s="319">
        <f t="shared" si="103"/>
        <v>1000000000</v>
      </c>
      <c r="V253" s="319">
        <f t="shared" si="104"/>
        <v>239878144</v>
      </c>
      <c r="X253" s="345">
        <f t="shared" si="98"/>
        <v>25.619240868223173</v>
      </c>
      <c r="Y253" s="346">
        <f t="shared" si="99"/>
        <v>-28.181315703463611</v>
      </c>
      <c r="AA253" s="345">
        <f t="shared" si="100"/>
        <v>48.512573556452381</v>
      </c>
      <c r="AB253" s="346">
        <f t="shared" si="101"/>
        <v>-84.251725621416057</v>
      </c>
      <c r="AD253">
        <f t="shared" si="105"/>
        <v>0</v>
      </c>
      <c r="AE253">
        <f t="shared" si="108"/>
        <v>0</v>
      </c>
    </row>
    <row r="254" spans="1:31" x14ac:dyDescent="0.25">
      <c r="A254" s="347">
        <v>15578.25</v>
      </c>
      <c r="B254" s="364">
        <f t="shared" si="102"/>
        <v>15.578250000000001</v>
      </c>
      <c r="C254" s="337">
        <f t="shared" si="83"/>
        <v>3.6630868890517498</v>
      </c>
      <c r="D254" s="338">
        <f t="shared" si="84"/>
        <v>1.2942926588052091</v>
      </c>
      <c r="E254" s="338">
        <f t="shared" si="85"/>
        <v>1.000275885997125</v>
      </c>
      <c r="F254" s="339">
        <f t="shared" si="86"/>
        <v>2.3487127729216375E-2</v>
      </c>
      <c r="G254" s="338">
        <f t="shared" si="87"/>
        <v>1</v>
      </c>
      <c r="H254" s="339">
        <f t="shared" si="88"/>
        <v>0</v>
      </c>
      <c r="I254" s="337">
        <f t="shared" si="89"/>
        <v>11278.537649428103</v>
      </c>
      <c r="J254" s="340">
        <f t="shared" si="90"/>
        <v>1.5707076628180237</v>
      </c>
      <c r="K254" s="348">
        <f t="shared" si="106"/>
        <v>2.8256552529351686</v>
      </c>
      <c r="L254" s="349">
        <f t="shared" si="107"/>
        <v>1.2090584065885905</v>
      </c>
      <c r="M254" s="337">
        <f t="shared" si="91"/>
        <v>1.0083811918715717</v>
      </c>
      <c r="N254" s="340">
        <f t="shared" si="92"/>
        <v>0.12901992491167555</v>
      </c>
      <c r="O254" s="341">
        <f t="shared" si="93"/>
        <v>1.0003322524059466</v>
      </c>
      <c r="P254" s="342">
        <f t="shared" si="94"/>
        <v>0.20224464866445363</v>
      </c>
      <c r="Q254" s="343">
        <f t="shared" si="95"/>
        <v>11.836416384283048</v>
      </c>
      <c r="R254" s="344">
        <f t="shared" si="96"/>
        <v>-112.51283165520516</v>
      </c>
      <c r="S254" s="346">
        <f t="shared" si="97"/>
        <v>67.487168344794839</v>
      </c>
      <c r="U254" s="319">
        <f t="shared" si="103"/>
        <v>1000000000</v>
      </c>
      <c r="V254" s="319">
        <f t="shared" si="104"/>
        <v>242681873.0625</v>
      </c>
      <c r="X254" s="345">
        <f t="shared" si="98"/>
        <v>25.612057277801622</v>
      </c>
      <c r="Y254" s="346">
        <f t="shared" si="99"/>
        <v>-28.113273248649705</v>
      </c>
      <c r="AA254" s="345">
        <f t="shared" si="100"/>
        <v>48.465862728928457</v>
      </c>
      <c r="AB254" s="346">
        <f t="shared" si="101"/>
        <v>-84.399558406555443</v>
      </c>
      <c r="AD254">
        <f t="shared" si="105"/>
        <v>0</v>
      </c>
      <c r="AE254">
        <f t="shared" si="108"/>
        <v>0</v>
      </c>
    </row>
    <row r="255" spans="1:31" x14ac:dyDescent="0.25">
      <c r="A255" s="347">
        <v>15668.5</v>
      </c>
      <c r="B255" s="364">
        <f t="shared" si="102"/>
        <v>15.6685</v>
      </c>
      <c r="C255" s="337">
        <f t="shared" si="83"/>
        <v>3.6827310466269809</v>
      </c>
      <c r="D255" s="338">
        <f t="shared" si="84"/>
        <v>1.2958060141190171</v>
      </c>
      <c r="E255" s="338">
        <f t="shared" si="85"/>
        <v>1.0002790914086321</v>
      </c>
      <c r="F255" s="339">
        <f t="shared" si="86"/>
        <v>2.3623146025679657E-2</v>
      </c>
      <c r="G255" s="338">
        <f t="shared" si="87"/>
        <v>1</v>
      </c>
      <c r="H255" s="339">
        <f t="shared" si="88"/>
        <v>0</v>
      </c>
      <c r="I255" s="337">
        <f t="shared" si="89"/>
        <v>11343.877980651574</v>
      </c>
      <c r="J255" s="340">
        <f t="shared" si="90"/>
        <v>1.5707081735193589</v>
      </c>
      <c r="K255" s="348">
        <f t="shared" si="106"/>
        <v>2.8399801234883828</v>
      </c>
      <c r="L255" s="349">
        <f t="shared" si="107"/>
        <v>1.210966311084396</v>
      </c>
      <c r="M255" s="337">
        <f t="shared" si="91"/>
        <v>1.0084781738495823</v>
      </c>
      <c r="N255" s="340">
        <f t="shared" si="92"/>
        <v>0.12975904210561753</v>
      </c>
      <c r="O255" s="341">
        <f t="shared" si="93"/>
        <v>1.0003384761290401</v>
      </c>
      <c r="P255" s="342">
        <f t="shared" si="94"/>
        <v>0.20343142162715269</v>
      </c>
      <c r="Q255" s="343">
        <f t="shared" si="95"/>
        <v>11.782846660479089</v>
      </c>
      <c r="R255" s="344">
        <f t="shared" si="96"/>
        <v>-112.59280701684628</v>
      </c>
      <c r="S255" s="346">
        <f t="shared" si="97"/>
        <v>67.40719298315372</v>
      </c>
      <c r="U255" s="319">
        <f t="shared" si="103"/>
        <v>1000000000</v>
      </c>
      <c r="V255" s="319">
        <f t="shared" si="104"/>
        <v>245501892.25</v>
      </c>
      <c r="X255" s="345">
        <f t="shared" si="98"/>
        <v>25.604969415214033</v>
      </c>
      <c r="Y255" s="346">
        <f t="shared" si="99"/>
        <v>-28.046335930059065</v>
      </c>
      <c r="AA255" s="345">
        <f t="shared" si="100"/>
        <v>48.419380867712086</v>
      </c>
      <c r="AB255" s="346">
        <f t="shared" si="101"/>
        <v>-84.546471086787193</v>
      </c>
      <c r="AD255">
        <f t="shared" si="105"/>
        <v>0</v>
      </c>
      <c r="AE255">
        <f t="shared" si="108"/>
        <v>0</v>
      </c>
    </row>
    <row r="256" spans="1:31" x14ac:dyDescent="0.25">
      <c r="A256" s="347">
        <v>15758.75</v>
      </c>
      <c r="B256" s="364">
        <f t="shared" si="102"/>
        <v>15.758749999999999</v>
      </c>
      <c r="C256" s="337">
        <f t="shared" si="83"/>
        <v>3.7023835490426018</v>
      </c>
      <c r="D256" s="338">
        <f t="shared" si="84"/>
        <v>1.2973033068468978</v>
      </c>
      <c r="E256" s="338">
        <f t="shared" si="85"/>
        <v>1.0002823153261609</v>
      </c>
      <c r="F256" s="339">
        <f t="shared" si="86"/>
        <v>2.3759163447883366E-2</v>
      </c>
      <c r="G256" s="338">
        <f t="shared" si="87"/>
        <v>1</v>
      </c>
      <c r="H256" s="339">
        <f t="shared" si="88"/>
        <v>0</v>
      </c>
      <c r="I256" s="337">
        <f t="shared" si="89"/>
        <v>11409.218311877967</v>
      </c>
      <c r="J256" s="340">
        <f t="shared" si="90"/>
        <v>1.5707086783711444</v>
      </c>
      <c r="K256" s="348">
        <f t="shared" si="106"/>
        <v>2.8543152280660364</v>
      </c>
      <c r="L256" s="349">
        <f t="shared" si="107"/>
        <v>1.212855058424672</v>
      </c>
      <c r="M256" s="337">
        <f t="shared" si="91"/>
        <v>1.00857570664727</v>
      </c>
      <c r="N256" s="340">
        <f t="shared" si="92"/>
        <v>0.13049801675275768</v>
      </c>
      <c r="O256" s="341">
        <f t="shared" si="93"/>
        <v>1.0003447905344134</v>
      </c>
      <c r="P256" s="342">
        <f t="shared" si="94"/>
        <v>0.20461845161432429</v>
      </c>
      <c r="Q256" s="343">
        <f t="shared" si="95"/>
        <v>11.729597544180159</v>
      </c>
      <c r="R256" s="344">
        <f t="shared" si="96"/>
        <v>-112.67296595828945</v>
      </c>
      <c r="S256" s="346">
        <f t="shared" si="97"/>
        <v>67.327034041710547</v>
      </c>
      <c r="U256" s="319">
        <f t="shared" si="103"/>
        <v>1000000000</v>
      </c>
      <c r="V256" s="319">
        <f t="shared" si="104"/>
        <v>248338201.5625</v>
      </c>
      <c r="X256" s="345">
        <f t="shared" si="98"/>
        <v>25.597975221389937</v>
      </c>
      <c r="Y256" s="346">
        <f t="shared" si="99"/>
        <v>-27.980487733144329</v>
      </c>
      <c r="AA256" s="345">
        <f t="shared" si="100"/>
        <v>48.373125945237248</v>
      </c>
      <c r="AB256" s="346">
        <f t="shared" si="101"/>
        <v>-84.692478225145123</v>
      </c>
      <c r="AD256">
        <f t="shared" si="105"/>
        <v>0</v>
      </c>
      <c r="AE256">
        <f t="shared" si="108"/>
        <v>0</v>
      </c>
    </row>
    <row r="257" spans="1:31" x14ac:dyDescent="0.25">
      <c r="A257" s="347">
        <v>15849</v>
      </c>
      <c r="B257" s="364">
        <f t="shared" si="102"/>
        <v>15.849</v>
      </c>
      <c r="C257" s="337">
        <f t="shared" si="83"/>
        <v>3.7220442641156115</v>
      </c>
      <c r="D257" s="338">
        <f t="shared" si="84"/>
        <v>1.2987847847607215</v>
      </c>
      <c r="E257" s="338">
        <f t="shared" si="85"/>
        <v>1.0002855577495324</v>
      </c>
      <c r="F257" s="339">
        <f t="shared" si="86"/>
        <v>2.3895179990803136E-2</v>
      </c>
      <c r="G257" s="338">
        <f t="shared" si="87"/>
        <v>1</v>
      </c>
      <c r="H257" s="339">
        <f t="shared" si="88"/>
        <v>0</v>
      </c>
      <c r="I257" s="337">
        <f t="shared" si="89"/>
        <v>11474.558643107235</v>
      </c>
      <c r="J257" s="340">
        <f t="shared" si="90"/>
        <v>1.5707091774733088</v>
      </c>
      <c r="K257" s="348">
        <f t="shared" si="106"/>
        <v>2.8686604132455016</v>
      </c>
      <c r="L257" s="349">
        <f t="shared" si="107"/>
        <v>1.2147249224268581</v>
      </c>
      <c r="M257" s="337">
        <f t="shared" si="91"/>
        <v>1.0086737901048519</v>
      </c>
      <c r="N257" s="340">
        <f t="shared" si="92"/>
        <v>0.13123684808748018</v>
      </c>
      <c r="O257" s="341">
        <f t="shared" si="93"/>
        <v>1.0003511965667522</v>
      </c>
      <c r="P257" s="342">
        <f t="shared" si="94"/>
        <v>0.20580573996916424</v>
      </c>
      <c r="Q257" s="343">
        <f t="shared" si="95"/>
        <v>11.676665022645656</v>
      </c>
      <c r="R257" s="344">
        <f t="shared" si="96"/>
        <v>-112.75330702633978</v>
      </c>
      <c r="S257" s="346">
        <f t="shared" si="97"/>
        <v>67.246692973660217</v>
      </c>
      <c r="U257" s="319">
        <f t="shared" si="103"/>
        <v>1000000000</v>
      </c>
      <c r="V257" s="319">
        <f t="shared" si="104"/>
        <v>251190801</v>
      </c>
      <c r="X257" s="345">
        <f t="shared" si="98"/>
        <v>25.591072688875084</v>
      </c>
      <c r="Y257" s="346">
        <f t="shared" si="99"/>
        <v>-27.915712931180796</v>
      </c>
      <c r="AA257" s="345">
        <f t="shared" si="100"/>
        <v>48.327095956217605</v>
      </c>
      <c r="AB257" s="346">
        <f t="shared" si="101"/>
        <v>-84.837594095158963</v>
      </c>
      <c r="AD257">
        <f t="shared" si="105"/>
        <v>0</v>
      </c>
      <c r="AE257">
        <f t="shared" si="108"/>
        <v>0</v>
      </c>
    </row>
    <row r="258" spans="1:31" x14ac:dyDescent="0.25">
      <c r="A258" s="347">
        <v>15941.25</v>
      </c>
      <c r="B258" s="364">
        <f t="shared" si="102"/>
        <v>15.94125</v>
      </c>
      <c r="C258" s="337">
        <f t="shared" si="83"/>
        <v>3.7421490266088409</v>
      </c>
      <c r="D258" s="338">
        <f t="shared" si="84"/>
        <v>1.3002830016135625</v>
      </c>
      <c r="E258" s="338">
        <f t="shared" si="85"/>
        <v>1.0002888911525134</v>
      </c>
      <c r="F258" s="339">
        <f t="shared" si="86"/>
        <v>2.4034209836781631E-2</v>
      </c>
      <c r="G258" s="338">
        <f t="shared" si="87"/>
        <v>1</v>
      </c>
      <c r="H258" s="339">
        <f t="shared" si="88"/>
        <v>0</v>
      </c>
      <c r="I258" s="337">
        <f t="shared" si="89"/>
        <v>11541.34695951902</v>
      </c>
      <c r="J258" s="340">
        <f t="shared" si="90"/>
        <v>1.5707096817954214</v>
      </c>
      <c r="K258" s="348">
        <f t="shared" si="106"/>
        <v>2.8833337587849619</v>
      </c>
      <c r="L258" s="349">
        <f t="shared" si="107"/>
        <v>1.2166169881098379</v>
      </c>
      <c r="M258" s="337">
        <f t="shared" si="91"/>
        <v>1.0087746160894202</v>
      </c>
      <c r="N258" s="340">
        <f t="shared" si="92"/>
        <v>0.13199190350818199</v>
      </c>
      <c r="O258" s="341">
        <f t="shared" si="93"/>
        <v>1.0003578402454332</v>
      </c>
      <c r="P258" s="342">
        <f t="shared" si="94"/>
        <v>0.20701960783865761</v>
      </c>
      <c r="Q258" s="343">
        <f t="shared" si="95"/>
        <v>11.622882575472387</v>
      </c>
      <c r="R258" s="344">
        <f t="shared" si="96"/>
        <v>-112.83561521754153</v>
      </c>
      <c r="S258" s="346">
        <f t="shared" si="97"/>
        <v>67.16438478245847</v>
      </c>
      <c r="U258" s="319">
        <f t="shared" si="103"/>
        <v>1000000000</v>
      </c>
      <c r="V258" s="319">
        <f t="shared" si="104"/>
        <v>254123451.5625</v>
      </c>
      <c r="X258" s="345">
        <f t="shared" si="98"/>
        <v>25.5841098848258</v>
      </c>
      <c r="Y258" s="346">
        <f t="shared" si="99"/>
        <v>-27.850595937343368</v>
      </c>
      <c r="AA258" s="345">
        <f t="shared" si="100"/>
        <v>48.280276313093609</v>
      </c>
      <c r="AB258" s="346">
        <f t="shared" si="101"/>
        <v>-84.985019280198188</v>
      </c>
      <c r="AD258">
        <f t="shared" si="105"/>
        <v>0</v>
      </c>
      <c r="AE258">
        <f t="shared" si="108"/>
        <v>0</v>
      </c>
    </row>
    <row r="259" spans="1:31" x14ac:dyDescent="0.25">
      <c r="A259" s="347">
        <v>16033.5</v>
      </c>
      <c r="B259" s="364">
        <f t="shared" si="102"/>
        <v>16.0335</v>
      </c>
      <c r="C259" s="337">
        <f t="shared" si="83"/>
        <v>3.7622620991459921</v>
      </c>
      <c r="D259" s="338">
        <f t="shared" si="84"/>
        <v>1.3017652028138511</v>
      </c>
      <c r="E259" s="338">
        <f t="shared" si="85"/>
        <v>1.0002922438902475</v>
      </c>
      <c r="F259" s="339">
        <f t="shared" si="86"/>
        <v>2.4173238753458583E-2</v>
      </c>
      <c r="G259" s="338">
        <f t="shared" si="87"/>
        <v>1</v>
      </c>
      <c r="H259" s="339">
        <f t="shared" si="88"/>
        <v>0</v>
      </c>
      <c r="I259" s="337">
        <f t="shared" si="89"/>
        <v>11608.135275933706</v>
      </c>
      <c r="J259" s="340">
        <f t="shared" si="90"/>
        <v>1.5707101803142203</v>
      </c>
      <c r="K259" s="348">
        <f t="shared" si="106"/>
        <v>2.8980173218594172</v>
      </c>
      <c r="L259" s="349">
        <f t="shared" si="107"/>
        <v>1.2184898871494003</v>
      </c>
      <c r="M259" s="337">
        <f t="shared" si="91"/>
        <v>1.0088760170700186</v>
      </c>
      <c r="N259" s="340">
        <f t="shared" si="92"/>
        <v>0.13274680757966675</v>
      </c>
      <c r="O259" s="341">
        <f t="shared" si="93"/>
        <v>1.0003645816702338</v>
      </c>
      <c r="P259" s="342">
        <f t="shared" si="94"/>
        <v>0.20823374848394005</v>
      </c>
      <c r="Q259" s="343">
        <f t="shared" si="95"/>
        <v>11.569422661268163</v>
      </c>
      <c r="R259" s="344">
        <f t="shared" si="96"/>
        <v>-112.91811062519113</v>
      </c>
      <c r="S259" s="346">
        <f t="shared" si="97"/>
        <v>67.081889374808867</v>
      </c>
      <c r="U259" s="319">
        <f t="shared" si="103"/>
        <v>1000000000</v>
      </c>
      <c r="V259" s="319">
        <f t="shared" si="104"/>
        <v>257073122.25</v>
      </c>
      <c r="X259" s="345">
        <f t="shared" si="98"/>
        <v>25.577238766904742</v>
      </c>
      <c r="Y259" s="346">
        <f t="shared" si="99"/>
        <v>-27.786568107105673</v>
      </c>
      <c r="AA259" s="345">
        <f t="shared" si="100"/>
        <v>48.233687516810448</v>
      </c>
      <c r="AB259" s="346">
        <f t="shared" si="101"/>
        <v>-85.131542518085482</v>
      </c>
      <c r="AD259">
        <f t="shared" si="105"/>
        <v>0</v>
      </c>
      <c r="AE259">
        <f t="shared" si="108"/>
        <v>0</v>
      </c>
    </row>
    <row r="260" spans="1:31" x14ac:dyDescent="0.25">
      <c r="A260" s="347">
        <v>16125.75</v>
      </c>
      <c r="B260" s="364">
        <f t="shared" si="102"/>
        <v>16.12575</v>
      </c>
      <c r="C260" s="337">
        <f t="shared" si="83"/>
        <v>3.7823833491594501</v>
      </c>
      <c r="D260" s="338">
        <f t="shared" si="84"/>
        <v>1.3032316373932953</v>
      </c>
      <c r="E260" s="338">
        <f t="shared" si="85"/>
        <v>1.0002956159625402</v>
      </c>
      <c r="F260" s="339">
        <f t="shared" si="86"/>
        <v>2.4312266735468782E-2</v>
      </c>
      <c r="G260" s="338">
        <f t="shared" si="87"/>
        <v>1</v>
      </c>
      <c r="H260" s="339">
        <f t="shared" si="88"/>
        <v>0</v>
      </c>
      <c r="I260" s="337">
        <f t="shared" si="89"/>
        <v>11674.923592351246</v>
      </c>
      <c r="J260" s="340">
        <f t="shared" si="90"/>
        <v>1.5707106731293019</v>
      </c>
      <c r="K260" s="348">
        <f t="shared" si="106"/>
        <v>2.912710947942911</v>
      </c>
      <c r="L260" s="349">
        <f t="shared" si="107"/>
        <v>1.2203438963733559</v>
      </c>
      <c r="M260" s="337">
        <f t="shared" si="91"/>
        <v>1.0089779928732878</v>
      </c>
      <c r="N260" s="340">
        <f t="shared" si="92"/>
        <v>0.13350155948728626</v>
      </c>
      <c r="O260" s="341">
        <f t="shared" si="93"/>
        <v>1.0003714218674915</v>
      </c>
      <c r="P260" s="342">
        <f t="shared" si="94"/>
        <v>0.20944816333152208</v>
      </c>
      <c r="Q260" s="343">
        <f t="shared" si="95"/>
        <v>11.516281222876634</v>
      </c>
      <c r="R260" s="344">
        <f t="shared" si="96"/>
        <v>-113.00079169776022</v>
      </c>
      <c r="S260" s="346">
        <f t="shared" si="97"/>
        <v>66.999208302239779</v>
      </c>
      <c r="U260" s="319">
        <f t="shared" si="103"/>
        <v>1000000000</v>
      </c>
      <c r="V260" s="319">
        <f t="shared" si="104"/>
        <v>260039813.0625</v>
      </c>
      <c r="X260" s="345">
        <f t="shared" si="98"/>
        <v>25.57045734876511</v>
      </c>
      <c r="Y260" s="346">
        <f t="shared" si="99"/>
        <v>-27.723613538433064</v>
      </c>
      <c r="AA260" s="345">
        <f t="shared" si="100"/>
        <v>48.187327496558552</v>
      </c>
      <c r="AB260" s="346">
        <f t="shared" si="101"/>
        <v>-85.277178159327164</v>
      </c>
      <c r="AD260">
        <f t="shared" si="105"/>
        <v>0</v>
      </c>
      <c r="AE260">
        <f t="shared" si="108"/>
        <v>0</v>
      </c>
    </row>
    <row r="261" spans="1:31" x14ac:dyDescent="0.25">
      <c r="A261" s="347">
        <v>16218</v>
      </c>
      <c r="B261" s="364">
        <f t="shared" si="102"/>
        <v>16.218</v>
      </c>
      <c r="C261" s="337">
        <f t="shared" si="83"/>
        <v>3.802512646834229</v>
      </c>
      <c r="D261" s="338">
        <f t="shared" si="84"/>
        <v>1.3046825493848895</v>
      </c>
      <c r="E261" s="338">
        <f t="shared" si="85"/>
        <v>1.0002990073691962</v>
      </c>
      <c r="F261" s="339">
        <f t="shared" si="86"/>
        <v>2.4451293777447224E-2</v>
      </c>
      <c r="G261" s="338">
        <f t="shared" si="87"/>
        <v>1</v>
      </c>
      <c r="H261" s="339">
        <f t="shared" si="88"/>
        <v>0</v>
      </c>
      <c r="I261" s="337">
        <f t="shared" si="89"/>
        <v>11741.711908771589</v>
      </c>
      <c r="J261" s="340">
        <f t="shared" si="90"/>
        <v>1.5707111603379968</v>
      </c>
      <c r="K261" s="348">
        <f t="shared" si="106"/>
        <v>2.9274144855071014</v>
      </c>
      <c r="L261" s="349">
        <f t="shared" si="107"/>
        <v>1.2221792875729967</v>
      </c>
      <c r="M261" s="337">
        <f t="shared" si="91"/>
        <v>1.0090805433249566</v>
      </c>
      <c r="N261" s="340">
        <f t="shared" si="92"/>
        <v>0.13425615841741415</v>
      </c>
      <c r="O261" s="341">
        <f t="shared" si="93"/>
        <v>1.00037836186942</v>
      </c>
      <c r="P261" s="342">
        <f t="shared" si="94"/>
        <v>0.21066285380519012</v>
      </c>
      <c r="Q261" s="343">
        <f t="shared" si="95"/>
        <v>11.463454276512604</v>
      </c>
      <c r="R261" s="344">
        <f t="shared" si="96"/>
        <v>-113.08365688565905</v>
      </c>
      <c r="S261" s="346">
        <f t="shared" si="97"/>
        <v>66.916343114340947</v>
      </c>
      <c r="U261" s="319">
        <f t="shared" si="103"/>
        <v>1000000000</v>
      </c>
      <c r="V261" s="319">
        <f t="shared" si="104"/>
        <v>263023524</v>
      </c>
      <c r="X261" s="345">
        <f t="shared" si="98"/>
        <v>25.563763694064761</v>
      </c>
      <c r="Y261" s="346">
        <f t="shared" si="99"/>
        <v>-27.661716617790848</v>
      </c>
      <c r="AA261" s="345">
        <f t="shared" si="100"/>
        <v>48.141194204894866</v>
      </c>
      <c r="AB261" s="346">
        <f t="shared" si="101"/>
        <v>-85.421940267868194</v>
      </c>
      <c r="AD261">
        <f t="shared" si="105"/>
        <v>0</v>
      </c>
      <c r="AE261">
        <f t="shared" si="108"/>
        <v>0</v>
      </c>
    </row>
    <row r="262" spans="1:31" x14ac:dyDescent="0.25">
      <c r="A262" s="347">
        <v>16312.5</v>
      </c>
      <c r="B262" s="364">
        <f t="shared" si="102"/>
        <v>16.3125</v>
      </c>
      <c r="C262" s="337">
        <f t="shared" si="83"/>
        <v>3.8231411145945486</v>
      </c>
      <c r="D262" s="338">
        <f t="shared" si="84"/>
        <v>1.3061530043310412</v>
      </c>
      <c r="E262" s="338">
        <f t="shared" si="85"/>
        <v>1.0003025015403506</v>
      </c>
      <c r="F262" s="339">
        <f t="shared" si="86"/>
        <v>2.4593710742577903E-2</v>
      </c>
      <c r="G262" s="338">
        <f t="shared" si="87"/>
        <v>1</v>
      </c>
      <c r="H262" s="339">
        <f t="shared" si="88"/>
        <v>0</v>
      </c>
      <c r="I262" s="337">
        <f t="shared" si="89"/>
        <v>11810.129208522112</v>
      </c>
      <c r="J262" s="340">
        <f t="shared" si="90"/>
        <v>1.5707116537160895</v>
      </c>
      <c r="K262" s="348">
        <f t="shared" si="106"/>
        <v>2.9424867676670257</v>
      </c>
      <c r="L262" s="349">
        <f t="shared" si="107"/>
        <v>1.2240404186254192</v>
      </c>
      <c r="M262" s="337">
        <f t="shared" si="91"/>
        <v>1.0091861906670732</v>
      </c>
      <c r="N262" s="340">
        <f t="shared" si="92"/>
        <v>0.13502900273035101</v>
      </c>
      <c r="O262" s="341">
        <f t="shared" si="93"/>
        <v>1.0003855757106004</v>
      </c>
      <c r="P262" s="342">
        <f t="shared" si="94"/>
        <v>0.21190745815314457</v>
      </c>
      <c r="Q262" s="343">
        <f t="shared" si="95"/>
        <v>11.40966087046699</v>
      </c>
      <c r="R262" s="344">
        <f t="shared" si="96"/>
        <v>-113.16873246481308</v>
      </c>
      <c r="S262" s="346">
        <f t="shared" si="97"/>
        <v>66.831267535186925</v>
      </c>
      <c r="U262" s="319">
        <f t="shared" si="103"/>
        <v>1000000000</v>
      </c>
      <c r="V262" s="319">
        <f t="shared" si="104"/>
        <v>266097656.25</v>
      </c>
      <c r="X262" s="345">
        <f t="shared" si="98"/>
        <v>25.556995806846796</v>
      </c>
      <c r="Y262" s="346">
        <f t="shared" si="99"/>
        <v>-27.599390649129443</v>
      </c>
      <c r="AA262" s="345">
        <f t="shared" si="100"/>
        <v>48.094168686067214</v>
      </c>
      <c r="AB262" s="346">
        <f t="shared" si="101"/>
        <v>-85.569341815683643</v>
      </c>
      <c r="AD262">
        <f t="shared" si="105"/>
        <v>0</v>
      </c>
      <c r="AE262">
        <f t="shared" si="108"/>
        <v>0</v>
      </c>
    </row>
    <row r="263" spans="1:31" x14ac:dyDescent="0.25">
      <c r="A263" s="347">
        <v>16407</v>
      </c>
      <c r="B263" s="364">
        <f t="shared" si="102"/>
        <v>16.407</v>
      </c>
      <c r="C263" s="337">
        <f t="shared" si="83"/>
        <v>3.8437777601561809</v>
      </c>
      <c r="D263" s="338">
        <f t="shared" si="84"/>
        <v>1.3076076731061899</v>
      </c>
      <c r="E263" s="338">
        <f t="shared" si="85"/>
        <v>1.0003060160000905</v>
      </c>
      <c r="F263" s="339">
        <f t="shared" si="86"/>
        <v>2.4736126709865996E-2</v>
      </c>
      <c r="G263" s="338">
        <f t="shared" si="87"/>
        <v>1</v>
      </c>
      <c r="H263" s="339">
        <f t="shared" si="88"/>
        <v>0</v>
      </c>
      <c r="I263" s="337">
        <f t="shared" si="89"/>
        <v>11878.546508275476</v>
      </c>
      <c r="J263" s="340">
        <f t="shared" si="90"/>
        <v>1.5707121414107266</v>
      </c>
      <c r="K263" s="348">
        <f t="shared" si="106"/>
        <v>2.9575691381354874</v>
      </c>
      <c r="L263" s="349">
        <f t="shared" si="107"/>
        <v>1.2258825740185855</v>
      </c>
      <c r="M263" s="337">
        <f t="shared" si="91"/>
        <v>1.0092924406579258</v>
      </c>
      <c r="N263" s="340">
        <f t="shared" si="92"/>
        <v>0.13580168478736013</v>
      </c>
      <c r="O263" s="341">
        <f t="shared" si="93"/>
        <v>1.00039289649602</v>
      </c>
      <c r="P263" s="342">
        <f t="shared" si="94"/>
        <v>0.2131523547520974</v>
      </c>
      <c r="Q263" s="343">
        <f t="shared" si="95"/>
        <v>11.356189250325661</v>
      </c>
      <c r="R263" s="344">
        <f t="shared" si="96"/>
        <v>-113.25399796788612</v>
      </c>
      <c r="S263" s="346">
        <f t="shared" si="97"/>
        <v>66.746002032113878</v>
      </c>
      <c r="U263" s="319">
        <f t="shared" si="103"/>
        <v>1000000000</v>
      </c>
      <c r="V263" s="319">
        <f t="shared" si="104"/>
        <v>269189649</v>
      </c>
      <c r="X263" s="345">
        <f t="shared" si="98"/>
        <v>25.550316057510276</v>
      </c>
      <c r="Y263" s="346">
        <f t="shared" si="99"/>
        <v>-27.538142283440287</v>
      </c>
      <c r="AA263" s="345">
        <f t="shared" si="100"/>
        <v>48.047376815262403</v>
      </c>
      <c r="AB263" s="346">
        <f t="shared" si="101"/>
        <v>-85.715855684445856</v>
      </c>
      <c r="AD263">
        <f t="shared" si="105"/>
        <v>0</v>
      </c>
      <c r="AE263">
        <f t="shared" si="108"/>
        <v>0</v>
      </c>
    </row>
    <row r="264" spans="1:31" x14ac:dyDescent="0.25">
      <c r="A264" s="347">
        <v>16501.5</v>
      </c>
      <c r="B264" s="364">
        <f t="shared" si="102"/>
        <v>16.5015</v>
      </c>
      <c r="C264" s="337">
        <f t="shared" si="83"/>
        <v>3.8644224525067519</v>
      </c>
      <c r="D264" s="338">
        <f t="shared" si="84"/>
        <v>1.3090468025049697</v>
      </c>
      <c r="E264" s="338">
        <f t="shared" si="85"/>
        <v>1.0003095507482023</v>
      </c>
      <c r="F264" s="339">
        <f t="shared" si="86"/>
        <v>2.4878541673544991E-2</v>
      </c>
      <c r="G264" s="338">
        <f t="shared" si="87"/>
        <v>1</v>
      </c>
      <c r="H264" s="339">
        <f t="shared" si="88"/>
        <v>0</v>
      </c>
      <c r="I264" s="337">
        <f t="shared" si="89"/>
        <v>11946.963808031634</v>
      </c>
      <c r="J264" s="340">
        <f t="shared" si="90"/>
        <v>1.570712623519551</v>
      </c>
      <c r="K264" s="348">
        <f t="shared" si="106"/>
        <v>2.9726614433575596</v>
      </c>
      <c r="L264" s="349">
        <f t="shared" si="107"/>
        <v>1.2277060301738656</v>
      </c>
      <c r="M264" s="337">
        <f t="shared" si="91"/>
        <v>1.0093992931072089</v>
      </c>
      <c r="N264" s="340">
        <f t="shared" si="92"/>
        <v>0.13657420371718496</v>
      </c>
      <c r="O264" s="341">
        <f t="shared" si="93"/>
        <v>1.0004003253544513</v>
      </c>
      <c r="P264" s="342">
        <f t="shared" si="94"/>
        <v>0.21439754512356329</v>
      </c>
      <c r="Q264" s="343">
        <f t="shared" si="95"/>
        <v>11.303035362036365</v>
      </c>
      <c r="R264" s="344">
        <f t="shared" si="96"/>
        <v>-113.33945174057317</v>
      </c>
      <c r="S264" s="346">
        <f t="shared" si="97"/>
        <v>66.660548259426832</v>
      </c>
      <c r="U264" s="319">
        <f t="shared" si="103"/>
        <v>1000000000</v>
      </c>
      <c r="V264" s="319">
        <f t="shared" si="104"/>
        <v>272299502.25</v>
      </c>
      <c r="X264" s="345">
        <f t="shared" si="98"/>
        <v>25.543722518291268</v>
      </c>
      <c r="Y264" s="346">
        <f t="shared" si="99"/>
        <v>-27.477955638620632</v>
      </c>
      <c r="AA264" s="345">
        <f t="shared" si="100"/>
        <v>48.00081646619212</v>
      </c>
      <c r="AB264" s="346">
        <f t="shared" si="101"/>
        <v>-85.861496101952554</v>
      </c>
      <c r="AD264">
        <f t="shared" si="105"/>
        <v>0</v>
      </c>
      <c r="AE264">
        <f t="shared" si="108"/>
        <v>0</v>
      </c>
    </row>
    <row r="265" spans="1:31" x14ac:dyDescent="0.25">
      <c r="A265" s="347">
        <v>16596</v>
      </c>
      <c r="B265" s="364">
        <f t="shared" si="102"/>
        <v>16.596</v>
      </c>
      <c r="C265" s="337">
        <f t="shared" si="83"/>
        <v>3.8850750633680615</v>
      </c>
      <c r="D265" s="338">
        <f t="shared" si="84"/>
        <v>1.3104706343348349</v>
      </c>
      <c r="E265" s="338">
        <f t="shared" si="85"/>
        <v>1.0003131057844703</v>
      </c>
      <c r="F265" s="339">
        <f t="shared" si="86"/>
        <v>2.5020955627848639E-2</v>
      </c>
      <c r="G265" s="338">
        <f t="shared" si="87"/>
        <v>1</v>
      </c>
      <c r="H265" s="339">
        <f t="shared" si="88"/>
        <v>0</v>
      </c>
      <c r="I265" s="337">
        <f t="shared" si="89"/>
        <v>12015.381107790539</v>
      </c>
      <c r="J265" s="340">
        <f t="shared" si="90"/>
        <v>1.5707131001379822</v>
      </c>
      <c r="K265" s="348">
        <f t="shared" si="106"/>
        <v>2.9877635327808356</v>
      </c>
      <c r="L265" s="349">
        <f t="shared" si="107"/>
        <v>1.2295110584267137</v>
      </c>
      <c r="M265" s="337">
        <f t="shared" si="91"/>
        <v>1.0095067478236186</v>
      </c>
      <c r="N265" s="340">
        <f t="shared" si="92"/>
        <v>0.13734655864971546</v>
      </c>
      <c r="O265" s="341">
        <f t="shared" si="93"/>
        <v>1.0004078634211324</v>
      </c>
      <c r="P265" s="342">
        <f t="shared" si="94"/>
        <v>0.21564303078597546</v>
      </c>
      <c r="Q265" s="343">
        <f t="shared" si="95"/>
        <v>11.250195225011247</v>
      </c>
      <c r="R265" s="344">
        <f t="shared" si="96"/>
        <v>-113.42509213398819</v>
      </c>
      <c r="S265" s="346">
        <f t="shared" si="97"/>
        <v>66.574907866011813</v>
      </c>
      <c r="U265" s="319">
        <f t="shared" si="103"/>
        <v>1000000000</v>
      </c>
      <c r="V265" s="319">
        <f t="shared" si="104"/>
        <v>275427216</v>
      </c>
      <c r="X265" s="345">
        <f t="shared" si="98"/>
        <v>25.537213310258998</v>
      </c>
      <c r="Y265" s="346">
        <f t="shared" si="99"/>
        <v>-27.418815123907649</v>
      </c>
      <c r="AA265" s="345">
        <f t="shared" si="100"/>
        <v>47.954485537199275</v>
      </c>
      <c r="AB265" s="346">
        <f t="shared" si="101"/>
        <v>-86.006277010080566</v>
      </c>
      <c r="AD265">
        <f t="shared" si="105"/>
        <v>0</v>
      </c>
      <c r="AE265">
        <f t="shared" si="108"/>
        <v>0</v>
      </c>
    </row>
    <row r="266" spans="1:31" x14ac:dyDescent="0.25">
      <c r="A266" s="347">
        <v>16692.5</v>
      </c>
      <c r="B266" s="364">
        <f t="shared" si="102"/>
        <v>16.692499999999999</v>
      </c>
      <c r="C266" s="337">
        <f t="shared" si="83"/>
        <v>3.9061728076584998</v>
      </c>
      <c r="D266" s="338">
        <f t="shared" si="84"/>
        <v>1.3119090597555401</v>
      </c>
      <c r="E266" s="338">
        <f t="shared" si="85"/>
        <v>1.0003167569961453</v>
      </c>
      <c r="F266" s="339">
        <f t="shared" si="86"/>
        <v>2.5166382586457821E-2</v>
      </c>
      <c r="G266" s="338">
        <f t="shared" si="87"/>
        <v>1</v>
      </c>
      <c r="H266" s="339">
        <f t="shared" si="88"/>
        <v>0</v>
      </c>
      <c r="I266" s="337">
        <f t="shared" si="89"/>
        <v>12085.24639273231</v>
      </c>
      <c r="J266" s="340">
        <f t="shared" si="90"/>
        <v>1.5707135812745618</v>
      </c>
      <c r="K266" s="348">
        <f t="shared" si="106"/>
        <v>3.0031951867475941</v>
      </c>
      <c r="L266" s="349">
        <f t="shared" si="107"/>
        <v>1.2313355480803969</v>
      </c>
      <c r="M266" s="337">
        <f t="shared" si="91"/>
        <v>1.0096170980356673</v>
      </c>
      <c r="N266" s="340">
        <f t="shared" si="92"/>
        <v>0.13813508957503973</v>
      </c>
      <c r="O266" s="341">
        <f t="shared" si="93"/>
        <v>1.0004156749098019</v>
      </c>
      <c r="P266" s="342">
        <f t="shared" si="94"/>
        <v>0.21691518223949227</v>
      </c>
      <c r="Q266" s="343">
        <f t="shared" si="95"/>
        <v>11.196556498211358</v>
      </c>
      <c r="R266" s="344">
        <f t="shared" si="96"/>
        <v>-113.51273590228196</v>
      </c>
      <c r="S266" s="346">
        <f t="shared" si="97"/>
        <v>66.48726409771804</v>
      </c>
      <c r="U266" s="319">
        <f t="shared" si="103"/>
        <v>1000000000</v>
      </c>
      <c r="V266" s="319">
        <f t="shared" si="104"/>
        <v>278639556.25</v>
      </c>
      <c r="X266" s="345">
        <f t="shared" si="98"/>
        <v>25.530651465286205</v>
      </c>
      <c r="Y266" s="346">
        <f t="shared" si="99"/>
        <v>-27.359486628050529</v>
      </c>
      <c r="AA266" s="345">
        <f t="shared" si="100"/>
        <v>47.90740865537218</v>
      </c>
      <c r="AB266" s="346">
        <f t="shared" si="101"/>
        <v>-86.153249274231456</v>
      </c>
      <c r="AD266">
        <f t="shared" si="105"/>
        <v>0</v>
      </c>
      <c r="AE266">
        <f t="shared" si="108"/>
        <v>0</v>
      </c>
    </row>
    <row r="267" spans="1:31" x14ac:dyDescent="0.25">
      <c r="A267" s="347">
        <v>16789</v>
      </c>
      <c r="B267" s="364">
        <f t="shared" si="102"/>
        <v>16.789000000000001</v>
      </c>
      <c r="C267" s="337">
        <f t="shared" si="83"/>
        <v>3.9272785472390654</v>
      </c>
      <c r="D267" s="338">
        <f t="shared" si="84"/>
        <v>1.3133320274987446</v>
      </c>
      <c r="E267" s="338">
        <f t="shared" si="85"/>
        <v>1.000320429363365</v>
      </c>
      <c r="F267" s="339">
        <f t="shared" si="86"/>
        <v>2.5311808480362352E-2</v>
      </c>
      <c r="G267" s="338">
        <f t="shared" si="87"/>
        <v>1</v>
      </c>
      <c r="H267" s="339">
        <f t="shared" si="88"/>
        <v>0</v>
      </c>
      <c r="I267" s="337">
        <f t="shared" si="89"/>
        <v>12155.111677676847</v>
      </c>
      <c r="J267" s="340">
        <f t="shared" si="90"/>
        <v>1.5707140568801772</v>
      </c>
      <c r="K267" s="348">
        <f t="shared" si="106"/>
        <v>3.018636735407481</v>
      </c>
      <c r="L267" s="349">
        <f t="shared" si="107"/>
        <v>1.2331413776880891</v>
      </c>
      <c r="M267" s="337">
        <f t="shared" si="91"/>
        <v>1.0097280758710254</v>
      </c>
      <c r="N267" s="340">
        <f t="shared" si="92"/>
        <v>0.13892344765774392</v>
      </c>
      <c r="O267" s="341">
        <f t="shared" si="93"/>
        <v>1.0004236026914615</v>
      </c>
      <c r="P267" s="342">
        <f t="shared" si="94"/>
        <v>0.21818764480568026</v>
      </c>
      <c r="Q267" s="343">
        <f t="shared" si="95"/>
        <v>11.143236780949033</v>
      </c>
      <c r="R267" s="344">
        <f t="shared" si="96"/>
        <v>-113.60057081916746</v>
      </c>
      <c r="S267" s="346">
        <f t="shared" si="97"/>
        <v>66.399429180832541</v>
      </c>
      <c r="U267" s="319">
        <f t="shared" si="103"/>
        <v>1000000000</v>
      </c>
      <c r="V267" s="319">
        <f t="shared" si="104"/>
        <v>281870521</v>
      </c>
      <c r="X267" s="345">
        <f t="shared" si="98"/>
        <v>25.524173748292466</v>
      </c>
      <c r="Y267" s="346">
        <f t="shared" si="99"/>
        <v>-27.301217054021865</v>
      </c>
      <c r="AA267" s="345">
        <f t="shared" si="100"/>
        <v>47.86056665510359</v>
      </c>
      <c r="AB267" s="346">
        <f t="shared" si="101"/>
        <v>-86.299353765145597</v>
      </c>
      <c r="AD267">
        <f t="shared" si="105"/>
        <v>0</v>
      </c>
      <c r="AE267">
        <f t="shared" si="108"/>
        <v>0</v>
      </c>
    </row>
    <row r="268" spans="1:31" x14ac:dyDescent="0.25">
      <c r="A268" s="347">
        <v>16885.5</v>
      </c>
      <c r="B268" s="364">
        <f t="shared" si="102"/>
        <v>16.8855</v>
      </c>
      <c r="C268" s="337">
        <f t="shared" si="83"/>
        <v>3.9483921538956617</v>
      </c>
      <c r="D268" s="338">
        <f t="shared" si="84"/>
        <v>1.3147397797300664</v>
      </c>
      <c r="E268" s="338">
        <f t="shared" si="85"/>
        <v>1.0003241228858963</v>
      </c>
      <c r="F268" s="339">
        <f t="shared" si="86"/>
        <v>2.5457233303422859E-2</v>
      </c>
      <c r="G268" s="338">
        <f t="shared" si="87"/>
        <v>1</v>
      </c>
      <c r="H268" s="339">
        <f t="shared" si="88"/>
        <v>0</v>
      </c>
      <c r="I268" s="337">
        <f t="shared" si="89"/>
        <v>12224.976962624101</v>
      </c>
      <c r="J268" s="340">
        <f t="shared" si="90"/>
        <v>1.5707145270496561</v>
      </c>
      <c r="K268" s="348">
        <f t="shared" si="106"/>
        <v>3.0340880276877042</v>
      </c>
      <c r="L268" s="349">
        <f t="shared" si="107"/>
        <v>1.2349288204638751</v>
      </c>
      <c r="M268" s="337">
        <f t="shared" si="91"/>
        <v>1.0098396811227721</v>
      </c>
      <c r="N268" s="340">
        <f t="shared" si="92"/>
        <v>0.13971163197503231</v>
      </c>
      <c r="O268" s="341">
        <f t="shared" si="93"/>
        <v>1.0004316479958271</v>
      </c>
      <c r="P268" s="342">
        <f t="shared" si="94"/>
        <v>0.21946042009135289</v>
      </c>
      <c r="Q268" s="343">
        <f t="shared" si="95"/>
        <v>11.0902320606553</v>
      </c>
      <c r="R268" s="344">
        <f t="shared" si="96"/>
        <v>-113.68859515067486</v>
      </c>
      <c r="S268" s="346">
        <f t="shared" si="97"/>
        <v>66.311404849325143</v>
      </c>
      <c r="U268" s="319">
        <f t="shared" si="103"/>
        <v>1000000000</v>
      </c>
      <c r="V268" s="319">
        <f t="shared" si="104"/>
        <v>285120110.25</v>
      </c>
      <c r="X268" s="345">
        <f t="shared" si="98"/>
        <v>25.517778306951371</v>
      </c>
      <c r="Y268" s="346">
        <f t="shared" si="99"/>
        <v>-27.243990700368606</v>
      </c>
      <c r="AA268" s="345">
        <f t="shared" si="100"/>
        <v>47.813957376150952</v>
      </c>
      <c r="AB268" s="346">
        <f t="shared" si="101"/>
        <v>-86.444604450306215</v>
      </c>
      <c r="AD268">
        <f t="shared" si="105"/>
        <v>0</v>
      </c>
      <c r="AE268">
        <f t="shared" si="108"/>
        <v>0</v>
      </c>
    </row>
    <row r="269" spans="1:31" x14ac:dyDescent="0.25">
      <c r="A269" s="347">
        <v>16982</v>
      </c>
      <c r="B269" s="364">
        <f t="shared" si="102"/>
        <v>16.981999999999999</v>
      </c>
      <c r="C269" s="337">
        <f t="shared" ref="C269:C332" si="109">SQRT(1+(A269/pole1)^2)</f>
        <v>3.9695135020947609</v>
      </c>
      <c r="D269" s="338">
        <f t="shared" ref="D269:D332" si="110">ATAN(A269/pole1)</f>
        <v>1.3161325537050959</v>
      </c>
      <c r="E269" s="338">
        <f t="shared" ref="E269:E332" si="111">SQRT(1+(A269/Zero1)^2)</f>
        <v>1.000327837563505</v>
      </c>
      <c r="F269" s="339">
        <f t="shared" ref="F269:F332" si="112">ATAN(A269/Zero1)</f>
        <v>2.5602657049500245E-2</v>
      </c>
      <c r="G269" s="338">
        <f t="shared" ref="G269:G332" si="113">IF(VIN_nom&gt;Vout, 1, SQRT(1+(A269/z_RHP)^2))</f>
        <v>1</v>
      </c>
      <c r="H269" s="339">
        <f t="shared" ref="H269:H332" si="114">IF(VIN_nom&gt;Vout, 0, -ATAN(A269/z_RHP))</f>
        <v>0</v>
      </c>
      <c r="I269" s="337">
        <f t="shared" ref="I269:I332" si="115">SQRT(1+(A269/Pole2)^2)</f>
        <v>12294.842247574028</v>
      </c>
      <c r="J269" s="340">
        <f t="shared" ref="J269:J332" si="116">ATAN(A269/Pole2)</f>
        <v>1.5707149918756707</v>
      </c>
      <c r="K269" s="348">
        <f t="shared" si="106"/>
        <v>3.0495489154828972</v>
      </c>
      <c r="L269" s="349">
        <f t="shared" si="107"/>
        <v>1.236698144556392</v>
      </c>
      <c r="M269" s="337">
        <f t="shared" ref="M269:M332" si="117">SQRT(1+(A269/pole4)^2)</f>
        <v>1.0099519135829083</v>
      </c>
      <c r="N269" s="340">
        <f t="shared" ref="N269:N332" si="118">ATAN(A269/pole4)</f>
        <v>0.14049964160537934</v>
      </c>
      <c r="O269" s="341">
        <f t="shared" ref="O269:O332" si="119">SQRT((1-(V269/pterm2))^2+(A269/pterm1)^2)</f>
        <v>1.0004398120596374</v>
      </c>
      <c r="P269" s="342">
        <f t="shared" ref="P269:P332" si="120">IF((ATAN((A269/pterm1)/(1-A269^2/pterm2))&gt;0),ATAN((A269/pterm1)/(1-A269^2/pterm2)),PI()+ATAN((A269/pterm1)/(1-A269^2/pterm2)))</f>
        <v>0.22073350969988145</v>
      </c>
      <c r="Q269" s="343">
        <f t="shared" ref="Q269:Q332" si="121">20*LOG10(((E269*K269*G269)/(C269*I269*O269*M269))*Adc)</f>
        <v>11.03753839737889</v>
      </c>
      <c r="R269" s="344">
        <f t="shared" ref="R269:R332" si="122">((F269+L269+H269)-(D269+J269+P269+N269))*radconv</f>
        <v>-113.77680717149127</v>
      </c>
      <c r="S269" s="346">
        <f t="shared" ref="S269:S332" si="123">IF(R269&gt;0,R269,R269+180)</f>
        <v>66.223192828508729</v>
      </c>
      <c r="U269" s="319">
        <f t="shared" si="103"/>
        <v>1000000000</v>
      </c>
      <c r="V269" s="319">
        <f t="shared" si="104"/>
        <v>288388324</v>
      </c>
      <c r="X269" s="345">
        <f t="shared" ref="X269:X332" si="124">20*LOG10((K269/(I269*M269))*AEA)</f>
        <v>25.511463335998531</v>
      </c>
      <c r="Y269" s="346">
        <f t="shared" ref="Y269:Y332" si="125">(L269-(J269+N269))*radconv</f>
        <v>-27.187792155815757</v>
      </c>
      <c r="AA269" s="345">
        <f t="shared" ref="AA269:AA332" si="126">20*LOG10((E269*G269/(C269*O269))*Acs*Am)</f>
        <v>47.767578683827381</v>
      </c>
      <c r="AB269" s="346">
        <f t="shared" ref="AB269:AB332" si="127">(F269+H269-(D269+P269))*radconv</f>
        <v>-86.589015015675514</v>
      </c>
      <c r="AD269">
        <f t="shared" si="105"/>
        <v>0</v>
      </c>
      <c r="AE269">
        <f t="shared" si="108"/>
        <v>0</v>
      </c>
    </row>
    <row r="270" spans="1:31" x14ac:dyDescent="0.25">
      <c r="A270" s="347">
        <v>17081</v>
      </c>
      <c r="B270" s="364">
        <f t="shared" ref="B270:B333" si="128">A270/1000</f>
        <v>17.081</v>
      </c>
      <c r="C270" s="337">
        <f t="shared" si="109"/>
        <v>3.9911899516327698</v>
      </c>
      <c r="D270" s="338">
        <f t="shared" si="110"/>
        <v>1.3175460882002217</v>
      </c>
      <c r="E270" s="338">
        <f t="shared" si="111"/>
        <v>1.0003316704603027</v>
      </c>
      <c r="F270" s="339">
        <f t="shared" si="112"/>
        <v>2.5751847124508467E-2</v>
      </c>
      <c r="G270" s="338">
        <f t="shared" si="113"/>
        <v>1</v>
      </c>
      <c r="H270" s="339">
        <f t="shared" si="114"/>
        <v>0</v>
      </c>
      <c r="I270" s="337">
        <f t="shared" si="115"/>
        <v>12366.517514002069</v>
      </c>
      <c r="J270" s="340">
        <f t="shared" si="116"/>
        <v>1.5707154632858322</v>
      </c>
      <c r="K270" s="348">
        <f t="shared" si="106"/>
        <v>3.0654201638470018</v>
      </c>
      <c r="L270" s="349">
        <f t="shared" si="107"/>
        <v>1.2384947530417783</v>
      </c>
      <c r="M270" s="337">
        <f t="shared" si="117"/>
        <v>1.0100677051928293</v>
      </c>
      <c r="N270" s="340">
        <f t="shared" si="118"/>
        <v>0.14130788349450529</v>
      </c>
      <c r="O270" s="341">
        <f t="shared" si="119"/>
        <v>1.0004483123457151</v>
      </c>
      <c r="P270" s="342">
        <f t="shared" si="120"/>
        <v>0.22203990922439035</v>
      </c>
      <c r="Q270" s="343">
        <f t="shared" si="121"/>
        <v>10.983798807462472</v>
      </c>
      <c r="R270" s="344">
        <f t="shared" si="122"/>
        <v>-113.8674977250661</v>
      </c>
      <c r="S270" s="346">
        <f t="shared" si="123"/>
        <v>66.132502274933898</v>
      </c>
      <c r="U270" s="319">
        <f t="shared" ref="U270:U333" si="129">IF(Q270&lt;0,A270,1000000000)</f>
        <v>1000000000</v>
      </c>
      <c r="V270" s="319">
        <f t="shared" ref="V270:V333" si="130">A270^2</f>
        <v>291760561</v>
      </c>
      <c r="X270" s="345">
        <f t="shared" si="124"/>
        <v>25.505066545184217</v>
      </c>
      <c r="Y270" s="346">
        <f t="shared" si="125"/>
        <v>-27.131189930986334</v>
      </c>
      <c r="AA270" s="345">
        <f t="shared" si="126"/>
        <v>47.720235884725284</v>
      </c>
      <c r="AB270" s="346">
        <f t="shared" si="127"/>
        <v>-86.736307794079735</v>
      </c>
      <c r="AD270">
        <f t="shared" ref="AD270:AD333" si="131">SUM((Q271&lt;0)*(Q270&gt;0))*A270</f>
        <v>0</v>
      </c>
      <c r="AE270">
        <f t="shared" si="108"/>
        <v>0</v>
      </c>
    </row>
    <row r="271" spans="1:31" x14ac:dyDescent="0.25">
      <c r="A271" s="347">
        <v>17180</v>
      </c>
      <c r="B271" s="364">
        <f t="shared" si="128"/>
        <v>17.18</v>
      </c>
      <c r="C271" s="337">
        <f t="shared" si="109"/>
        <v>4.0128742897229701</v>
      </c>
      <c r="D271" s="338">
        <f t="shared" si="110"/>
        <v>1.3189443488530126</v>
      </c>
      <c r="E271" s="338">
        <f t="shared" si="111"/>
        <v>1.0003355256219906</v>
      </c>
      <c r="F271" s="339">
        <f t="shared" si="112"/>
        <v>2.5901036052919373E-2</v>
      </c>
      <c r="G271" s="338">
        <f t="shared" si="113"/>
        <v>1</v>
      </c>
      <c r="H271" s="339">
        <f t="shared" si="114"/>
        <v>0</v>
      </c>
      <c r="I271" s="337">
        <f t="shared" si="115"/>
        <v>12438.192780432828</v>
      </c>
      <c r="J271" s="340">
        <f t="shared" si="116"/>
        <v>1.5707159292629778</v>
      </c>
      <c r="K271" s="348">
        <f t="shared" si="106"/>
        <v>3.0813012048316519</v>
      </c>
      <c r="L271" s="349">
        <f t="shared" si="107"/>
        <v>1.2402728477600526</v>
      </c>
      <c r="M271" s="337">
        <f t="shared" si="117"/>
        <v>1.010184156482963</v>
      </c>
      <c r="N271" s="340">
        <f t="shared" si="118"/>
        <v>0.14211593956753032</v>
      </c>
      <c r="O271" s="341">
        <f t="shared" si="119"/>
        <v>1.000456940283986</v>
      </c>
      <c r="P271" s="342">
        <f t="shared" si="120"/>
        <v>0.22334664297641885</v>
      </c>
      <c r="Q271" s="343">
        <f t="shared" si="121"/>
        <v>10.930378426607586</v>
      </c>
      <c r="R271" s="344">
        <f t="shared" si="122"/>
        <v>-113.95838217041099</v>
      </c>
      <c r="S271" s="346">
        <f t="shared" si="123"/>
        <v>66.041617829589015</v>
      </c>
      <c r="U271" s="319">
        <f t="shared" si="129"/>
        <v>1000000000</v>
      </c>
      <c r="V271" s="319">
        <f t="shared" si="130"/>
        <v>295152400</v>
      </c>
      <c r="X271" s="345">
        <f t="shared" si="124"/>
        <v>25.49875074498452</v>
      </c>
      <c r="Y271" s="346">
        <f t="shared" si="125"/>
        <v>-27.075637509109256</v>
      </c>
      <c r="AA271" s="345">
        <f t="shared" si="126"/>
        <v>47.673131304070097</v>
      </c>
      <c r="AB271" s="346">
        <f t="shared" si="127"/>
        <v>-86.8827446613017</v>
      </c>
      <c r="AD271">
        <f t="shared" si="131"/>
        <v>0</v>
      </c>
      <c r="AE271">
        <f t="shared" si="108"/>
        <v>0</v>
      </c>
    </row>
    <row r="272" spans="1:31" x14ac:dyDescent="0.25">
      <c r="A272" s="347">
        <v>17279</v>
      </c>
      <c r="B272" s="364">
        <f t="shared" si="128"/>
        <v>17.279</v>
      </c>
      <c r="C272" s="337">
        <f t="shared" si="109"/>
        <v>4.0345663891710011</v>
      </c>
      <c r="D272" s="338">
        <f t="shared" si="110"/>
        <v>1.3203275765136775</v>
      </c>
      <c r="E272" s="338">
        <f t="shared" si="111"/>
        <v>1.0003394030483106</v>
      </c>
      <c r="F272" s="339">
        <f t="shared" si="112"/>
        <v>2.6050223828105158E-2</v>
      </c>
      <c r="G272" s="338">
        <f t="shared" si="113"/>
        <v>1</v>
      </c>
      <c r="H272" s="339">
        <f t="shared" si="114"/>
        <v>0</v>
      </c>
      <c r="I272" s="337">
        <f t="shared" si="115"/>
        <v>12509.868046866255</v>
      </c>
      <c r="J272" s="340">
        <f t="shared" si="116"/>
        <v>1.570716389900493</v>
      </c>
      <c r="K272" s="348">
        <f t="shared" si="106"/>
        <v>3.0971918878000673</v>
      </c>
      <c r="L272" s="349">
        <f t="shared" si="107"/>
        <v>1.2420327023449347</v>
      </c>
      <c r="M272" s="337">
        <f t="shared" si="117"/>
        <v>1.0103012672251976</v>
      </c>
      <c r="N272" s="340">
        <f t="shared" si="118"/>
        <v>0.14292380883364356</v>
      </c>
      <c r="O272" s="341">
        <f t="shared" si="119"/>
        <v>1.0004656972328554</v>
      </c>
      <c r="P272" s="342">
        <f t="shared" si="120"/>
        <v>0.2246537126757602</v>
      </c>
      <c r="Q272" s="343">
        <f t="shared" si="121"/>
        <v>10.877273227813806</v>
      </c>
      <c r="R272" s="344">
        <f t="shared" si="122"/>
        <v>-114.04945867666714</v>
      </c>
      <c r="S272" s="346">
        <f t="shared" si="123"/>
        <v>65.950541323332857</v>
      </c>
      <c r="U272" s="319">
        <f t="shared" si="129"/>
        <v>1000000000</v>
      </c>
      <c r="V272" s="319">
        <f t="shared" si="130"/>
        <v>298563841</v>
      </c>
      <c r="X272" s="345">
        <f t="shared" si="124"/>
        <v>25.492514131519606</v>
      </c>
      <c r="Y272" s="346">
        <f t="shared" si="125"/>
        <v>-27.021119160708604</v>
      </c>
      <c r="AA272" s="345">
        <f t="shared" si="126"/>
        <v>47.626262718741224</v>
      </c>
      <c r="AB272" s="346">
        <f t="shared" si="127"/>
        <v>-87.028339515958521</v>
      </c>
      <c r="AD272">
        <f t="shared" si="131"/>
        <v>0</v>
      </c>
      <c r="AE272">
        <f t="shared" si="108"/>
        <v>0</v>
      </c>
    </row>
    <row r="273" spans="1:31" x14ac:dyDescent="0.25">
      <c r="A273" s="347">
        <v>17378</v>
      </c>
      <c r="B273" s="364">
        <f t="shared" si="128"/>
        <v>17.378</v>
      </c>
      <c r="C273" s="337">
        <f t="shared" si="109"/>
        <v>4.0562661254582988</v>
      </c>
      <c r="D273" s="338">
        <f t="shared" si="110"/>
        <v>1.3216960071114163</v>
      </c>
      <c r="E273" s="338">
        <f t="shared" si="111"/>
        <v>1.0003433027390041</v>
      </c>
      <c r="F273" s="339">
        <f t="shared" si="112"/>
        <v>2.6199410443438331E-2</v>
      </c>
      <c r="G273" s="338">
        <f t="shared" si="113"/>
        <v>1</v>
      </c>
      <c r="H273" s="339">
        <f t="shared" si="114"/>
        <v>0</v>
      </c>
      <c r="I273" s="337">
        <f t="shared" si="115"/>
        <v>12581.543313302309</v>
      </c>
      <c r="J273" s="340">
        <f t="shared" si="116"/>
        <v>1.5707168452896352</v>
      </c>
      <c r="K273" s="348">
        <f t="shared" si="106"/>
        <v>3.1130920651006186</v>
      </c>
      <c r="L273" s="349">
        <f t="shared" si="107"/>
        <v>1.2437745852968205</v>
      </c>
      <c r="M273" s="337">
        <f t="shared" si="117"/>
        <v>1.0104190371902353</v>
      </c>
      <c r="N273" s="340">
        <f t="shared" si="118"/>
        <v>0.14373149030346741</v>
      </c>
      <c r="O273" s="341">
        <f t="shared" si="119"/>
        <v>1.000474584558501</v>
      </c>
      <c r="P273" s="342">
        <f t="shared" si="120"/>
        <v>0.22596112003829008</v>
      </c>
      <c r="Q273" s="343">
        <f t="shared" si="121"/>
        <v>10.824479257182825</v>
      </c>
      <c r="R273" s="344">
        <f t="shared" si="122"/>
        <v>-114.14072542487612</v>
      </c>
      <c r="S273" s="346">
        <f t="shared" si="123"/>
        <v>65.859274575123877</v>
      </c>
      <c r="U273" s="319">
        <f t="shared" si="129"/>
        <v>1000000000</v>
      </c>
      <c r="V273" s="319">
        <f t="shared" si="130"/>
        <v>301994884</v>
      </c>
      <c r="X273" s="345">
        <f t="shared" si="124"/>
        <v>25.486354947081292</v>
      </c>
      <c r="Y273" s="346">
        <f t="shared" si="125"/>
        <v>-26.967619450386341</v>
      </c>
      <c r="AA273" s="345">
        <f t="shared" si="126"/>
        <v>47.579627932548561</v>
      </c>
      <c r="AB273" s="346">
        <f t="shared" si="127"/>
        <v>-87.173105974489786</v>
      </c>
      <c r="AD273">
        <f t="shared" si="131"/>
        <v>0</v>
      </c>
      <c r="AE273">
        <f t="shared" si="108"/>
        <v>0</v>
      </c>
    </row>
    <row r="274" spans="1:31" x14ac:dyDescent="0.25">
      <c r="A274" s="347">
        <v>17479.25</v>
      </c>
      <c r="B274" s="364">
        <f t="shared" si="128"/>
        <v>17.47925</v>
      </c>
      <c r="C274" s="337">
        <f t="shared" si="109"/>
        <v>4.0784668096893695</v>
      </c>
      <c r="D274" s="338">
        <f t="shared" si="110"/>
        <v>1.3230804739272388</v>
      </c>
      <c r="E274" s="338">
        <f t="shared" si="111"/>
        <v>1.0003473140878965</v>
      </c>
      <c r="F274" s="339">
        <f t="shared" si="112"/>
        <v>2.6351986457066101E-2</v>
      </c>
      <c r="G274" s="338">
        <f t="shared" si="113"/>
        <v>1</v>
      </c>
      <c r="H274" s="339">
        <f t="shared" si="114"/>
        <v>0</v>
      </c>
      <c r="I274" s="337">
        <f t="shared" si="115"/>
        <v>12654.847563069119</v>
      </c>
      <c r="J274" s="340">
        <f t="shared" si="116"/>
        <v>1.5707173056928203</v>
      </c>
      <c r="K274" s="348">
        <f t="shared" si="106"/>
        <v>3.1293632796950694</v>
      </c>
      <c r="L274" s="349">
        <f t="shared" si="107"/>
        <v>1.245537742120387</v>
      </c>
      <c r="M274" s="337">
        <f t="shared" si="117"/>
        <v>1.0105401653717376</v>
      </c>
      <c r="N274" s="340">
        <f t="shared" si="118"/>
        <v>0.1445573328937908</v>
      </c>
      <c r="O274" s="341">
        <f t="shared" si="119"/>
        <v>1.0004838101558851</v>
      </c>
      <c r="P274" s="342">
        <f t="shared" si="120"/>
        <v>0.22729859225027998</v>
      </c>
      <c r="Q274" s="343">
        <f t="shared" si="121"/>
        <v>10.770803296281953</v>
      </c>
      <c r="R274" s="344">
        <f t="shared" si="122"/>
        <v>-114.23426131124982</v>
      </c>
      <c r="S274" s="346">
        <f t="shared" si="123"/>
        <v>65.765738688750176</v>
      </c>
      <c r="U274" s="319">
        <f t="shared" si="129"/>
        <v>1000000000</v>
      </c>
      <c r="V274" s="319">
        <f t="shared" si="130"/>
        <v>305524180.5625</v>
      </c>
      <c r="X274" s="345">
        <f t="shared" si="124"/>
        <v>25.480134084907974</v>
      </c>
      <c r="Y274" s="346">
        <f t="shared" si="125"/>
        <v>-26.913941679842015</v>
      </c>
      <c r="AA274" s="345">
        <f t="shared" si="126"/>
        <v>47.532172833821001</v>
      </c>
      <c r="AB274" s="346">
        <f t="shared" si="127"/>
        <v>-87.320319631407799</v>
      </c>
      <c r="AD274">
        <f t="shared" si="131"/>
        <v>0</v>
      </c>
      <c r="AE274">
        <f t="shared" si="108"/>
        <v>0</v>
      </c>
    </row>
    <row r="275" spans="1:31" x14ac:dyDescent="0.25">
      <c r="A275" s="347">
        <v>17580.5</v>
      </c>
      <c r="B275" s="364">
        <f t="shared" si="128"/>
        <v>17.580500000000001</v>
      </c>
      <c r="C275" s="337">
        <f t="shared" si="109"/>
        <v>4.100675226661008</v>
      </c>
      <c r="D275" s="338">
        <f t="shared" si="110"/>
        <v>1.3244499473670479</v>
      </c>
      <c r="E275" s="338">
        <f t="shared" si="111"/>
        <v>1.0003513487241269</v>
      </c>
      <c r="F275" s="339">
        <f t="shared" si="112"/>
        <v>2.6504561243500695E-2</v>
      </c>
      <c r="G275" s="338">
        <f t="shared" si="113"/>
        <v>1</v>
      </c>
      <c r="H275" s="339">
        <f t="shared" si="114"/>
        <v>0</v>
      </c>
      <c r="I275" s="337">
        <f t="shared" si="115"/>
        <v>12728.151812838583</v>
      </c>
      <c r="J275" s="340">
        <f t="shared" si="116"/>
        <v>1.5707177607928773</v>
      </c>
      <c r="K275" s="348">
        <f t="shared" si="106"/>
        <v>3.1456441219506446</v>
      </c>
      <c r="L275" s="349">
        <f t="shared" si="107"/>
        <v>1.2472826532564298</v>
      </c>
      <c r="M275" s="337">
        <f t="shared" si="117"/>
        <v>1.0106619825923084</v>
      </c>
      <c r="N275" s="340">
        <f t="shared" si="118"/>
        <v>0.14538297696600502</v>
      </c>
      <c r="O275" s="341">
        <f t="shared" si="119"/>
        <v>1.0004931750389221</v>
      </c>
      <c r="P275" s="342">
        <f t="shared" si="120"/>
        <v>0.22863642126584346</v>
      </c>
      <c r="Q275" s="343">
        <f t="shared" si="121"/>
        <v>10.717444732389749</v>
      </c>
      <c r="R275" s="344">
        <f t="shared" si="122"/>
        <v>-114.32799237690212</v>
      </c>
      <c r="S275" s="346">
        <f t="shared" si="123"/>
        <v>65.672007623097883</v>
      </c>
      <c r="U275" s="319">
        <f t="shared" si="129"/>
        <v>1000000000</v>
      </c>
      <c r="V275" s="319">
        <f t="shared" si="130"/>
        <v>309073980.25</v>
      </c>
      <c r="X275" s="345">
        <f t="shared" si="124"/>
        <v>25.473990634379732</v>
      </c>
      <c r="Y275" s="346">
        <f t="shared" si="125"/>
        <v>-26.861297632091624</v>
      </c>
      <c r="AA275" s="345">
        <f t="shared" si="126"/>
        <v>47.484957720457039</v>
      </c>
      <c r="AB275" s="346">
        <f t="shared" si="127"/>
        <v>-87.466694744810496</v>
      </c>
      <c r="AD275">
        <f t="shared" si="131"/>
        <v>0</v>
      </c>
      <c r="AE275">
        <f t="shared" si="108"/>
        <v>0</v>
      </c>
    </row>
    <row r="276" spans="1:31" x14ac:dyDescent="0.25">
      <c r="A276" s="347">
        <v>17681.75</v>
      </c>
      <c r="B276" s="364">
        <f t="shared" si="128"/>
        <v>17.681750000000001</v>
      </c>
      <c r="C276" s="337">
        <f t="shared" si="109"/>
        <v>4.122891251413388</v>
      </c>
      <c r="D276" s="338">
        <f t="shared" si="110"/>
        <v>1.3258046646256409</v>
      </c>
      <c r="E276" s="338">
        <f t="shared" si="111"/>
        <v>1.0003554066474138</v>
      </c>
      <c r="F276" s="339">
        <f t="shared" si="112"/>
        <v>2.665713479565341E-2</v>
      </c>
      <c r="G276" s="338">
        <f t="shared" si="113"/>
        <v>1</v>
      </c>
      <c r="H276" s="339">
        <f t="shared" si="114"/>
        <v>0</v>
      </c>
      <c r="I276" s="337">
        <f t="shared" si="115"/>
        <v>12801.456062610654</v>
      </c>
      <c r="J276" s="340">
        <f t="shared" si="116"/>
        <v>1.5707182106809072</v>
      </c>
      <c r="K276" s="348">
        <f t="shared" si="106"/>
        <v>3.1619344431484833</v>
      </c>
      <c r="L276" s="349">
        <f t="shared" si="107"/>
        <v>1.2490095900025417</v>
      </c>
      <c r="M276" s="337">
        <f t="shared" si="117"/>
        <v>1.0107844886028237</v>
      </c>
      <c r="N276" s="340">
        <f t="shared" si="118"/>
        <v>0.14620842146642574</v>
      </c>
      <c r="O276" s="341">
        <f t="shared" si="119"/>
        <v>1.0005026806942836</v>
      </c>
      <c r="P276" s="342">
        <f t="shared" si="120"/>
        <v>0.22997460890763671</v>
      </c>
      <c r="Q276" s="343">
        <f t="shared" si="121"/>
        <v>10.664399562015587</v>
      </c>
      <c r="R276" s="344">
        <f t="shared" si="122"/>
        <v>-114.42191671757149</v>
      </c>
      <c r="S276" s="346">
        <f t="shared" si="123"/>
        <v>65.578083282428508</v>
      </c>
      <c r="U276" s="319">
        <f t="shared" si="129"/>
        <v>1000000000</v>
      </c>
      <c r="V276" s="319">
        <f t="shared" si="130"/>
        <v>312644283.0625</v>
      </c>
      <c r="X276" s="345">
        <f t="shared" si="124"/>
        <v>25.467922856207473</v>
      </c>
      <c r="Y276" s="346">
        <f t="shared" si="125"/>
        <v>-26.809671707776115</v>
      </c>
      <c r="AA276" s="345">
        <f t="shared" si="126"/>
        <v>47.437980328255136</v>
      </c>
      <c r="AB276" s="346">
        <f t="shared" si="127"/>
        <v>-87.612245009795373</v>
      </c>
      <c r="AD276">
        <f t="shared" si="131"/>
        <v>0</v>
      </c>
      <c r="AE276">
        <f t="shared" si="108"/>
        <v>0</v>
      </c>
    </row>
    <row r="277" spans="1:31" x14ac:dyDescent="0.25">
      <c r="A277" s="347">
        <v>17783</v>
      </c>
      <c r="B277" s="364">
        <f t="shared" si="128"/>
        <v>17.783000000000001</v>
      </c>
      <c r="C277" s="337">
        <f t="shared" si="109"/>
        <v>4.1451147616232547</v>
      </c>
      <c r="D277" s="338">
        <f t="shared" si="110"/>
        <v>1.3271448580303291</v>
      </c>
      <c r="E277" s="338">
        <f t="shared" si="111"/>
        <v>1.0003594878574738</v>
      </c>
      <c r="F277" s="339">
        <f t="shared" si="112"/>
        <v>2.680970710643589E-2</v>
      </c>
      <c r="G277" s="338">
        <f t="shared" si="113"/>
        <v>1</v>
      </c>
      <c r="H277" s="339">
        <f t="shared" si="114"/>
        <v>0</v>
      </c>
      <c r="I277" s="337">
        <f t="shared" si="115"/>
        <v>12874.760312385286</v>
      </c>
      <c r="J277" s="340">
        <f t="shared" si="116"/>
        <v>1.5707186554459363</v>
      </c>
      <c r="K277" s="348">
        <f t="shared" si="106"/>
        <v>3.1782340975331076</v>
      </c>
      <c r="L277" s="349">
        <f t="shared" si="107"/>
        <v>1.2507188185246045</v>
      </c>
      <c r="M277" s="337">
        <f t="shared" si="117"/>
        <v>1.010907683152872</v>
      </c>
      <c r="N277" s="340">
        <f t="shared" si="118"/>
        <v>0.14703366534296564</v>
      </c>
      <c r="O277" s="341">
        <f t="shared" si="119"/>
        <v>1.0005123286171356</v>
      </c>
      <c r="P277" s="342">
        <f t="shared" si="120"/>
        <v>0.23131315699391147</v>
      </c>
      <c r="Q277" s="343">
        <f t="shared" si="121"/>
        <v>10.61166385432594</v>
      </c>
      <c r="R277" s="344">
        <f t="shared" si="122"/>
        <v>-114.51603244385558</v>
      </c>
      <c r="S277" s="346">
        <f t="shared" si="123"/>
        <v>65.483967556144421</v>
      </c>
      <c r="U277" s="319">
        <f t="shared" si="129"/>
        <v>1000000000</v>
      </c>
      <c r="V277" s="319">
        <f t="shared" si="130"/>
        <v>316235089</v>
      </c>
      <c r="X277" s="345">
        <f t="shared" si="124"/>
        <v>25.46192905580736</v>
      </c>
      <c r="Y277" s="346">
        <f t="shared" si="125"/>
        <v>-26.759048601534481</v>
      </c>
      <c r="AA277" s="345">
        <f t="shared" si="126"/>
        <v>47.391238420965607</v>
      </c>
      <c r="AB277" s="346">
        <f t="shared" si="127"/>
        <v>-87.756983842321134</v>
      </c>
      <c r="AD277">
        <f t="shared" si="131"/>
        <v>0</v>
      </c>
      <c r="AE277">
        <f t="shared" si="108"/>
        <v>0</v>
      </c>
    </row>
    <row r="278" spans="1:31" x14ac:dyDescent="0.25">
      <c r="A278" s="347">
        <v>17886.5</v>
      </c>
      <c r="B278" s="364">
        <f t="shared" si="128"/>
        <v>17.886500000000002</v>
      </c>
      <c r="C278" s="337">
        <f t="shared" si="109"/>
        <v>4.1678397397581115</v>
      </c>
      <c r="D278" s="338">
        <f t="shared" si="110"/>
        <v>1.3285000588809706</v>
      </c>
      <c r="E278" s="338">
        <f t="shared" si="111"/>
        <v>1.0003636838295422</v>
      </c>
      <c r="F278" s="339">
        <f t="shared" si="112"/>
        <v>2.6965668622577481E-2</v>
      </c>
      <c r="G278" s="338">
        <f t="shared" si="113"/>
        <v>1</v>
      </c>
      <c r="H278" s="339">
        <f t="shared" si="114"/>
        <v>0</v>
      </c>
      <c r="I278" s="337">
        <f t="shared" si="115"/>
        <v>12949.693545490845</v>
      </c>
      <c r="J278" s="340">
        <f t="shared" si="116"/>
        <v>1.5707191048901865</v>
      </c>
      <c r="K278" s="348">
        <f t="shared" si="106"/>
        <v>3.194905464318988</v>
      </c>
      <c r="L278" s="349">
        <f t="shared" si="107"/>
        <v>1.2524479989215735</v>
      </c>
      <c r="M278" s="337">
        <f t="shared" si="117"/>
        <v>1.0110343267583661</v>
      </c>
      <c r="N278" s="340">
        <f t="shared" si="118"/>
        <v>0.14787703951764564</v>
      </c>
      <c r="O278" s="341">
        <f t="shared" si="119"/>
        <v>1.0005223395488523</v>
      </c>
      <c r="P278" s="342">
        <f t="shared" si="120"/>
        <v>0.23268182503009768</v>
      </c>
      <c r="Q278" s="343">
        <f t="shared" si="121"/>
        <v>10.558072077876632</v>
      </c>
      <c r="R278" s="344">
        <f t="shared" si="122"/>
        <v>-114.61243549174169</v>
      </c>
      <c r="S278" s="346">
        <f t="shared" si="123"/>
        <v>65.387564508258308</v>
      </c>
      <c r="U278" s="319">
        <f t="shared" si="129"/>
        <v>1000000000</v>
      </c>
      <c r="V278" s="319">
        <f t="shared" si="130"/>
        <v>319926882.25</v>
      </c>
      <c r="X278" s="345">
        <f t="shared" si="124"/>
        <v>25.45587680273767</v>
      </c>
      <c r="Y278" s="346">
        <f t="shared" si="125"/>
        <v>-26.708321394731598</v>
      </c>
      <c r="AA278" s="345">
        <f t="shared" si="126"/>
        <v>47.34369889758598</v>
      </c>
      <c r="AB278" s="346">
        <f t="shared" si="127"/>
        <v>-87.904114097010094</v>
      </c>
      <c r="AD278">
        <f t="shared" si="131"/>
        <v>0</v>
      </c>
      <c r="AE278">
        <f t="shared" si="108"/>
        <v>0</v>
      </c>
    </row>
    <row r="279" spans="1:31" x14ac:dyDescent="0.25">
      <c r="A279" s="347">
        <v>17990</v>
      </c>
      <c r="B279" s="364">
        <f t="shared" si="128"/>
        <v>17.989999999999998</v>
      </c>
      <c r="C279" s="337">
        <f t="shared" si="109"/>
        <v>4.1905722893923354</v>
      </c>
      <c r="D279" s="338">
        <f t="shared" si="110"/>
        <v>1.3298405590861753</v>
      </c>
      <c r="E279" s="338">
        <f t="shared" si="111"/>
        <v>1.000367904134247</v>
      </c>
      <c r="F279" s="339">
        <f t="shared" si="112"/>
        <v>2.7121628826586513E-2</v>
      </c>
      <c r="G279" s="338">
        <f t="shared" si="113"/>
        <v>1</v>
      </c>
      <c r="H279" s="339">
        <f t="shared" si="114"/>
        <v>0</v>
      </c>
      <c r="I279" s="337">
        <f t="shared" si="115"/>
        <v>13024.626778598989</v>
      </c>
      <c r="J279" s="340">
        <f t="shared" si="116"/>
        <v>1.5707195491629551</v>
      </c>
      <c r="K279" s="348">
        <f t="shared" ref="K279:K342" si="132">SQRT(1+(A279/Zero2)^2)</f>
        <v>3.2115862848837047</v>
      </c>
      <c r="L279" s="349">
        <f t="shared" ref="L279:L342" si="133">ATAN(A279/Zero2)</f>
        <v>1.2541592218358422</v>
      </c>
      <c r="M279" s="337">
        <f t="shared" si="117"/>
        <v>1.0111616893119211</v>
      </c>
      <c r="N279" s="340">
        <f t="shared" si="118"/>
        <v>0.14872020183472881</v>
      </c>
      <c r="O279" s="341">
        <f t="shared" si="119"/>
        <v>1.000532502327889</v>
      </c>
      <c r="P279" s="342">
        <f t="shared" si="120"/>
        <v>0.2340508735364504</v>
      </c>
      <c r="Q279" s="343">
        <f t="shared" si="121"/>
        <v>10.504795589553577</v>
      </c>
      <c r="R279" s="344">
        <f t="shared" si="122"/>
        <v>-114.70903458232198</v>
      </c>
      <c r="S279" s="346">
        <f t="shared" si="123"/>
        <v>65.290965417678024</v>
      </c>
      <c r="U279" s="319">
        <f t="shared" si="129"/>
        <v>1000000000</v>
      </c>
      <c r="V279" s="319">
        <f t="shared" si="130"/>
        <v>323640100</v>
      </c>
      <c r="X279" s="345">
        <f t="shared" si="124"/>
        <v>25.449898408254942</v>
      </c>
      <c r="Y279" s="346">
        <f t="shared" si="125"/>
        <v>-26.658610641049062</v>
      </c>
      <c r="AA279" s="345">
        <f t="shared" si="126"/>
        <v>47.296400803745662</v>
      </c>
      <c r="AB279" s="346">
        <f t="shared" si="127"/>
        <v>-88.050423941272911</v>
      </c>
      <c r="AD279">
        <f t="shared" si="131"/>
        <v>0</v>
      </c>
      <c r="AE279">
        <f t="shared" si="108"/>
        <v>0</v>
      </c>
    </row>
    <row r="280" spans="1:31" x14ac:dyDescent="0.25">
      <c r="A280" s="347">
        <v>18093.5</v>
      </c>
      <c r="B280" s="364">
        <f t="shared" si="128"/>
        <v>18.093499999999999</v>
      </c>
      <c r="C280" s="337">
        <f t="shared" si="109"/>
        <v>4.2133122879718847</v>
      </c>
      <c r="D280" s="338">
        <f t="shared" si="110"/>
        <v>1.33116659181497</v>
      </c>
      <c r="E280" s="338">
        <f t="shared" si="111"/>
        <v>1.00037214877128</v>
      </c>
      <c r="F280" s="339">
        <f t="shared" si="112"/>
        <v>2.7277587710892622E-2</v>
      </c>
      <c r="G280" s="338">
        <f t="shared" si="113"/>
        <v>1</v>
      </c>
      <c r="H280" s="339">
        <f t="shared" si="114"/>
        <v>0</v>
      </c>
      <c r="I280" s="337">
        <f t="shared" si="115"/>
        <v>13099.560011709675</v>
      </c>
      <c r="J280" s="340">
        <f t="shared" si="116"/>
        <v>1.5707199883529888</v>
      </c>
      <c r="K280" s="348">
        <f t="shared" si="132"/>
        <v>3.2282764126814558</v>
      </c>
      <c r="L280" s="349">
        <f t="shared" si="133"/>
        <v>1.2558527556866332</v>
      </c>
      <c r="M280" s="337">
        <f t="shared" si="117"/>
        <v>1.0112897705419019</v>
      </c>
      <c r="N280" s="340">
        <f t="shared" si="118"/>
        <v>0.14956315117564062</v>
      </c>
      <c r="O280" s="341">
        <f t="shared" si="119"/>
        <v>1.0005428185788245</v>
      </c>
      <c r="P280" s="342">
        <f t="shared" si="120"/>
        <v>0.23542030444068418</v>
      </c>
      <c r="Q280" s="343">
        <f t="shared" si="121"/>
        <v>10.451830414983563</v>
      </c>
      <c r="R280" s="344">
        <f t="shared" si="122"/>
        <v>-114.80582774778784</v>
      </c>
      <c r="S280" s="346">
        <f t="shared" si="123"/>
        <v>65.194172252212155</v>
      </c>
      <c r="U280" s="319">
        <f t="shared" si="129"/>
        <v>1000000000</v>
      </c>
      <c r="V280" s="319">
        <f t="shared" si="130"/>
        <v>327374742.25</v>
      </c>
      <c r="X280" s="345">
        <f t="shared" si="124"/>
        <v>25.443992198530903</v>
      </c>
      <c r="Y280" s="346">
        <f t="shared" si="125"/>
        <v>-26.609900902193441</v>
      </c>
      <c r="AA280" s="345">
        <f t="shared" si="126"/>
        <v>47.249341838899682</v>
      </c>
      <c r="AB280" s="346">
        <f t="shared" si="127"/>
        <v>-88.1959268455944</v>
      </c>
      <c r="AD280">
        <f t="shared" si="131"/>
        <v>0</v>
      </c>
      <c r="AE280">
        <f t="shared" si="108"/>
        <v>0</v>
      </c>
    </row>
    <row r="281" spans="1:31" x14ac:dyDescent="0.25">
      <c r="A281" s="347">
        <v>18197</v>
      </c>
      <c r="B281" s="364">
        <f t="shared" si="128"/>
        <v>18.196999999999999</v>
      </c>
      <c r="C281" s="337">
        <f t="shared" si="109"/>
        <v>4.2360596155345664</v>
      </c>
      <c r="D281" s="338">
        <f t="shared" si="110"/>
        <v>1.3324783854339621</v>
      </c>
      <c r="E281" s="338">
        <f t="shared" si="111"/>
        <v>1.0003764177403318</v>
      </c>
      <c r="F281" s="339">
        <f t="shared" si="112"/>
        <v>2.7433545267925824E-2</v>
      </c>
      <c r="G281" s="338">
        <f t="shared" si="113"/>
        <v>1</v>
      </c>
      <c r="H281" s="339">
        <f t="shared" si="114"/>
        <v>0</v>
      </c>
      <c r="I281" s="337">
        <f t="shared" si="115"/>
        <v>13174.493244822859</v>
      </c>
      <c r="J281" s="340">
        <f t="shared" si="116"/>
        <v>1.5707204225470157</v>
      </c>
      <c r="K281" s="348">
        <f t="shared" si="132"/>
        <v>3.2449757041004688</v>
      </c>
      <c r="L281" s="349">
        <f t="shared" si="133"/>
        <v>1.2575288637783166</v>
      </c>
      <c r="M281" s="337">
        <f t="shared" si="117"/>
        <v>1.0114185701752798</v>
      </c>
      <c r="N281" s="340">
        <f t="shared" si="118"/>
        <v>0.1504058864235823</v>
      </c>
      <c r="O281" s="341">
        <f t="shared" si="119"/>
        <v>1.0005532899355005</v>
      </c>
      <c r="P281" s="342">
        <f t="shared" si="120"/>
        <v>0.23679011966557115</v>
      </c>
      <c r="Q281" s="343">
        <f t="shared" si="121"/>
        <v>10.39917265185538</v>
      </c>
      <c r="R281" s="344">
        <f t="shared" si="122"/>
        <v>-114.90281303793475</v>
      </c>
      <c r="S281" s="346">
        <f t="shared" si="123"/>
        <v>65.097186962065251</v>
      </c>
      <c r="U281" s="319">
        <f t="shared" si="129"/>
        <v>1000000000</v>
      </c>
      <c r="V281" s="319">
        <f t="shared" si="130"/>
        <v>331130809</v>
      </c>
      <c r="X281" s="345">
        <f t="shared" si="124"/>
        <v>25.438156542914857</v>
      </c>
      <c r="Y281" s="346">
        <f t="shared" si="125"/>
        <v>-26.562177032916928</v>
      </c>
      <c r="AA281" s="345">
        <f t="shared" si="126"/>
        <v>47.202519731387547</v>
      </c>
      <c r="AB281" s="346">
        <f t="shared" si="127"/>
        <v>-88.340636005017814</v>
      </c>
      <c r="AD281">
        <f t="shared" si="131"/>
        <v>0</v>
      </c>
      <c r="AE281">
        <f t="shared" si="108"/>
        <v>0</v>
      </c>
    </row>
    <row r="282" spans="1:31" x14ac:dyDescent="0.25">
      <c r="A282" s="347">
        <v>18303</v>
      </c>
      <c r="B282" s="364">
        <f t="shared" si="128"/>
        <v>18.303000000000001</v>
      </c>
      <c r="C282" s="337">
        <f t="shared" si="109"/>
        <v>4.2593638694266662</v>
      </c>
      <c r="D282" s="338">
        <f t="shared" si="110"/>
        <v>1.3338073394077266</v>
      </c>
      <c r="E282" s="338">
        <f t="shared" si="111"/>
        <v>1.0003808150449642</v>
      </c>
      <c r="F282" s="339">
        <f t="shared" si="112"/>
        <v>2.7593268532049679E-2</v>
      </c>
      <c r="G282" s="338">
        <f t="shared" si="113"/>
        <v>1</v>
      </c>
      <c r="H282" s="339">
        <f t="shared" si="114"/>
        <v>0</v>
      </c>
      <c r="I282" s="337">
        <f t="shared" si="115"/>
        <v>13251.236459414751</v>
      </c>
      <c r="J282" s="340">
        <f t="shared" si="116"/>
        <v>1.5707208621388993</v>
      </c>
      <c r="K282" s="348">
        <f t="shared" si="132"/>
        <v>3.2620877113099471</v>
      </c>
      <c r="L282" s="349">
        <f t="shared" si="133"/>
        <v>1.2592276652262604</v>
      </c>
      <c r="M282" s="337">
        <f t="shared" si="117"/>
        <v>1.0115512252662495</v>
      </c>
      <c r="N282" s="340">
        <f t="shared" si="118"/>
        <v>0.15126875451793614</v>
      </c>
      <c r="O282" s="341">
        <f t="shared" si="119"/>
        <v>1.0005641767111435</v>
      </c>
      <c r="P282" s="342">
        <f t="shared" si="120"/>
        <v>0.2381934225759742</v>
      </c>
      <c r="Q282" s="343">
        <f t="shared" si="121"/>
        <v>10.345557597839321</v>
      </c>
      <c r="R282" s="344">
        <f t="shared" si="122"/>
        <v>-115.00233809077716</v>
      </c>
      <c r="S282" s="346">
        <f t="shared" si="123"/>
        <v>64.997661909222842</v>
      </c>
      <c r="U282" s="319">
        <f t="shared" si="129"/>
        <v>1000000000</v>
      </c>
      <c r="V282" s="319">
        <f t="shared" si="130"/>
        <v>334999809</v>
      </c>
      <c r="X282" s="345">
        <f t="shared" si="124"/>
        <v>25.432251400625812</v>
      </c>
      <c r="Y282" s="346">
        <f t="shared" si="125"/>
        <v>-26.514306766506945</v>
      </c>
      <c r="AA282" s="345">
        <f t="shared" si="126"/>
        <v>47.154809819660535</v>
      </c>
      <c r="AB282" s="346">
        <f t="shared" si="127"/>
        <v>-88.488031324270239</v>
      </c>
      <c r="AD282">
        <f t="shared" si="131"/>
        <v>0</v>
      </c>
      <c r="AE282">
        <f t="shared" ref="AE282:AE345" si="134">IF(AD282&gt;0,S282,0)</f>
        <v>0</v>
      </c>
    </row>
    <row r="283" spans="1:31" x14ac:dyDescent="0.25">
      <c r="A283" s="347">
        <v>18409</v>
      </c>
      <c r="B283" s="364">
        <f t="shared" si="128"/>
        <v>18.408999999999999</v>
      </c>
      <c r="C283" s="337">
        <f t="shared" si="109"/>
        <v>4.2826755639850065</v>
      </c>
      <c r="D283" s="338">
        <f t="shared" si="110"/>
        <v>1.3351218280116803</v>
      </c>
      <c r="E283" s="338">
        <f t="shared" si="111"/>
        <v>1.0003852378706082</v>
      </c>
      <c r="F283" s="339">
        <f t="shared" si="112"/>
        <v>2.7752990387936039E-2</v>
      </c>
      <c r="G283" s="338">
        <f t="shared" si="113"/>
        <v>1</v>
      </c>
      <c r="H283" s="339">
        <f t="shared" si="114"/>
        <v>0</v>
      </c>
      <c r="I283" s="337">
        <f t="shared" si="115"/>
        <v>13327.979674009175</v>
      </c>
      <c r="J283" s="340">
        <f t="shared" si="116"/>
        <v>1.5707212966683961</v>
      </c>
      <c r="K283" s="348">
        <f t="shared" si="132"/>
        <v>3.2792090343962861</v>
      </c>
      <c r="L283" s="349">
        <f t="shared" si="133"/>
        <v>1.2609087320054058</v>
      </c>
      <c r="M283" s="337">
        <f t="shared" si="117"/>
        <v>1.0116846333010971</v>
      </c>
      <c r="N283" s="340">
        <f t="shared" si="118"/>
        <v>0.15213139568639653</v>
      </c>
      <c r="O283" s="341">
        <f t="shared" si="119"/>
        <v>1.0005752296746604</v>
      </c>
      <c r="P283" s="342">
        <f t="shared" si="120"/>
        <v>0.23959713266371804</v>
      </c>
      <c r="Q283" s="343">
        <f t="shared" si="121"/>
        <v>10.29225692466688</v>
      </c>
      <c r="R283" s="344">
        <f t="shared" si="122"/>
        <v>-115.10206057893367</v>
      </c>
      <c r="S283" s="346">
        <f t="shared" si="123"/>
        <v>64.897939421066326</v>
      </c>
      <c r="U283" s="319">
        <f t="shared" si="129"/>
        <v>1000000000</v>
      </c>
      <c r="V283" s="319">
        <f t="shared" si="130"/>
        <v>338891281</v>
      </c>
      <c r="X283" s="345">
        <f t="shared" si="124"/>
        <v>25.426416933168895</v>
      </c>
      <c r="Y283" s="346">
        <f t="shared" si="125"/>
        <v>-26.467439329821971</v>
      </c>
      <c r="AA283" s="345">
        <f t="shared" si="126"/>
        <v>47.107343613945012</v>
      </c>
      <c r="AB283" s="346">
        <f t="shared" si="127"/>
        <v>-88.634621249111717</v>
      </c>
      <c r="AD283">
        <f t="shared" si="131"/>
        <v>0</v>
      </c>
      <c r="AE283">
        <f t="shared" si="134"/>
        <v>0</v>
      </c>
    </row>
    <row r="284" spans="1:31" x14ac:dyDescent="0.25">
      <c r="A284" s="347">
        <v>18515</v>
      </c>
      <c r="B284" s="364">
        <f t="shared" si="128"/>
        <v>18.515000000000001</v>
      </c>
      <c r="C284" s="337">
        <f t="shared" si="109"/>
        <v>4.3059945783632632</v>
      </c>
      <c r="D284" s="338">
        <f t="shared" si="110"/>
        <v>1.3364220816766188</v>
      </c>
      <c r="E284" s="338">
        <f t="shared" si="111"/>
        <v>1.0003896862169253</v>
      </c>
      <c r="F284" s="339">
        <f t="shared" si="112"/>
        <v>2.7912710827454272E-2</v>
      </c>
      <c r="G284" s="338">
        <f t="shared" si="113"/>
        <v>1</v>
      </c>
      <c r="H284" s="339">
        <f t="shared" si="114"/>
        <v>0</v>
      </c>
      <c r="I284" s="337">
        <f t="shared" si="115"/>
        <v>13404.722888606086</v>
      </c>
      <c r="J284" s="340">
        <f t="shared" si="116"/>
        <v>1.5707217262224538</v>
      </c>
      <c r="K284" s="348">
        <f t="shared" si="132"/>
        <v>3.2963395281983465</v>
      </c>
      <c r="L284" s="349">
        <f t="shared" si="133"/>
        <v>1.2625723310314871</v>
      </c>
      <c r="M284" s="337">
        <f t="shared" si="117"/>
        <v>1.011818793981996</v>
      </c>
      <c r="N284" s="340">
        <f t="shared" si="118"/>
        <v>0.1529938087351104</v>
      </c>
      <c r="O284" s="341">
        <f t="shared" si="119"/>
        <v>1.0005864506113622</v>
      </c>
      <c r="P284" s="342">
        <f t="shared" si="120"/>
        <v>0.24100125197795452</v>
      </c>
      <c r="Q284" s="343">
        <f t="shared" si="121"/>
        <v>10.239266664368397</v>
      </c>
      <c r="R284" s="344">
        <f t="shared" si="122"/>
        <v>-115.2019784664238</v>
      </c>
      <c r="S284" s="346">
        <f t="shared" si="123"/>
        <v>64.798021533576204</v>
      </c>
      <c r="U284" s="319">
        <f t="shared" si="129"/>
        <v>1000000000</v>
      </c>
      <c r="V284" s="319">
        <f t="shared" si="130"/>
        <v>342805225</v>
      </c>
      <c r="X284" s="345">
        <f t="shared" si="124"/>
        <v>25.420651521290583</v>
      </c>
      <c r="Y284" s="346">
        <f t="shared" si="125"/>
        <v>-26.421559366295899</v>
      </c>
      <c r="AA284" s="345">
        <f t="shared" si="126"/>
        <v>47.060118765524841</v>
      </c>
      <c r="AB284" s="346">
        <f t="shared" si="127"/>
        <v>-88.780419100127901</v>
      </c>
      <c r="AD284">
        <f t="shared" si="131"/>
        <v>0</v>
      </c>
      <c r="AE284">
        <f t="shared" si="134"/>
        <v>0</v>
      </c>
    </row>
    <row r="285" spans="1:31" x14ac:dyDescent="0.25">
      <c r="A285" s="347">
        <v>18621</v>
      </c>
      <c r="B285" s="364">
        <f t="shared" si="128"/>
        <v>18.620999999999999</v>
      </c>
      <c r="C285" s="337">
        <f t="shared" si="109"/>
        <v>4.3293207942812311</v>
      </c>
      <c r="D285" s="338">
        <f t="shared" si="110"/>
        <v>1.3377083260620057</v>
      </c>
      <c r="E285" s="338">
        <f t="shared" si="111"/>
        <v>1.0003941600835748</v>
      </c>
      <c r="F285" s="339">
        <f t="shared" si="112"/>
        <v>2.8072429842474194E-2</v>
      </c>
      <c r="G285" s="338">
        <f t="shared" si="113"/>
        <v>1</v>
      </c>
      <c r="H285" s="339">
        <f t="shared" si="114"/>
        <v>0</v>
      </c>
      <c r="I285" s="337">
        <f t="shared" si="115"/>
        <v>13481.466103205445</v>
      </c>
      <c r="J285" s="340">
        <f t="shared" si="116"/>
        <v>1.5707221508860405</v>
      </c>
      <c r="K285" s="348">
        <f t="shared" si="132"/>
        <v>3.3134790504799314</v>
      </c>
      <c r="L285" s="349">
        <f t="shared" si="133"/>
        <v>1.2642187240887683</v>
      </c>
      <c r="M285" s="337">
        <f t="shared" si="117"/>
        <v>1.0119537070095981</v>
      </c>
      <c r="N285" s="340">
        <f t="shared" si="118"/>
        <v>0.15385599247221324</v>
      </c>
      <c r="O285" s="341">
        <f t="shared" si="119"/>
        <v>1.0005978413167371</v>
      </c>
      <c r="P285" s="342">
        <f t="shared" si="120"/>
        <v>0.24240578256224615</v>
      </c>
      <c r="Q285" s="343">
        <f t="shared" si="121"/>
        <v>10.186582920974335</v>
      </c>
      <c r="R285" s="344">
        <f t="shared" si="122"/>
        <v>-115.3020897375818</v>
      </c>
      <c r="S285" s="346">
        <f t="shared" si="123"/>
        <v>64.697910262418205</v>
      </c>
      <c r="U285" s="319">
        <f t="shared" si="129"/>
        <v>1000000000</v>
      </c>
      <c r="V285" s="319">
        <f t="shared" si="130"/>
        <v>346741641</v>
      </c>
      <c r="X285" s="345">
        <f t="shared" si="124"/>
        <v>25.414953587731084</v>
      </c>
      <c r="Y285" s="346">
        <f t="shared" si="125"/>
        <v>-26.376651813374767</v>
      </c>
      <c r="AA285" s="345">
        <f t="shared" si="126"/>
        <v>47.013132955690267</v>
      </c>
      <c r="AB285" s="346">
        <f t="shared" si="127"/>
        <v>-88.925437924206989</v>
      </c>
      <c r="AD285">
        <f t="shared" si="131"/>
        <v>0</v>
      </c>
      <c r="AE285">
        <f t="shared" si="134"/>
        <v>0</v>
      </c>
    </row>
    <row r="286" spans="1:31" x14ac:dyDescent="0.25">
      <c r="A286" s="347">
        <v>18729.5</v>
      </c>
      <c r="B286" s="364">
        <f t="shared" si="128"/>
        <v>18.729500000000002</v>
      </c>
      <c r="C286" s="337">
        <f t="shared" si="109"/>
        <v>4.3532044942784269</v>
      </c>
      <c r="D286" s="338">
        <f t="shared" si="110"/>
        <v>1.3390106282726153</v>
      </c>
      <c r="E286" s="338">
        <f t="shared" si="111"/>
        <v>1.0003987658958622</v>
      </c>
      <c r="F286" s="339">
        <f t="shared" si="112"/>
        <v>2.8235914331620243E-2</v>
      </c>
      <c r="G286" s="338">
        <f t="shared" si="113"/>
        <v>1</v>
      </c>
      <c r="H286" s="339">
        <f t="shared" si="114"/>
        <v>0</v>
      </c>
      <c r="I286" s="337">
        <f t="shared" si="115"/>
        <v>13560.019299283689</v>
      </c>
      <c r="J286" s="340">
        <f t="shared" si="116"/>
        <v>1.5707225805871048</v>
      </c>
      <c r="K286" s="348">
        <f t="shared" si="132"/>
        <v>3.3310320117019416</v>
      </c>
      <c r="L286" s="349">
        <f t="shared" si="133"/>
        <v>1.2658863957009052</v>
      </c>
      <c r="M286" s="337">
        <f t="shared" si="117"/>
        <v>1.0120925808061627</v>
      </c>
      <c r="N286" s="340">
        <f t="shared" si="118"/>
        <v>0.15473827200162274</v>
      </c>
      <c r="O286" s="341">
        <f t="shared" si="119"/>
        <v>1.0006096783774885</v>
      </c>
      <c r="P286" s="342">
        <f t="shared" si="120"/>
        <v>0.24384386692910925</v>
      </c>
      <c r="Q286" s="343">
        <f t="shared" si="121"/>
        <v>10.132970089563855</v>
      </c>
      <c r="R286" s="344">
        <f t="shared" si="122"/>
        <v>-115.40476032003279</v>
      </c>
      <c r="S286" s="346">
        <f t="shared" si="123"/>
        <v>64.595239679967207</v>
      </c>
      <c r="U286" s="319">
        <f t="shared" si="129"/>
        <v>1000000000</v>
      </c>
      <c r="V286" s="319">
        <f t="shared" si="130"/>
        <v>350794170.25</v>
      </c>
      <c r="X286" s="345">
        <f t="shared" si="124"/>
        <v>25.409189549643784</v>
      </c>
      <c r="Y286" s="346">
        <f t="shared" si="125"/>
        <v>-26.331676781777556</v>
      </c>
      <c r="AA286" s="345">
        <f t="shared" si="126"/>
        <v>46.965284162367098</v>
      </c>
      <c r="AB286" s="346">
        <f t="shared" si="127"/>
        <v>-89.073083538255261</v>
      </c>
      <c r="AD286">
        <f t="shared" si="131"/>
        <v>0</v>
      </c>
      <c r="AE286">
        <f t="shared" si="134"/>
        <v>0</v>
      </c>
    </row>
    <row r="287" spans="1:31" x14ac:dyDescent="0.25">
      <c r="A287" s="347">
        <v>18838</v>
      </c>
      <c r="B287" s="364">
        <f t="shared" si="128"/>
        <v>18.838000000000001</v>
      </c>
      <c r="C287" s="337">
        <f t="shared" si="109"/>
        <v>4.3770954966933191</v>
      </c>
      <c r="D287" s="338">
        <f t="shared" si="110"/>
        <v>1.3402987162319688</v>
      </c>
      <c r="E287" s="338">
        <f t="shared" si="111"/>
        <v>1.000403398445739</v>
      </c>
      <c r="F287" s="339">
        <f t="shared" si="112"/>
        <v>2.8399397311046373E-2</v>
      </c>
      <c r="G287" s="338">
        <f t="shared" si="113"/>
        <v>1</v>
      </c>
      <c r="H287" s="339">
        <f t="shared" si="114"/>
        <v>0</v>
      </c>
      <c r="I287" s="337">
        <f t="shared" si="115"/>
        <v>13638.572495364409</v>
      </c>
      <c r="J287" s="340">
        <f t="shared" si="116"/>
        <v>1.5707230053383265</v>
      </c>
      <c r="K287" s="348">
        <f t="shared" si="132"/>
        <v>3.3485941398153987</v>
      </c>
      <c r="L287" s="349">
        <f t="shared" si="133"/>
        <v>1.2675365792303916</v>
      </c>
      <c r="M287" s="337">
        <f t="shared" si="117"/>
        <v>1.0122322422164367</v>
      </c>
      <c r="N287" s="340">
        <f t="shared" si="118"/>
        <v>0.15562030875475549</v>
      </c>
      <c r="O287" s="341">
        <f t="shared" si="119"/>
        <v>1.0006216971486768</v>
      </c>
      <c r="P287" s="342">
        <f t="shared" si="120"/>
        <v>0.24528238650890738</v>
      </c>
      <c r="Q287" s="343">
        <f t="shared" si="121"/>
        <v>10.079670367568436</v>
      </c>
      <c r="R287" s="344">
        <f t="shared" si="122"/>
        <v>-115.50762930790967</v>
      </c>
      <c r="S287" s="346">
        <f t="shared" si="123"/>
        <v>64.492370692090333</v>
      </c>
      <c r="U287" s="319">
        <f t="shared" si="129"/>
        <v>1000000000</v>
      </c>
      <c r="V287" s="319">
        <f t="shared" si="130"/>
        <v>354870244</v>
      </c>
      <c r="X287" s="345">
        <f t="shared" si="124"/>
        <v>25.403492995629406</v>
      </c>
      <c r="Y287" s="346">
        <f t="shared" si="125"/>
        <v>-26.287689549847986</v>
      </c>
      <c r="AA287" s="345">
        <f t="shared" si="126"/>
        <v>46.917680994386053</v>
      </c>
      <c r="AB287" s="346">
        <f t="shared" si="127"/>
        <v>-89.21993975806167</v>
      </c>
      <c r="AD287">
        <f t="shared" si="131"/>
        <v>0</v>
      </c>
      <c r="AE287">
        <f t="shared" si="134"/>
        <v>0</v>
      </c>
    </row>
    <row r="288" spans="1:31" x14ac:dyDescent="0.25">
      <c r="A288" s="347">
        <v>18946.5</v>
      </c>
      <c r="B288" s="364">
        <f t="shared" si="128"/>
        <v>18.9465</v>
      </c>
      <c r="C288" s="337">
        <f t="shared" si="109"/>
        <v>4.4009936826013467</v>
      </c>
      <c r="D288" s="338">
        <f t="shared" si="110"/>
        <v>1.3415728171883867</v>
      </c>
      <c r="E288" s="338">
        <f t="shared" si="111"/>
        <v>1.000408057732834</v>
      </c>
      <c r="F288" s="339">
        <f t="shared" si="112"/>
        <v>2.8562878772034908E-2</v>
      </c>
      <c r="G288" s="338">
        <f t="shared" si="113"/>
        <v>1</v>
      </c>
      <c r="H288" s="339">
        <f t="shared" si="114"/>
        <v>0</v>
      </c>
      <c r="I288" s="337">
        <f t="shared" si="115"/>
        <v>13717.125691447563</v>
      </c>
      <c r="J288" s="340">
        <f t="shared" si="116"/>
        <v>1.5707234252247442</v>
      </c>
      <c r="K288" s="348">
        <f t="shared" si="132"/>
        <v>3.366165291342393</v>
      </c>
      <c r="L288" s="349">
        <f t="shared" si="133"/>
        <v>1.2691695394787299</v>
      </c>
      <c r="M288" s="337">
        <f t="shared" si="117"/>
        <v>1.0123726909144553</v>
      </c>
      <c r="N288" s="340">
        <f t="shared" si="118"/>
        <v>0.15650210145994356</v>
      </c>
      <c r="O288" s="341">
        <f t="shared" si="119"/>
        <v>1.0006338995889548</v>
      </c>
      <c r="P288" s="342">
        <f t="shared" si="120"/>
        <v>0.24672134347478367</v>
      </c>
      <c r="Q288" s="343">
        <f t="shared" si="121"/>
        <v>10.026679800155803</v>
      </c>
      <c r="R288" s="344">
        <f t="shared" si="122"/>
        <v>-115.61069460659604</v>
      </c>
      <c r="S288" s="346">
        <f t="shared" si="123"/>
        <v>64.389305393403959</v>
      </c>
      <c r="U288" s="319">
        <f t="shared" si="129"/>
        <v>1000000000</v>
      </c>
      <c r="V288" s="319">
        <f t="shared" si="130"/>
        <v>358969862.25</v>
      </c>
      <c r="X288" s="345">
        <f t="shared" si="124"/>
        <v>25.397862362690308</v>
      </c>
      <c r="Y288" s="346">
        <f t="shared" si="125"/>
        <v>-26.244674877588725</v>
      </c>
      <c r="AA288" s="345">
        <f t="shared" si="126"/>
        <v>46.870321059912513</v>
      </c>
      <c r="AB288" s="346">
        <f t="shared" si="127"/>
        <v>-89.366019729007306</v>
      </c>
      <c r="AD288">
        <f t="shared" si="131"/>
        <v>0</v>
      </c>
      <c r="AE288">
        <f t="shared" si="134"/>
        <v>0</v>
      </c>
    </row>
    <row r="289" spans="1:31" x14ac:dyDescent="0.25">
      <c r="A289" s="347">
        <v>19055</v>
      </c>
      <c r="B289" s="364">
        <f t="shared" si="128"/>
        <v>19.055</v>
      </c>
      <c r="C289" s="337">
        <f t="shared" si="109"/>
        <v>4.4248989356117505</v>
      </c>
      <c r="D289" s="338">
        <f t="shared" si="110"/>
        <v>1.3428331536632747</v>
      </c>
      <c r="E289" s="338">
        <f t="shared" si="111"/>
        <v>1.0004127437567734</v>
      </c>
      <c r="F289" s="339">
        <f t="shared" si="112"/>
        <v>2.8726358705868652E-2</v>
      </c>
      <c r="G289" s="338">
        <f t="shared" si="113"/>
        <v>1</v>
      </c>
      <c r="H289" s="339">
        <f t="shared" si="114"/>
        <v>0</v>
      </c>
      <c r="I289" s="337">
        <f t="shared" si="115"/>
        <v>13795.678887533108</v>
      </c>
      <c r="J289" s="340">
        <f t="shared" si="116"/>
        <v>1.5707238403294586</v>
      </c>
      <c r="K289" s="348">
        <f t="shared" si="132"/>
        <v>3.3837453257122734</v>
      </c>
      <c r="L289" s="349">
        <f t="shared" si="133"/>
        <v>1.2707855361160532</v>
      </c>
      <c r="M289" s="337">
        <f t="shared" si="117"/>
        <v>1.0125139265725975</v>
      </c>
      <c r="N289" s="340">
        <f t="shared" si="118"/>
        <v>0.15738364884774067</v>
      </c>
      <c r="O289" s="341">
        <f t="shared" si="119"/>
        <v>1.0006462876681301</v>
      </c>
      <c r="P289" s="342">
        <f t="shared" si="120"/>
        <v>0.24816073999357396</v>
      </c>
      <c r="Q289" s="343">
        <f t="shared" si="121"/>
        <v>9.9739945042555398</v>
      </c>
      <c r="R289" s="344">
        <f t="shared" si="122"/>
        <v>-115.71395414430405</v>
      </c>
      <c r="S289" s="346">
        <f t="shared" si="123"/>
        <v>64.286045855695946</v>
      </c>
      <c r="U289" s="319">
        <f t="shared" si="129"/>
        <v>1000000000</v>
      </c>
      <c r="V289" s="319">
        <f t="shared" si="130"/>
        <v>363093025</v>
      </c>
      <c r="X289" s="345">
        <f t="shared" si="124"/>
        <v>25.392296128554122</v>
      </c>
      <c r="Y289" s="346">
        <f t="shared" si="125"/>
        <v>-26.202617819024464</v>
      </c>
      <c r="AA289" s="345">
        <f t="shared" si="126"/>
        <v>46.823201998148434</v>
      </c>
      <c r="AB289" s="346">
        <f t="shared" si="127"/>
        <v>-89.511336325279586</v>
      </c>
      <c r="AD289">
        <f t="shared" si="131"/>
        <v>0</v>
      </c>
      <c r="AE289">
        <f t="shared" si="134"/>
        <v>0</v>
      </c>
    </row>
    <row r="290" spans="1:31" x14ac:dyDescent="0.25">
      <c r="A290" s="347">
        <v>19165.75</v>
      </c>
      <c r="B290" s="364">
        <f t="shared" si="128"/>
        <v>19.165749999999999</v>
      </c>
      <c r="C290" s="337">
        <f t="shared" si="109"/>
        <v>4.4493070898360276</v>
      </c>
      <c r="D290" s="338">
        <f t="shared" si="110"/>
        <v>1.344105656817794</v>
      </c>
      <c r="E290" s="338">
        <f t="shared" si="111"/>
        <v>1.0004175545302034</v>
      </c>
      <c r="F290" s="339">
        <f t="shared" si="112"/>
        <v>2.8893227192540456E-2</v>
      </c>
      <c r="G290" s="338">
        <f t="shared" si="113"/>
        <v>1</v>
      </c>
      <c r="H290" s="339">
        <f t="shared" si="114"/>
        <v>0</v>
      </c>
      <c r="I290" s="337">
        <f t="shared" si="115"/>
        <v>13875.861066950038</v>
      </c>
      <c r="J290" s="340">
        <f t="shared" si="116"/>
        <v>1.5707242591951966</v>
      </c>
      <c r="K290" s="348">
        <f t="shared" si="132"/>
        <v>3.4016989410536405</v>
      </c>
      <c r="L290" s="349">
        <f t="shared" si="133"/>
        <v>1.2724178136984829</v>
      </c>
      <c r="M290" s="337">
        <f t="shared" si="117"/>
        <v>1.0126589023473598</v>
      </c>
      <c r="N290" s="340">
        <f t="shared" si="118"/>
        <v>0.15828322285524465</v>
      </c>
      <c r="O290" s="341">
        <f t="shared" si="119"/>
        <v>1.0006591261534388</v>
      </c>
      <c r="P290" s="342">
        <f t="shared" si="120"/>
        <v>0.24963044131260476</v>
      </c>
      <c r="Q290" s="343">
        <f t="shared" si="121"/>
        <v>9.9205275298026407</v>
      </c>
      <c r="R290" s="344">
        <f t="shared" si="122"/>
        <v>-115.81955320406261</v>
      </c>
      <c r="S290" s="346">
        <f t="shared" si="123"/>
        <v>64.180446795937385</v>
      </c>
      <c r="U290" s="319">
        <f t="shared" si="129"/>
        <v>1000000000</v>
      </c>
      <c r="V290" s="319">
        <f t="shared" si="130"/>
        <v>367325973.0625</v>
      </c>
      <c r="X290" s="345">
        <f t="shared" si="124"/>
        <v>25.386679341842481</v>
      </c>
      <c r="Y290" s="346">
        <f t="shared" si="125"/>
        <v>-26.160660995738098</v>
      </c>
      <c r="AA290" s="345">
        <f t="shared" si="126"/>
        <v>46.775351810407187</v>
      </c>
      <c r="AB290" s="346">
        <f t="shared" si="127"/>
        <v>-89.658892208324488</v>
      </c>
      <c r="AD290">
        <f t="shared" si="131"/>
        <v>0</v>
      </c>
      <c r="AE290">
        <f t="shared" si="134"/>
        <v>0</v>
      </c>
    </row>
    <row r="291" spans="1:31" x14ac:dyDescent="0.25">
      <c r="A291" s="347">
        <v>19276.5</v>
      </c>
      <c r="B291" s="364">
        <f t="shared" si="128"/>
        <v>19.276499999999999</v>
      </c>
      <c r="C291" s="337">
        <f t="shared" si="109"/>
        <v>4.4737223700424682</v>
      </c>
      <c r="D291" s="338">
        <f t="shared" si="110"/>
        <v>1.34536427265384</v>
      </c>
      <c r="E291" s="338">
        <f t="shared" si="111"/>
        <v>1.0004223931600842</v>
      </c>
      <c r="F291" s="339">
        <f t="shared" si="112"/>
        <v>2.9060094069710753E-2</v>
      </c>
      <c r="G291" s="338">
        <f t="shared" si="113"/>
        <v>1</v>
      </c>
      <c r="H291" s="339">
        <f t="shared" si="114"/>
        <v>0</v>
      </c>
      <c r="I291" s="337">
        <f t="shared" si="115"/>
        <v>13956.043246369374</v>
      </c>
      <c r="J291" s="340">
        <f t="shared" si="116"/>
        <v>1.5707246732478846</v>
      </c>
      <c r="K291" s="348">
        <f t="shared" si="132"/>
        <v>3.4196615244637156</v>
      </c>
      <c r="L291" s="349">
        <f t="shared" si="133"/>
        <v>1.2740329476961176</v>
      </c>
      <c r="M291" s="337">
        <f t="shared" si="117"/>
        <v>1.0128046973645319</v>
      </c>
      <c r="N291" s="340">
        <f t="shared" si="118"/>
        <v>0.1591825385998103</v>
      </c>
      <c r="O291" s="341">
        <f t="shared" si="119"/>
        <v>1.0006721622395462</v>
      </c>
      <c r="P291" s="342">
        <f t="shared" si="120"/>
        <v>0.25110060514570159</v>
      </c>
      <c r="Q291" s="343">
        <f t="shared" si="121"/>
        <v>9.867370664906721</v>
      </c>
      <c r="R291" s="344">
        <f t="shared" si="122"/>
        <v>-115.92535035331629</v>
      </c>
      <c r="S291" s="346">
        <f t="shared" si="123"/>
        <v>64.07464964668371</v>
      </c>
      <c r="U291" s="319">
        <f t="shared" si="129"/>
        <v>1000000000</v>
      </c>
      <c r="V291" s="319">
        <f t="shared" si="130"/>
        <v>371583452.25</v>
      </c>
      <c r="X291" s="345">
        <f t="shared" si="124"/>
        <v>25.381126571921055</v>
      </c>
      <c r="Y291" s="346">
        <f t="shared" si="125"/>
        <v>-26.11967135436349</v>
      </c>
      <c r="AA291" s="345">
        <f t="shared" si="126"/>
        <v>46.727747715432685</v>
      </c>
      <c r="AB291" s="346">
        <f t="shared" si="127"/>
        <v>-89.805678998952814</v>
      </c>
      <c r="AD291">
        <f t="shared" si="131"/>
        <v>0</v>
      </c>
      <c r="AE291">
        <f t="shared" si="134"/>
        <v>0</v>
      </c>
    </row>
    <row r="292" spans="1:31" x14ac:dyDescent="0.25">
      <c r="A292" s="347">
        <v>19387.25</v>
      </c>
      <c r="B292" s="364">
        <f t="shared" si="128"/>
        <v>19.387250000000002</v>
      </c>
      <c r="C292" s="337">
        <f t="shared" si="109"/>
        <v>4.4981446601946633</v>
      </c>
      <c r="D292" s="338">
        <f t="shared" si="110"/>
        <v>1.3466092233510296</v>
      </c>
      <c r="E292" s="338">
        <f t="shared" si="111"/>
        <v>1.0004272596460109</v>
      </c>
      <c r="F292" s="339">
        <f t="shared" si="112"/>
        <v>2.922695932811031E-2</v>
      </c>
      <c r="G292" s="338">
        <f t="shared" si="113"/>
        <v>1</v>
      </c>
      <c r="H292" s="339">
        <f t="shared" si="114"/>
        <v>0</v>
      </c>
      <c r="I292" s="337">
        <f t="shared" si="115"/>
        <v>14036.225425791077</v>
      </c>
      <c r="J292" s="340">
        <f t="shared" si="116"/>
        <v>1.5707250825700063</v>
      </c>
      <c r="K292" s="348">
        <f t="shared" si="132"/>
        <v>3.4376329353605781</v>
      </c>
      <c r="L292" s="349">
        <f t="shared" si="133"/>
        <v>1.2756311984875908</v>
      </c>
      <c r="M292" s="337">
        <f t="shared" si="117"/>
        <v>1.0129513112703712</v>
      </c>
      <c r="N292" s="340">
        <f t="shared" si="118"/>
        <v>0.16008159473859213</v>
      </c>
      <c r="O292" s="341">
        <f t="shared" si="119"/>
        <v>1.0006853980572974</v>
      </c>
      <c r="P292" s="342">
        <f t="shared" si="120"/>
        <v>0.2525712337767006</v>
      </c>
      <c r="Q292" s="343">
        <f t="shared" si="121"/>
        <v>9.8145200003170014</v>
      </c>
      <c r="R292" s="344">
        <f t="shared" si="122"/>
        <v>-116.03134346259465</v>
      </c>
      <c r="S292" s="346">
        <f t="shared" si="123"/>
        <v>63.968656537405352</v>
      </c>
      <c r="U292" s="319">
        <f t="shared" si="129"/>
        <v>1000000000</v>
      </c>
      <c r="V292" s="319">
        <f t="shared" si="130"/>
        <v>375865462.5625</v>
      </c>
      <c r="X292" s="345">
        <f t="shared" si="124"/>
        <v>25.375636323229198</v>
      </c>
      <c r="Y292" s="346">
        <f t="shared" si="125"/>
        <v>-26.07963390409045</v>
      </c>
      <c r="AA292" s="345">
        <f t="shared" si="126"/>
        <v>46.680387299534829</v>
      </c>
      <c r="AB292" s="346">
        <f t="shared" si="127"/>
        <v>-89.951709558504206</v>
      </c>
      <c r="AD292">
        <f t="shared" si="131"/>
        <v>0</v>
      </c>
      <c r="AE292">
        <f t="shared" si="134"/>
        <v>0</v>
      </c>
    </row>
    <row r="293" spans="1:31" x14ac:dyDescent="0.25">
      <c r="A293" s="347">
        <v>19498</v>
      </c>
      <c r="B293" s="364">
        <f t="shared" si="128"/>
        <v>19.498000000000001</v>
      </c>
      <c r="C293" s="337">
        <f t="shared" si="109"/>
        <v>4.5225738467296734</v>
      </c>
      <c r="D293" s="338">
        <f t="shared" si="110"/>
        <v>1.3478407264599794</v>
      </c>
      <c r="E293" s="338">
        <f t="shared" si="111"/>
        <v>1.0004321539875771</v>
      </c>
      <c r="F293" s="339">
        <f t="shared" si="112"/>
        <v>2.9393822958470407E-2</v>
      </c>
      <c r="G293" s="338">
        <f t="shared" si="113"/>
        <v>1</v>
      </c>
      <c r="H293" s="339">
        <f t="shared" si="114"/>
        <v>0</v>
      </c>
      <c r="I293" s="337">
        <f t="shared" si="115"/>
        <v>14116.407605215103</v>
      </c>
      <c r="J293" s="340">
        <f t="shared" si="116"/>
        <v>1.5707254872421716</v>
      </c>
      <c r="K293" s="348">
        <f t="shared" si="132"/>
        <v>3.4556130360184008</v>
      </c>
      <c r="L293" s="349">
        <f t="shared" si="133"/>
        <v>1.2772128213813907</v>
      </c>
      <c r="M293" s="337">
        <f t="shared" si="117"/>
        <v>1.013098743709353</v>
      </c>
      <c r="N293" s="340">
        <f t="shared" si="118"/>
        <v>0.16098038993119837</v>
      </c>
      <c r="O293" s="341">
        <f t="shared" si="119"/>
        <v>1.0006988357496278</v>
      </c>
      <c r="P293" s="342">
        <f t="shared" si="120"/>
        <v>0.25404232948239824</v>
      </c>
      <c r="Q293" s="343">
        <f t="shared" si="121"/>
        <v>9.7619716975111075</v>
      </c>
      <c r="R293" s="344">
        <f t="shared" si="122"/>
        <v>-116.13753042733265</v>
      </c>
      <c r="S293" s="346">
        <f t="shared" si="123"/>
        <v>63.862469572667351</v>
      </c>
      <c r="U293" s="319">
        <f t="shared" si="129"/>
        <v>1000000000</v>
      </c>
      <c r="V293" s="319">
        <f t="shared" si="130"/>
        <v>380172004</v>
      </c>
      <c r="X293" s="345">
        <f t="shared" si="124"/>
        <v>25.370207139247377</v>
      </c>
      <c r="Y293" s="346">
        <f t="shared" si="125"/>
        <v>-26.040533944639915</v>
      </c>
      <c r="AA293" s="345">
        <f t="shared" si="126"/>
        <v>46.633268180710765</v>
      </c>
      <c r="AB293" s="346">
        <f t="shared" si="127"/>
        <v>-90.096996482692717</v>
      </c>
      <c r="AD293">
        <f t="shared" si="131"/>
        <v>0</v>
      </c>
      <c r="AE293">
        <f t="shared" si="134"/>
        <v>0</v>
      </c>
    </row>
    <row r="294" spans="1:31" x14ac:dyDescent="0.25">
      <c r="A294" s="347">
        <v>19611.75</v>
      </c>
      <c r="B294" s="364">
        <f t="shared" si="128"/>
        <v>19.611750000000001</v>
      </c>
      <c r="C294" s="337">
        <f t="shared" si="109"/>
        <v>4.5476718343396403</v>
      </c>
      <c r="D294" s="338">
        <f t="shared" si="110"/>
        <v>1.3490918133892338</v>
      </c>
      <c r="E294" s="338">
        <f t="shared" si="111"/>
        <v>1.0004372099045062</v>
      </c>
      <c r="F294" s="339">
        <f t="shared" si="112"/>
        <v>2.9565204892353782E-2</v>
      </c>
      <c r="G294" s="338">
        <f t="shared" si="113"/>
        <v>1</v>
      </c>
      <c r="H294" s="339">
        <f t="shared" si="114"/>
        <v>0</v>
      </c>
      <c r="I294" s="337">
        <f t="shared" si="115"/>
        <v>14198.761762413718</v>
      </c>
      <c r="J294" s="340">
        <f t="shared" si="116"/>
        <v>1.5707258981182586</v>
      </c>
      <c r="K294" s="348">
        <f t="shared" si="132"/>
        <v>3.4740890866026386</v>
      </c>
      <c r="L294" s="349">
        <f t="shared" si="133"/>
        <v>1.2788202406489695</v>
      </c>
      <c r="M294" s="337">
        <f t="shared" si="117"/>
        <v>1.0132510215203747</v>
      </c>
      <c r="N294" s="340">
        <f t="shared" si="118"/>
        <v>0.16190325867041411</v>
      </c>
      <c r="O294" s="341">
        <f t="shared" si="119"/>
        <v>1.0007128498575915</v>
      </c>
      <c r="P294" s="342">
        <f t="shared" si="120"/>
        <v>0.25555376289001436</v>
      </c>
      <c r="Q294" s="343">
        <f t="shared" si="121"/>
        <v>9.7083107637053185</v>
      </c>
      <c r="R294" s="344">
        <f t="shared" si="122"/>
        <v>-116.24679340740991</v>
      </c>
      <c r="S294" s="346">
        <f t="shared" si="123"/>
        <v>63.753206592590089</v>
      </c>
      <c r="U294" s="319">
        <f t="shared" si="129"/>
        <v>1000000000</v>
      </c>
      <c r="V294" s="319">
        <f t="shared" si="130"/>
        <v>384620738.0625</v>
      </c>
      <c r="X294" s="345">
        <f t="shared" si="124"/>
        <v>25.364692967723954</v>
      </c>
      <c r="Y294" s="346">
        <f t="shared" si="125"/>
        <v>-26.001335629922156</v>
      </c>
      <c r="AA294" s="345">
        <f t="shared" si="126"/>
        <v>46.585121418428386</v>
      </c>
      <c r="AB294" s="346">
        <f t="shared" si="127"/>
        <v>-90.245457777487786</v>
      </c>
      <c r="AD294">
        <f t="shared" si="131"/>
        <v>0</v>
      </c>
      <c r="AE294">
        <f t="shared" si="134"/>
        <v>0</v>
      </c>
    </row>
    <row r="295" spans="1:31" x14ac:dyDescent="0.25">
      <c r="A295" s="347">
        <v>19725.5</v>
      </c>
      <c r="B295" s="364">
        <f t="shared" si="128"/>
        <v>19.7255</v>
      </c>
      <c r="C295" s="337">
        <f t="shared" si="109"/>
        <v>4.5727768619069327</v>
      </c>
      <c r="D295" s="338">
        <f t="shared" si="110"/>
        <v>1.3503291650389793</v>
      </c>
      <c r="E295" s="338">
        <f t="shared" si="111"/>
        <v>1.000442295205747</v>
      </c>
      <c r="F295" s="339">
        <f t="shared" si="112"/>
        <v>2.9736585088983938E-2</v>
      </c>
      <c r="G295" s="338">
        <f t="shared" si="113"/>
        <v>1</v>
      </c>
      <c r="H295" s="339">
        <f t="shared" si="114"/>
        <v>0</v>
      </c>
      <c r="I295" s="337">
        <f t="shared" si="115"/>
        <v>14281.115919614702</v>
      </c>
      <c r="J295" s="340">
        <f t="shared" si="116"/>
        <v>1.5707263042555903</v>
      </c>
      <c r="K295" s="348">
        <f t="shared" si="132"/>
        <v>3.4925740185419603</v>
      </c>
      <c r="L295" s="349">
        <f t="shared" si="133"/>
        <v>1.2804106490112672</v>
      </c>
      <c r="M295" s="337">
        <f t="shared" si="117"/>
        <v>1.0134041620440497</v>
      </c>
      <c r="N295" s="340">
        <f t="shared" si="118"/>
        <v>0.16282584927665583</v>
      </c>
      <c r="O295" s="341">
        <f t="shared" si="119"/>
        <v>1.0007270815466447</v>
      </c>
      <c r="P295" s="342">
        <f t="shared" si="120"/>
        <v>0.25706569386498118</v>
      </c>
      <c r="Q295" s="343">
        <f t="shared" si="121"/>
        <v>9.6549608080198421</v>
      </c>
      <c r="R295" s="344">
        <f t="shared" si="122"/>
        <v>-116.35625646770977</v>
      </c>
      <c r="S295" s="346">
        <f t="shared" si="123"/>
        <v>63.64374353229023</v>
      </c>
      <c r="U295" s="319">
        <f t="shared" si="129"/>
        <v>1000000000</v>
      </c>
      <c r="V295" s="319">
        <f t="shared" si="130"/>
        <v>389095350.25</v>
      </c>
      <c r="X295" s="345">
        <f t="shared" si="124"/>
        <v>25.359240220742201</v>
      </c>
      <c r="Y295" s="346">
        <f t="shared" si="125"/>
        <v>-25.963095760927569</v>
      </c>
      <c r="AA295" s="345">
        <f t="shared" si="126"/>
        <v>46.537224209724656</v>
      </c>
      <c r="AB295" s="346">
        <f t="shared" si="127"/>
        <v>-90.393160706782183</v>
      </c>
      <c r="AD295">
        <f t="shared" si="131"/>
        <v>0</v>
      </c>
      <c r="AE295">
        <f t="shared" si="134"/>
        <v>0</v>
      </c>
    </row>
    <row r="296" spans="1:31" x14ac:dyDescent="0.25">
      <c r="A296" s="347">
        <v>19839.25</v>
      </c>
      <c r="B296" s="364">
        <f t="shared" si="128"/>
        <v>19.83925</v>
      </c>
      <c r="C296" s="337">
        <f t="shared" si="109"/>
        <v>4.597888814114504</v>
      </c>
      <c r="D296" s="338">
        <f t="shared" si="110"/>
        <v>1.3515530026398919</v>
      </c>
      <c r="E296" s="338">
        <f t="shared" si="111"/>
        <v>1.0004474098908507</v>
      </c>
      <c r="F296" s="339">
        <f t="shared" si="112"/>
        <v>2.9907963538320169E-2</v>
      </c>
      <c r="G296" s="338">
        <f t="shared" si="113"/>
        <v>1</v>
      </c>
      <c r="H296" s="339">
        <f t="shared" si="114"/>
        <v>0</v>
      </c>
      <c r="I296" s="337">
        <f t="shared" si="115"/>
        <v>14363.470076818016</v>
      </c>
      <c r="J296" s="340">
        <f t="shared" si="116"/>
        <v>1.5707267057356777</v>
      </c>
      <c r="K296" s="348">
        <f t="shared" si="132"/>
        <v>3.511067691561736</v>
      </c>
      <c r="L296" s="349">
        <f t="shared" si="133"/>
        <v>1.2819843071606598</v>
      </c>
      <c r="M296" s="337">
        <f t="shared" si="117"/>
        <v>1.013558164889331</v>
      </c>
      <c r="N296" s="340">
        <f t="shared" si="118"/>
        <v>0.16374816030578282</v>
      </c>
      <c r="O296" s="341">
        <f t="shared" si="119"/>
        <v>1.0007415331784235</v>
      </c>
      <c r="P296" s="342">
        <f t="shared" si="120"/>
        <v>0.25857812485065473</v>
      </c>
      <c r="Q296" s="343">
        <f t="shared" si="121"/>
        <v>9.6019178934945302</v>
      </c>
      <c r="R296" s="344">
        <f t="shared" si="122"/>
        <v>-116.46591740973955</v>
      </c>
      <c r="S296" s="346">
        <f t="shared" si="123"/>
        <v>63.534082590260454</v>
      </c>
      <c r="U296" s="319">
        <f t="shared" si="129"/>
        <v>1000000000</v>
      </c>
      <c r="V296" s="319">
        <f t="shared" si="130"/>
        <v>393595840.5625</v>
      </c>
      <c r="X296" s="345">
        <f t="shared" si="124"/>
        <v>25.353847441041957</v>
      </c>
      <c r="Y296" s="346">
        <f t="shared" si="125"/>
        <v>-25.925799323010299</v>
      </c>
      <c r="AA296" s="345">
        <f t="shared" si="126"/>
        <v>46.4895740748996</v>
      </c>
      <c r="AB296" s="346">
        <f t="shared" si="127"/>
        <v>-90.540118086729265</v>
      </c>
      <c r="AD296">
        <f t="shared" si="131"/>
        <v>0</v>
      </c>
      <c r="AE296">
        <f t="shared" si="134"/>
        <v>0</v>
      </c>
    </row>
    <row r="297" spans="1:31" x14ac:dyDescent="0.25">
      <c r="A297" s="347">
        <v>19953</v>
      </c>
      <c r="B297" s="364">
        <f t="shared" si="128"/>
        <v>19.952999999999999</v>
      </c>
      <c r="C297" s="337">
        <f t="shared" si="109"/>
        <v>4.6230075781194273</v>
      </c>
      <c r="D297" s="338">
        <f t="shared" si="110"/>
        <v>1.3527635427784108</v>
      </c>
      <c r="E297" s="338">
        <f t="shared" si="111"/>
        <v>1.0004525539593672</v>
      </c>
      <c r="F297" s="339">
        <f t="shared" si="112"/>
        <v>3.0079340230322379E-2</v>
      </c>
      <c r="G297" s="338">
        <f t="shared" si="113"/>
        <v>1</v>
      </c>
      <c r="H297" s="339">
        <f t="shared" si="114"/>
        <v>0</v>
      </c>
      <c r="I297" s="337">
        <f t="shared" si="115"/>
        <v>14445.824234023616</v>
      </c>
      <c r="J297" s="340">
        <f t="shared" si="116"/>
        <v>1.5707271026381715</v>
      </c>
      <c r="K297" s="348">
        <f t="shared" si="132"/>
        <v>3.5295699682616459</v>
      </c>
      <c r="L297" s="349">
        <f t="shared" si="133"/>
        <v>1.2835414706589763</v>
      </c>
      <c r="M297" s="337">
        <f t="shared" si="117"/>
        <v>1.0137130296632082</v>
      </c>
      <c r="N297" s="340">
        <f t="shared" si="118"/>
        <v>0.16467019031643215</v>
      </c>
      <c r="O297" s="341">
        <f t="shared" si="119"/>
        <v>1.0007562071279958</v>
      </c>
      <c r="P297" s="342">
        <f t="shared" si="120"/>
        <v>0.26009105828233509</v>
      </c>
      <c r="Q297" s="343">
        <f t="shared" si="121"/>
        <v>9.5491781546161292</v>
      </c>
      <c r="R297" s="344">
        <f t="shared" si="122"/>
        <v>-116.57577406246132</v>
      </c>
      <c r="S297" s="346">
        <f t="shared" si="123"/>
        <v>63.424225937538679</v>
      </c>
      <c r="U297" s="319">
        <f t="shared" si="129"/>
        <v>1000000000</v>
      </c>
      <c r="V297" s="319">
        <f t="shared" si="130"/>
        <v>398122209</v>
      </c>
      <c r="X297" s="345">
        <f t="shared" si="124"/>
        <v>25.348513209706326</v>
      </c>
      <c r="Y297" s="346">
        <f t="shared" si="125"/>
        <v>-25.889431595535754</v>
      </c>
      <c r="AA297" s="345">
        <f t="shared" si="126"/>
        <v>46.442168567356823</v>
      </c>
      <c r="AB297" s="346">
        <f t="shared" si="127"/>
        <v>-90.686342466925552</v>
      </c>
      <c r="AD297">
        <f t="shared" si="131"/>
        <v>0</v>
      </c>
      <c r="AE297">
        <f t="shared" si="134"/>
        <v>0</v>
      </c>
    </row>
    <row r="298" spans="1:31" x14ac:dyDescent="0.25">
      <c r="A298" s="347">
        <v>20069</v>
      </c>
      <c r="B298" s="364">
        <f t="shared" si="128"/>
        <v>20.068999999999999</v>
      </c>
      <c r="C298" s="337">
        <f t="shared" si="109"/>
        <v>4.648630097565202</v>
      </c>
      <c r="D298" s="338">
        <f t="shared" si="110"/>
        <v>1.3539845528749417</v>
      </c>
      <c r="E298" s="338">
        <f t="shared" si="111"/>
        <v>1.0004578300391962</v>
      </c>
      <c r="F298" s="339">
        <f t="shared" si="112"/>
        <v>3.0254104970731641E-2</v>
      </c>
      <c r="G298" s="338">
        <f t="shared" si="113"/>
        <v>1</v>
      </c>
      <c r="H298" s="339">
        <f t="shared" si="114"/>
        <v>0</v>
      </c>
      <c r="I298" s="337">
        <f t="shared" si="115"/>
        <v>14529.807374560876</v>
      </c>
      <c r="J298" s="340">
        <f t="shared" si="116"/>
        <v>1.5707275027578664</v>
      </c>
      <c r="K298" s="348">
        <f t="shared" si="132"/>
        <v>3.548446945181075</v>
      </c>
      <c r="L298" s="349">
        <f t="shared" si="133"/>
        <v>1.2851127076253557</v>
      </c>
      <c r="M298" s="337">
        <f t="shared" si="117"/>
        <v>1.0138718449578106</v>
      </c>
      <c r="N298" s="340">
        <f t="shared" si="118"/>
        <v>0.16561016738068024</v>
      </c>
      <c r="O298" s="341">
        <f t="shared" si="119"/>
        <v>1.0007714027651586</v>
      </c>
      <c r="P298" s="342">
        <f t="shared" si="120"/>
        <v>0.26163443783796292</v>
      </c>
      <c r="Q298" s="343">
        <f t="shared" si="121"/>
        <v>9.4957035078270486</v>
      </c>
      <c r="R298" s="344">
        <f t="shared" si="122"/>
        <v>-116.6880030375566</v>
      </c>
      <c r="S298" s="346">
        <f t="shared" si="123"/>
        <v>63.311996962443402</v>
      </c>
      <c r="U298" s="319">
        <f t="shared" si="129"/>
        <v>1000000000</v>
      </c>
      <c r="V298" s="319">
        <f t="shared" si="130"/>
        <v>402764761</v>
      </c>
      <c r="X298" s="345">
        <f t="shared" si="124"/>
        <v>25.34313233085129</v>
      </c>
      <c r="Y298" s="346">
        <f t="shared" si="125"/>
        <v>-25.853285992496311</v>
      </c>
      <c r="AA298" s="345">
        <f t="shared" si="126"/>
        <v>46.394074799422782</v>
      </c>
      <c r="AB298" s="346">
        <f t="shared" si="127"/>
        <v>-90.834717045060273</v>
      </c>
      <c r="AD298">
        <f t="shared" si="131"/>
        <v>0</v>
      </c>
      <c r="AE298">
        <f t="shared" si="134"/>
        <v>0</v>
      </c>
    </row>
    <row r="299" spans="1:31" x14ac:dyDescent="0.25">
      <c r="A299" s="347">
        <v>20185</v>
      </c>
      <c r="B299" s="364">
        <f t="shared" si="128"/>
        <v>20.184999999999999</v>
      </c>
      <c r="C299" s="337">
        <f t="shared" si="109"/>
        <v>4.6742594715073835</v>
      </c>
      <c r="D299" s="338">
        <f t="shared" si="110"/>
        <v>1.3551921749449276</v>
      </c>
      <c r="E299" s="338">
        <f t="shared" si="111"/>
        <v>1.0004631366754</v>
      </c>
      <c r="F299" s="339">
        <f t="shared" si="112"/>
        <v>3.0428867862511439E-2</v>
      </c>
      <c r="G299" s="338">
        <f t="shared" si="113"/>
        <v>1</v>
      </c>
      <c r="H299" s="339">
        <f t="shared" si="114"/>
        <v>0</v>
      </c>
      <c r="I299" s="337">
        <f t="shared" si="115"/>
        <v>14613.790515100436</v>
      </c>
      <c r="J299" s="340">
        <f t="shared" si="116"/>
        <v>1.5707278982787121</v>
      </c>
      <c r="K299" s="348">
        <f t="shared" si="132"/>
        <v>3.5673325897297241</v>
      </c>
      <c r="L299" s="349">
        <f t="shared" si="133"/>
        <v>1.2866673119752463</v>
      </c>
      <c r="M299" s="337">
        <f t="shared" si="117"/>
        <v>1.0140315557847961</v>
      </c>
      <c r="N299" s="340">
        <f t="shared" si="118"/>
        <v>0.16654984918060931</v>
      </c>
      <c r="O299" s="341">
        <f t="shared" si="119"/>
        <v>1.000786834633473</v>
      </c>
      <c r="P299" s="342">
        <f t="shared" si="120"/>
        <v>0.26317834500263454</v>
      </c>
      <c r="Q299" s="343">
        <f t="shared" si="121"/>
        <v>9.4425362492755429</v>
      </c>
      <c r="R299" s="344">
        <f t="shared" si="122"/>
        <v>-116.80043106875824</v>
      </c>
      <c r="S299" s="346">
        <f t="shared" si="123"/>
        <v>63.199568931241757</v>
      </c>
      <c r="U299" s="319">
        <f t="shared" si="129"/>
        <v>1000000000</v>
      </c>
      <c r="V299" s="319">
        <f t="shared" si="130"/>
        <v>407434225</v>
      </c>
      <c r="X299" s="345">
        <f t="shared" si="124"/>
        <v>25.337809475821722</v>
      </c>
      <c r="Y299" s="346">
        <f t="shared" si="125"/>
        <v>-25.81807618729102</v>
      </c>
      <c r="AA299" s="345">
        <f t="shared" si="126"/>
        <v>46.346230395900854</v>
      </c>
      <c r="AB299" s="346">
        <f t="shared" si="127"/>
        <v>-90.982354881467231</v>
      </c>
      <c r="AD299">
        <f t="shared" si="131"/>
        <v>0</v>
      </c>
      <c r="AE299">
        <f t="shared" si="134"/>
        <v>0</v>
      </c>
    </row>
    <row r="300" spans="1:31" x14ac:dyDescent="0.25">
      <c r="A300" s="347">
        <v>20301</v>
      </c>
      <c r="B300" s="364">
        <f t="shared" si="128"/>
        <v>20.300999999999998</v>
      </c>
      <c r="C300" s="337">
        <f t="shared" si="109"/>
        <v>4.6998955878095767</v>
      </c>
      <c r="D300" s="338">
        <f t="shared" si="110"/>
        <v>1.3563866245165261</v>
      </c>
      <c r="E300" s="338">
        <f t="shared" si="111"/>
        <v>1.0004684738674927</v>
      </c>
      <c r="F300" s="339">
        <f t="shared" si="112"/>
        <v>3.060362889501602E-2</v>
      </c>
      <c r="G300" s="338">
        <f t="shared" si="113"/>
        <v>1</v>
      </c>
      <c r="H300" s="339">
        <f t="shared" si="114"/>
        <v>0</v>
      </c>
      <c r="I300" s="337">
        <f t="shared" si="115"/>
        <v>14697.773655642255</v>
      </c>
      <c r="J300" s="340">
        <f t="shared" si="116"/>
        <v>1.5707282892795422</v>
      </c>
      <c r="K300" s="348">
        <f t="shared" si="132"/>
        <v>3.5862267649722246</v>
      </c>
      <c r="L300" s="349">
        <f t="shared" si="133"/>
        <v>1.2882055390231413</v>
      </c>
      <c r="M300" s="337">
        <f t="shared" si="117"/>
        <v>1.0141921617210907</v>
      </c>
      <c r="N300" s="340">
        <f t="shared" si="118"/>
        <v>0.16748923419662248</v>
      </c>
      <c r="O300" s="341">
        <f t="shared" si="119"/>
        <v>1.000802505294865</v>
      </c>
      <c r="P300" s="342">
        <f t="shared" si="120"/>
        <v>0.26472278233278917</v>
      </c>
      <c r="Q300" s="343">
        <f t="shared" si="121"/>
        <v>9.3896724982115316</v>
      </c>
      <c r="R300" s="344">
        <f t="shared" si="122"/>
        <v>-116.91305594101068</v>
      </c>
      <c r="S300" s="346">
        <f t="shared" si="123"/>
        <v>63.086944058989317</v>
      </c>
      <c r="U300" s="319">
        <f t="shared" si="129"/>
        <v>1000000000</v>
      </c>
      <c r="V300" s="319">
        <f t="shared" si="130"/>
        <v>412130601</v>
      </c>
      <c r="X300" s="345">
        <f t="shared" si="124"/>
        <v>25.332543255552295</v>
      </c>
      <c r="Y300" s="346">
        <f t="shared" si="125"/>
        <v>-25.783787468927333</v>
      </c>
      <c r="AA300" s="345">
        <f t="shared" si="126"/>
        <v>46.298632865106264</v>
      </c>
      <c r="AB300" s="346">
        <f t="shared" si="127"/>
        <v>-91.129268472083368</v>
      </c>
      <c r="AD300">
        <f t="shared" si="131"/>
        <v>0</v>
      </c>
      <c r="AE300">
        <f t="shared" si="134"/>
        <v>0</v>
      </c>
    </row>
    <row r="301" spans="1:31" x14ac:dyDescent="0.25">
      <c r="A301" s="347">
        <v>20417</v>
      </c>
      <c r="B301" s="364">
        <f t="shared" si="128"/>
        <v>20.417000000000002</v>
      </c>
      <c r="C301" s="337">
        <f t="shared" si="109"/>
        <v>4.7255383367395707</v>
      </c>
      <c r="D301" s="338">
        <f t="shared" si="110"/>
        <v>1.3575681125919097</v>
      </c>
      <c r="E301" s="338">
        <f t="shared" si="111"/>
        <v>1.0004738416149852</v>
      </c>
      <c r="F301" s="339">
        <f t="shared" si="112"/>
        <v>3.0778388057600338E-2</v>
      </c>
      <c r="G301" s="338">
        <f t="shared" si="113"/>
        <v>1</v>
      </c>
      <c r="H301" s="339">
        <f t="shared" si="114"/>
        <v>0</v>
      </c>
      <c r="I301" s="337">
        <f t="shared" si="115"/>
        <v>14781.756796186295</v>
      </c>
      <c r="J301" s="340">
        <f t="shared" si="116"/>
        <v>1.5707286758373988</v>
      </c>
      <c r="K301" s="348">
        <f t="shared" si="132"/>
        <v>3.6051293367826638</v>
      </c>
      <c r="L301" s="349">
        <f t="shared" si="133"/>
        <v>1.2897276390424763</v>
      </c>
      <c r="M301" s="337">
        <f t="shared" si="117"/>
        <v>1.0143536623415175</v>
      </c>
      <c r="N301" s="340">
        <f t="shared" si="118"/>
        <v>0.16842832091217783</v>
      </c>
      <c r="O301" s="341">
        <f t="shared" si="119"/>
        <v>1.0008184173257588</v>
      </c>
      <c r="P301" s="342">
        <f t="shared" si="120"/>
        <v>0.2662677523759055</v>
      </c>
      <c r="Q301" s="343">
        <f t="shared" si="121"/>
        <v>9.3371084440164296</v>
      </c>
      <c r="R301" s="344">
        <f t="shared" si="122"/>
        <v>-117.02587546832868</v>
      </c>
      <c r="S301" s="346">
        <f t="shared" si="123"/>
        <v>62.974124531671322</v>
      </c>
      <c r="U301" s="319">
        <f t="shared" si="129"/>
        <v>1000000000</v>
      </c>
      <c r="V301" s="319">
        <f t="shared" si="130"/>
        <v>416853889</v>
      </c>
      <c r="X301" s="345">
        <f t="shared" si="124"/>
        <v>25.32733231755585</v>
      </c>
      <c r="Y301" s="346">
        <f t="shared" si="125"/>
        <v>-25.750405415316347</v>
      </c>
      <c r="AA301" s="345">
        <f t="shared" si="126"/>
        <v>46.251279748907606</v>
      </c>
      <c r="AB301" s="346">
        <f t="shared" si="127"/>
        <v>-91.275470053012342</v>
      </c>
      <c r="AD301">
        <f t="shared" si="131"/>
        <v>0</v>
      </c>
      <c r="AE301">
        <f t="shared" si="134"/>
        <v>0</v>
      </c>
    </row>
    <row r="302" spans="1:31" x14ac:dyDescent="0.25">
      <c r="A302" s="347">
        <v>20536</v>
      </c>
      <c r="B302" s="364">
        <f t="shared" si="128"/>
        <v>20.536000000000001</v>
      </c>
      <c r="C302" s="337">
        <f t="shared" si="109"/>
        <v>4.7518510398171934</v>
      </c>
      <c r="D302" s="338">
        <f t="shared" si="110"/>
        <v>1.3587669042430235</v>
      </c>
      <c r="E302" s="338">
        <f t="shared" si="111"/>
        <v>1.0004793799339751</v>
      </c>
      <c r="F302" s="339">
        <f t="shared" si="112"/>
        <v>3.0957664899457935E-2</v>
      </c>
      <c r="G302" s="338">
        <f t="shared" si="113"/>
        <v>1</v>
      </c>
      <c r="H302" s="339">
        <f t="shared" si="114"/>
        <v>0</v>
      </c>
      <c r="I302" s="337">
        <f t="shared" si="115"/>
        <v>14867.911914505295</v>
      </c>
      <c r="J302" s="340">
        <f t="shared" si="116"/>
        <v>1.5707290678545354</v>
      </c>
      <c r="K302" s="348">
        <f t="shared" si="132"/>
        <v>3.6245293556276015</v>
      </c>
      <c r="L302" s="349">
        <f t="shared" si="133"/>
        <v>1.2912726027953074</v>
      </c>
      <c r="M302" s="337">
        <f t="shared" si="117"/>
        <v>1.0145202689452035</v>
      </c>
      <c r="N302" s="340">
        <f t="shared" si="118"/>
        <v>0.16939138279468863</v>
      </c>
      <c r="O302" s="341">
        <f t="shared" si="119"/>
        <v>1.0008349944039856</v>
      </c>
      <c r="P302" s="342">
        <f t="shared" si="120"/>
        <v>0.26785323475798589</v>
      </c>
      <c r="Q302" s="343">
        <f t="shared" si="121"/>
        <v>9.2834924762444011</v>
      </c>
      <c r="R302" s="344">
        <f t="shared" si="122"/>
        <v>-117.14181275283549</v>
      </c>
      <c r="S302" s="346">
        <f t="shared" si="123"/>
        <v>62.858187247164508</v>
      </c>
      <c r="U302" s="319">
        <f t="shared" si="129"/>
        <v>1000000000</v>
      </c>
      <c r="V302" s="319">
        <f t="shared" si="130"/>
        <v>421727296</v>
      </c>
      <c r="X302" s="345">
        <f t="shared" si="124"/>
        <v>25.322042679120674</v>
      </c>
      <c r="Y302" s="346">
        <f t="shared" si="125"/>
        <v>-25.717087354945583</v>
      </c>
      <c r="AA302" s="345">
        <f t="shared" si="126"/>
        <v>46.202953419570747</v>
      </c>
      <c r="AB302" s="346">
        <f t="shared" si="127"/>
        <v>-91.424725397889901</v>
      </c>
      <c r="AD302">
        <f t="shared" si="131"/>
        <v>0</v>
      </c>
      <c r="AE302">
        <f t="shared" si="134"/>
        <v>0</v>
      </c>
    </row>
    <row r="303" spans="1:31" x14ac:dyDescent="0.25">
      <c r="A303" s="347">
        <v>20655</v>
      </c>
      <c r="B303" s="364">
        <f t="shared" si="128"/>
        <v>20.655000000000001</v>
      </c>
      <c r="C303" s="337">
        <f t="shared" si="109"/>
        <v>4.778170496569552</v>
      </c>
      <c r="D303" s="338">
        <f t="shared" si="110"/>
        <v>1.3599524910443823</v>
      </c>
      <c r="E303" s="338">
        <f t="shared" si="111"/>
        <v>1.0004849504082016</v>
      </c>
      <c r="F303" s="339">
        <f t="shared" si="112"/>
        <v>3.1136939750731476E-2</v>
      </c>
      <c r="G303" s="338">
        <f t="shared" si="113"/>
        <v>1</v>
      </c>
      <c r="H303" s="339">
        <f t="shared" si="114"/>
        <v>0</v>
      </c>
      <c r="I303" s="337">
        <f t="shared" si="115"/>
        <v>14954.067032826553</v>
      </c>
      <c r="J303" s="340">
        <f t="shared" si="116"/>
        <v>1.5707294553546021</v>
      </c>
      <c r="K303" s="348">
        <f t="shared" si="132"/>
        <v>3.6439379337777598</v>
      </c>
      <c r="L303" s="349">
        <f t="shared" si="133"/>
        <v>1.2928011123923075</v>
      </c>
      <c r="M303" s="337">
        <f t="shared" si="117"/>
        <v>1.014687816194948</v>
      </c>
      <c r="N303" s="340">
        <f t="shared" si="118"/>
        <v>0.17035412752454082</v>
      </c>
      <c r="O303" s="341">
        <f t="shared" si="119"/>
        <v>1.0008518310375263</v>
      </c>
      <c r="P303" s="342">
        <f t="shared" si="120"/>
        <v>0.2694392831654655</v>
      </c>
      <c r="Q303" s="343">
        <f t="shared" si="121"/>
        <v>9.2301840024323578</v>
      </c>
      <c r="R303" s="344">
        <f t="shared" si="122"/>
        <v>-117.25795032346771</v>
      </c>
      <c r="S303" s="346">
        <f t="shared" si="123"/>
        <v>62.742049676532289</v>
      </c>
      <c r="U303" s="319">
        <f t="shared" si="129"/>
        <v>1000000000</v>
      </c>
      <c r="V303" s="319">
        <f t="shared" si="130"/>
        <v>426629025</v>
      </c>
      <c r="X303" s="345">
        <f t="shared" si="124"/>
        <v>25.316808449157911</v>
      </c>
      <c r="Y303" s="346">
        <f t="shared" si="125"/>
        <v>-25.684693617942592</v>
      </c>
      <c r="AA303" s="345">
        <f t="shared" si="126"/>
        <v>46.154879175721469</v>
      </c>
      <c r="AB303" s="346">
        <f t="shared" si="127"/>
        <v>-91.573256705525111</v>
      </c>
      <c r="AD303">
        <f t="shared" si="131"/>
        <v>0</v>
      </c>
      <c r="AE303">
        <f t="shared" si="134"/>
        <v>0</v>
      </c>
    </row>
    <row r="304" spans="1:31" x14ac:dyDescent="0.25">
      <c r="A304" s="347">
        <v>20774</v>
      </c>
      <c r="B304" s="364">
        <f t="shared" si="128"/>
        <v>20.774000000000001</v>
      </c>
      <c r="C304" s="337">
        <f t="shared" si="109"/>
        <v>4.8044965960049666</v>
      </c>
      <c r="D304" s="338">
        <f t="shared" si="110"/>
        <v>1.3611250867021145</v>
      </c>
      <c r="E304" s="338">
        <f t="shared" si="111"/>
        <v>1.000490553037128</v>
      </c>
      <c r="F304" s="339">
        <f t="shared" si="112"/>
        <v>3.1316212599930719E-2</v>
      </c>
      <c r="G304" s="338">
        <f t="shared" si="113"/>
        <v>1</v>
      </c>
      <c r="H304" s="339">
        <f t="shared" si="114"/>
        <v>0</v>
      </c>
      <c r="I304" s="337">
        <f t="shared" si="115"/>
        <v>15040.222151150034</v>
      </c>
      <c r="J304" s="340">
        <f t="shared" si="116"/>
        <v>1.5707298384152246</v>
      </c>
      <c r="K304" s="348">
        <f t="shared" si="132"/>
        <v>3.6633549351906773</v>
      </c>
      <c r="L304" s="349">
        <f t="shared" si="133"/>
        <v>1.2943134222714245</v>
      </c>
      <c r="M304" s="337">
        <f t="shared" si="117"/>
        <v>1.0148563036248637</v>
      </c>
      <c r="N304" s="340">
        <f t="shared" si="118"/>
        <v>0.17131655347456612</v>
      </c>
      <c r="O304" s="341">
        <f t="shared" si="119"/>
        <v>1.000868930055429</v>
      </c>
      <c r="P304" s="342">
        <f t="shared" si="120"/>
        <v>0.27102590031881352</v>
      </c>
      <c r="Q304" s="343">
        <f t="shared" si="121"/>
        <v>9.1771791278048571</v>
      </c>
      <c r="R304" s="344">
        <f t="shared" si="122"/>
        <v>-117.37428591421151</v>
      </c>
      <c r="S304" s="346">
        <f t="shared" si="123"/>
        <v>62.625714085788488</v>
      </c>
      <c r="U304" s="319">
        <f t="shared" si="129"/>
        <v>1000000000</v>
      </c>
      <c r="V304" s="319">
        <f t="shared" si="130"/>
        <v>431559076</v>
      </c>
      <c r="X304" s="345">
        <f t="shared" si="124"/>
        <v>25.311628280212908</v>
      </c>
      <c r="Y304" s="346">
        <f t="shared" si="125"/>
        <v>-25.653209537304566</v>
      </c>
      <c r="AA304" s="345">
        <f t="shared" si="126"/>
        <v>46.107054470038975</v>
      </c>
      <c r="AB304" s="346">
        <f t="shared" si="127"/>
        <v>-91.72107637690695</v>
      </c>
      <c r="AD304">
        <f t="shared" si="131"/>
        <v>0</v>
      </c>
      <c r="AE304">
        <f t="shared" si="134"/>
        <v>0</v>
      </c>
    </row>
    <row r="305" spans="1:31" x14ac:dyDescent="0.25">
      <c r="A305" s="347">
        <v>20893</v>
      </c>
      <c r="B305" s="364">
        <f t="shared" si="128"/>
        <v>20.893000000000001</v>
      </c>
      <c r="C305" s="337">
        <f t="shared" si="109"/>
        <v>4.8308292295234914</v>
      </c>
      <c r="D305" s="338">
        <f t="shared" si="110"/>
        <v>1.3622849004074098</v>
      </c>
      <c r="E305" s="338">
        <f t="shared" si="111"/>
        <v>1.0004961878202139</v>
      </c>
      <c r="F305" s="339">
        <f t="shared" si="112"/>
        <v>3.1495483435566171E-2</v>
      </c>
      <c r="G305" s="338">
        <f t="shared" si="113"/>
        <v>1</v>
      </c>
      <c r="H305" s="339">
        <f t="shared" si="114"/>
        <v>0</v>
      </c>
      <c r="I305" s="337">
        <f t="shared" si="115"/>
        <v>15126.377269475694</v>
      </c>
      <c r="J305" s="340">
        <f t="shared" si="116"/>
        <v>1.5707302171122599</v>
      </c>
      <c r="K305" s="348">
        <f t="shared" si="132"/>
        <v>3.6827802266345362</v>
      </c>
      <c r="L305" s="349">
        <f t="shared" si="133"/>
        <v>1.2958097818022511</v>
      </c>
      <c r="M305" s="337">
        <f t="shared" si="117"/>
        <v>1.0150257307667605</v>
      </c>
      <c r="N305" s="340">
        <f t="shared" si="118"/>
        <v>0.17227865902103581</v>
      </c>
      <c r="O305" s="341">
        <f t="shared" si="119"/>
        <v>1.0008862943027657</v>
      </c>
      <c r="P305" s="342">
        <f t="shared" si="120"/>
        <v>0.27261308892829139</v>
      </c>
      <c r="Q305" s="343">
        <f t="shared" si="121"/>
        <v>9.1244740280797547</v>
      </c>
      <c r="R305" s="344">
        <f t="shared" si="122"/>
        <v>-117.49081729027228</v>
      </c>
      <c r="S305" s="346">
        <f t="shared" si="123"/>
        <v>62.509182709727725</v>
      </c>
      <c r="U305" s="319">
        <f t="shared" si="129"/>
        <v>1000000000</v>
      </c>
      <c r="V305" s="319">
        <f t="shared" si="130"/>
        <v>436517449</v>
      </c>
      <c r="X305" s="345">
        <f t="shared" si="124"/>
        <v>25.306500860549434</v>
      </c>
      <c r="Y305" s="346">
        <f t="shared" si="125"/>
        <v>-25.62262073651975</v>
      </c>
      <c r="AA305" s="345">
        <f t="shared" si="126"/>
        <v>46.059476789977353</v>
      </c>
      <c r="AB305" s="346">
        <f t="shared" si="127"/>
        <v>-91.868196553752526</v>
      </c>
      <c r="AD305">
        <f t="shared" si="131"/>
        <v>0</v>
      </c>
      <c r="AE305">
        <f t="shared" si="134"/>
        <v>0</v>
      </c>
    </row>
    <row r="306" spans="1:31" x14ac:dyDescent="0.25">
      <c r="A306" s="347">
        <v>21014.75</v>
      </c>
      <c r="B306" s="364">
        <f t="shared" si="128"/>
        <v>21.014749999999999</v>
      </c>
      <c r="C306" s="337">
        <f t="shared" si="109"/>
        <v>4.8577770417944004</v>
      </c>
      <c r="D306" s="338">
        <f t="shared" si="110"/>
        <v>1.363458501646112</v>
      </c>
      <c r="E306" s="338">
        <f t="shared" si="111"/>
        <v>1.0005019860956412</v>
      </c>
      <c r="F306" s="339">
        <f t="shared" si="112"/>
        <v>3.1678894988749234E-2</v>
      </c>
      <c r="G306" s="338">
        <f t="shared" si="113"/>
        <v>1</v>
      </c>
      <c r="H306" s="339">
        <f t="shared" si="114"/>
        <v>0</v>
      </c>
      <c r="I306" s="337">
        <f t="shared" si="115"/>
        <v>15214.523367428746</v>
      </c>
      <c r="J306" s="340">
        <f t="shared" si="116"/>
        <v>1.5707306001219954</v>
      </c>
      <c r="K306" s="348">
        <f t="shared" si="132"/>
        <v>3.7026628654071212</v>
      </c>
      <c r="L306" s="349">
        <f t="shared" si="133"/>
        <v>1.2973244684420902</v>
      </c>
      <c r="M306" s="337">
        <f t="shared" si="117"/>
        <v>1.0152000452880319</v>
      </c>
      <c r="N306" s="340">
        <f t="shared" si="118"/>
        <v>0.1732626648137375</v>
      </c>
      <c r="O306" s="341">
        <f t="shared" si="119"/>
        <v>1.0009043373027893</v>
      </c>
      <c r="P306" s="342">
        <f t="shared" si="120"/>
        <v>0.27423755049949428</v>
      </c>
      <c r="Q306" s="343">
        <f t="shared" si="121"/>
        <v>9.0708572834753145</v>
      </c>
      <c r="R306" s="344">
        <f t="shared" si="122"/>
        <v>-117.61024194434947</v>
      </c>
      <c r="S306" s="346">
        <f t="shared" si="123"/>
        <v>62.389758055650532</v>
      </c>
      <c r="U306" s="319">
        <f t="shared" si="129"/>
        <v>1000000000</v>
      </c>
      <c r="V306" s="319">
        <f t="shared" si="130"/>
        <v>441619717.5625</v>
      </c>
      <c r="X306" s="345">
        <f t="shared" si="124"/>
        <v>25.301308210241203</v>
      </c>
      <c r="Y306" s="346">
        <f t="shared" si="125"/>
        <v>-25.592236908516981</v>
      </c>
      <c r="AA306" s="345">
        <f t="shared" si="126"/>
        <v>46.011052695681144</v>
      </c>
      <c r="AB306" s="346">
        <f t="shared" si="127"/>
        <v>-92.018005035832459</v>
      </c>
      <c r="AD306">
        <f t="shared" si="131"/>
        <v>0</v>
      </c>
      <c r="AE306">
        <f t="shared" si="134"/>
        <v>0</v>
      </c>
    </row>
    <row r="307" spans="1:31" x14ac:dyDescent="0.25">
      <c r="A307" s="347">
        <v>21136.5</v>
      </c>
      <c r="B307" s="364">
        <f t="shared" si="128"/>
        <v>21.136500000000002</v>
      </c>
      <c r="C307" s="337">
        <f t="shared" si="109"/>
        <v>4.8847314710469858</v>
      </c>
      <c r="D307" s="338">
        <f t="shared" si="110"/>
        <v>1.3646191523743592</v>
      </c>
      <c r="E307" s="338">
        <f t="shared" si="111"/>
        <v>1.0005078180273625</v>
      </c>
      <c r="F307" s="339">
        <f t="shared" si="112"/>
        <v>3.1862304409900594E-2</v>
      </c>
      <c r="G307" s="338">
        <f t="shared" si="113"/>
        <v>1</v>
      </c>
      <c r="H307" s="339">
        <f t="shared" si="114"/>
        <v>0</v>
      </c>
      <c r="I307" s="337">
        <f t="shared" si="115"/>
        <v>15302.669465384004</v>
      </c>
      <c r="J307" s="340">
        <f t="shared" si="116"/>
        <v>1.5707309787193224</v>
      </c>
      <c r="K307" s="348">
        <f t="shared" si="132"/>
        <v>3.7225539083525212</v>
      </c>
      <c r="L307" s="349">
        <f t="shared" si="133"/>
        <v>1.2988229713781776</v>
      </c>
      <c r="M307" s="337">
        <f t="shared" si="117"/>
        <v>1.0153753424563485</v>
      </c>
      <c r="N307" s="340">
        <f t="shared" si="118"/>
        <v>0.17424633179573115</v>
      </c>
      <c r="O307" s="341">
        <f t="shared" si="119"/>
        <v>1.0009226640087032</v>
      </c>
      <c r="P307" s="342">
        <f t="shared" si="120"/>
        <v>0.27586261595032302</v>
      </c>
      <c r="Q307" s="343">
        <f t="shared" si="121"/>
        <v>9.0175464490746684</v>
      </c>
      <c r="R307" s="344">
        <f t="shared" si="122"/>
        <v>-117.72986690343137</v>
      </c>
      <c r="S307" s="346">
        <f t="shared" si="123"/>
        <v>62.270133096568628</v>
      </c>
      <c r="U307" s="319">
        <f t="shared" si="129"/>
        <v>1000000000</v>
      </c>
      <c r="V307" s="319">
        <f t="shared" si="130"/>
        <v>446751632.25</v>
      </c>
      <c r="X307" s="345">
        <f t="shared" si="124"/>
        <v>25.296168107275395</v>
      </c>
      <c r="Y307" s="346">
        <f t="shared" si="125"/>
        <v>-25.562760673201119</v>
      </c>
      <c r="AA307" s="345">
        <f t="shared" si="126"/>
        <v>45.9628819642463</v>
      </c>
      <c r="AB307" s="346">
        <f t="shared" si="127"/>
        <v>-92.167106230230274</v>
      </c>
      <c r="AD307">
        <f t="shared" si="131"/>
        <v>0</v>
      </c>
      <c r="AE307">
        <f t="shared" si="134"/>
        <v>0</v>
      </c>
    </row>
    <row r="308" spans="1:31" x14ac:dyDescent="0.25">
      <c r="A308" s="347">
        <v>21258.25</v>
      </c>
      <c r="B308" s="364">
        <f t="shared" si="128"/>
        <v>21.25825</v>
      </c>
      <c r="C308" s="337">
        <f t="shared" si="109"/>
        <v>4.9116924083430558</v>
      </c>
      <c r="D308" s="338">
        <f t="shared" si="110"/>
        <v>1.3657670627003411</v>
      </c>
      <c r="E308" s="338">
        <f t="shared" si="111"/>
        <v>1.000513683614789</v>
      </c>
      <c r="F308" s="339">
        <f t="shared" si="112"/>
        <v>3.2045711686718222E-2</v>
      </c>
      <c r="G308" s="338">
        <f t="shared" si="113"/>
        <v>1</v>
      </c>
      <c r="H308" s="339">
        <f t="shared" si="114"/>
        <v>0</v>
      </c>
      <c r="I308" s="337">
        <f t="shared" si="115"/>
        <v>15390.815563341432</v>
      </c>
      <c r="J308" s="340">
        <f t="shared" si="116"/>
        <v>1.5707313529800531</v>
      </c>
      <c r="K308" s="348">
        <f t="shared" si="132"/>
        <v>3.74245322146685</v>
      </c>
      <c r="L308" s="349">
        <f t="shared" si="133"/>
        <v>1.3003055419817078</v>
      </c>
      <c r="M308" s="337">
        <f t="shared" si="117"/>
        <v>1.0155516217628584</v>
      </c>
      <c r="N308" s="340">
        <f t="shared" si="118"/>
        <v>0.17522965823936709</v>
      </c>
      <c r="O308" s="341">
        <f t="shared" si="119"/>
        <v>1.0009412775194304</v>
      </c>
      <c r="P308" s="342">
        <f t="shared" si="120"/>
        <v>0.27748828814966209</v>
      </c>
      <c r="Q308" s="343">
        <f t="shared" si="121"/>
        <v>8.964537647540423</v>
      </c>
      <c r="R308" s="344">
        <f t="shared" si="122"/>
        <v>-117.84968987375863</v>
      </c>
      <c r="S308" s="346">
        <f t="shared" si="123"/>
        <v>62.150310126241365</v>
      </c>
      <c r="U308" s="319">
        <f t="shared" si="129"/>
        <v>1000000000</v>
      </c>
      <c r="V308" s="319">
        <f t="shared" si="130"/>
        <v>451913193.0625</v>
      </c>
      <c r="X308" s="345">
        <f t="shared" si="124"/>
        <v>25.291079255846093</v>
      </c>
      <c r="Y308" s="346">
        <f t="shared" si="125"/>
        <v>-25.534177533420259</v>
      </c>
      <c r="AA308" s="345">
        <f t="shared" si="126"/>
        <v>45.914962014141352</v>
      </c>
      <c r="AB308" s="346">
        <f t="shared" si="127"/>
        <v>-92.315512340338344</v>
      </c>
      <c r="AD308">
        <f t="shared" si="131"/>
        <v>0</v>
      </c>
      <c r="AE308">
        <f t="shared" si="134"/>
        <v>0</v>
      </c>
    </row>
    <row r="309" spans="1:31" x14ac:dyDescent="0.25">
      <c r="A309" s="347">
        <v>21380</v>
      </c>
      <c r="B309" s="364">
        <f t="shared" si="128"/>
        <v>21.38</v>
      </c>
      <c r="C309" s="337">
        <f t="shared" si="109"/>
        <v>4.9386597470972458</v>
      </c>
      <c r="D309" s="338">
        <f t="shared" si="110"/>
        <v>1.366902438279072</v>
      </c>
      <c r="E309" s="338">
        <f t="shared" si="111"/>
        <v>1.0005195828573288</v>
      </c>
      <c r="F309" s="339">
        <f t="shared" si="112"/>
        <v>3.2229116806900951E-2</v>
      </c>
      <c r="G309" s="338">
        <f t="shared" si="113"/>
        <v>1</v>
      </c>
      <c r="H309" s="339">
        <f t="shared" si="114"/>
        <v>0</v>
      </c>
      <c r="I309" s="337">
        <f t="shared" si="115"/>
        <v>15478.961661300991</v>
      </c>
      <c r="J309" s="340">
        <f t="shared" si="116"/>
        <v>1.5707317229782727</v>
      </c>
      <c r="K309" s="348">
        <f t="shared" si="132"/>
        <v>3.7623606735261017</v>
      </c>
      <c r="L309" s="349">
        <f t="shared" si="133"/>
        <v>1.3017724265871253</v>
      </c>
      <c r="M309" s="337">
        <f t="shared" si="117"/>
        <v>1.0157288826962125</v>
      </c>
      <c r="N309" s="340">
        <f t="shared" si="118"/>
        <v>0.17621264242082596</v>
      </c>
      <c r="O309" s="341">
        <f t="shared" si="119"/>
        <v>1.0009601809514102</v>
      </c>
      <c r="P309" s="342">
        <f t="shared" si="120"/>
        <v>0.27911456995489003</v>
      </c>
      <c r="Q309" s="343">
        <f t="shared" si="121"/>
        <v>8.9118270716210706</v>
      </c>
      <c r="R309" s="344">
        <f t="shared" si="122"/>
        <v>-117.96970859446917</v>
      </c>
      <c r="S309" s="346">
        <f t="shared" si="123"/>
        <v>62.030291405530832</v>
      </c>
      <c r="U309" s="319">
        <f t="shared" si="129"/>
        <v>1000000000</v>
      </c>
      <c r="V309" s="319">
        <f t="shared" si="130"/>
        <v>457104400</v>
      </c>
      <c r="X309" s="345">
        <f t="shared" si="124"/>
        <v>25.286040394631936</v>
      </c>
      <c r="Y309" s="346">
        <f t="shared" si="125"/>
        <v>-25.506473280727587</v>
      </c>
      <c r="AA309" s="345">
        <f t="shared" si="126"/>
        <v>45.867290299436156</v>
      </c>
      <c r="AB309" s="346">
        <f t="shared" si="127"/>
        <v>-92.463235313741578</v>
      </c>
      <c r="AD309">
        <f t="shared" si="131"/>
        <v>0</v>
      </c>
      <c r="AE309">
        <f t="shared" si="134"/>
        <v>0</v>
      </c>
    </row>
    <row r="310" spans="1:31" x14ac:dyDescent="0.25">
      <c r="A310" s="347">
        <v>21504.5</v>
      </c>
      <c r="B310" s="364">
        <f t="shared" si="128"/>
        <v>21.5045</v>
      </c>
      <c r="C310" s="337">
        <f t="shared" si="109"/>
        <v>4.966242715710087</v>
      </c>
      <c r="D310" s="338">
        <f t="shared" si="110"/>
        <v>1.3680507059900895</v>
      </c>
      <c r="E310" s="338">
        <f t="shared" si="111"/>
        <v>1.0005256501509905</v>
      </c>
      <c r="F310" s="339">
        <f t="shared" si="112"/>
        <v>3.2416662304798366E-2</v>
      </c>
      <c r="G310" s="338">
        <f t="shared" si="113"/>
        <v>1</v>
      </c>
      <c r="H310" s="339">
        <f t="shared" si="114"/>
        <v>0</v>
      </c>
      <c r="I310" s="337">
        <f t="shared" si="115"/>
        <v>15569.098738888084</v>
      </c>
      <c r="J310" s="340">
        <f t="shared" si="116"/>
        <v>1.5707320970011585</v>
      </c>
      <c r="K310" s="348">
        <f t="shared" si="132"/>
        <v>3.7827260634495325</v>
      </c>
      <c r="L310" s="349">
        <f t="shared" si="133"/>
        <v>1.3032564741662711</v>
      </c>
      <c r="M310" s="337">
        <f t="shared" si="117"/>
        <v>1.0159111620702101</v>
      </c>
      <c r="N310" s="340">
        <f t="shared" si="118"/>
        <v>0.1772174737927146</v>
      </c>
      <c r="O310" s="341">
        <f t="shared" si="119"/>
        <v>1.0009798144437265</v>
      </c>
      <c r="P310" s="342">
        <f t="shared" si="120"/>
        <v>0.28077821840512895</v>
      </c>
      <c r="Q310" s="343">
        <f t="shared" si="121"/>
        <v>8.8582304183987084</v>
      </c>
      <c r="R310" s="344">
        <f t="shared" si="122"/>
        <v>-118.09263832128073</v>
      </c>
      <c r="S310" s="346">
        <f t="shared" si="123"/>
        <v>61.907361678719269</v>
      </c>
      <c r="U310" s="319">
        <f t="shared" si="129"/>
        <v>1000000000</v>
      </c>
      <c r="V310" s="319">
        <f t="shared" si="130"/>
        <v>462443520.25</v>
      </c>
      <c r="X310" s="345">
        <f t="shared" si="124"/>
        <v>25.280938136790205</v>
      </c>
      <c r="Y310" s="346">
        <f t="shared" si="125"/>
        <v>-25.479037644478936</v>
      </c>
      <c r="AA310" s="345">
        <f t="shared" si="126"/>
        <v>45.818795904055527</v>
      </c>
      <c r="AB310" s="346">
        <f t="shared" si="127"/>
        <v>-92.613600676801809</v>
      </c>
      <c r="AD310">
        <f t="shared" si="131"/>
        <v>0</v>
      </c>
      <c r="AE310">
        <f t="shared" si="134"/>
        <v>0</v>
      </c>
    </row>
    <row r="311" spans="1:31" x14ac:dyDescent="0.25">
      <c r="A311" s="347">
        <v>21629</v>
      </c>
      <c r="B311" s="364">
        <f t="shared" si="128"/>
        <v>21.629000000000001</v>
      </c>
      <c r="C311" s="337">
        <f t="shared" si="109"/>
        <v>4.9938321600665239</v>
      </c>
      <c r="D311" s="338">
        <f t="shared" si="110"/>
        <v>1.3691862875062761</v>
      </c>
      <c r="E311" s="338">
        <f t="shared" si="111"/>
        <v>1.0005317526360273</v>
      </c>
      <c r="F311" s="339">
        <f t="shared" si="112"/>
        <v>3.2604205521521566E-2</v>
      </c>
      <c r="G311" s="338">
        <f t="shared" si="113"/>
        <v>1</v>
      </c>
      <c r="H311" s="339">
        <f t="shared" si="114"/>
        <v>0</v>
      </c>
      <c r="I311" s="337">
        <f t="shared" si="115"/>
        <v>15659.235816477332</v>
      </c>
      <c r="J311" s="340">
        <f t="shared" si="116"/>
        <v>1.5707324667181726</v>
      </c>
      <c r="K311" s="348">
        <f t="shared" si="132"/>
        <v>3.8030996952028882</v>
      </c>
      <c r="L311" s="349">
        <f t="shared" si="133"/>
        <v>1.304724624531298</v>
      </c>
      <c r="M311" s="337">
        <f t="shared" si="117"/>
        <v>1.0160944668269449</v>
      </c>
      <c r="N311" s="340">
        <f t="shared" si="118"/>
        <v>0.17822194363273863</v>
      </c>
      <c r="O311" s="341">
        <f t="shared" si="119"/>
        <v>1.0009997577495142</v>
      </c>
      <c r="P311" s="342">
        <f t="shared" si="120"/>
        <v>0.28244251031708079</v>
      </c>
      <c r="Q311" s="343">
        <f t="shared" si="121"/>
        <v>8.8049377799936774</v>
      </c>
      <c r="R311" s="344">
        <f t="shared" si="122"/>
        <v>-118.21576806332949</v>
      </c>
      <c r="S311" s="346">
        <f t="shared" si="123"/>
        <v>61.784231936670508</v>
      </c>
      <c r="U311" s="319">
        <f t="shared" si="129"/>
        <v>1000000000</v>
      </c>
      <c r="V311" s="319">
        <f t="shared" si="130"/>
        <v>467813641</v>
      </c>
      <c r="X311" s="345">
        <f t="shared" si="124"/>
        <v>25.275885591065268</v>
      </c>
      <c r="Y311" s="346">
        <f t="shared" si="125"/>
        <v>-25.45249189054805</v>
      </c>
      <c r="AA311" s="345">
        <f t="shared" si="126"/>
        <v>45.770555811375431</v>
      </c>
      <c r="AB311" s="346">
        <f t="shared" si="127"/>
        <v>-92.763276172781431</v>
      </c>
      <c r="AD311">
        <f t="shared" si="131"/>
        <v>0</v>
      </c>
      <c r="AE311">
        <f t="shared" si="134"/>
        <v>0</v>
      </c>
    </row>
    <row r="312" spans="1:31" x14ac:dyDescent="0.25">
      <c r="A312" s="347">
        <v>21753.5</v>
      </c>
      <c r="B312" s="364">
        <f t="shared" si="128"/>
        <v>21.753499999999999</v>
      </c>
      <c r="C312" s="337">
        <f t="shared" si="109"/>
        <v>5.0214279734267002</v>
      </c>
      <c r="D312" s="338">
        <f t="shared" si="110"/>
        <v>1.370309389029629</v>
      </c>
      <c r="E312" s="338">
        <f t="shared" si="111"/>
        <v>1.0005378903117954</v>
      </c>
      <c r="F312" s="339">
        <f t="shared" si="112"/>
        <v>3.279174644391971E-2</v>
      </c>
      <c r="G312" s="338">
        <f t="shared" si="113"/>
        <v>1</v>
      </c>
      <c r="H312" s="339">
        <f t="shared" si="114"/>
        <v>0</v>
      </c>
      <c r="I312" s="337">
        <f t="shared" si="115"/>
        <v>15749.372894068696</v>
      </c>
      <c r="J312" s="340">
        <f t="shared" si="116"/>
        <v>1.5707328322032454</v>
      </c>
      <c r="K312" s="348">
        <f t="shared" si="132"/>
        <v>3.8234814370350341</v>
      </c>
      <c r="L312" s="349">
        <f t="shared" si="133"/>
        <v>1.3061771255307146</v>
      </c>
      <c r="M312" s="337">
        <f t="shared" si="117"/>
        <v>1.0162787964115769</v>
      </c>
      <c r="N312" s="340">
        <f t="shared" si="118"/>
        <v>0.17922605011013673</v>
      </c>
      <c r="O312" s="341">
        <f t="shared" si="119"/>
        <v>1.00102001425795</v>
      </c>
      <c r="P312" s="342">
        <f t="shared" si="120"/>
        <v>0.28410744870828758</v>
      </c>
      <c r="Q312" s="343">
        <f t="shared" si="121"/>
        <v>8.751945301892226</v>
      </c>
      <c r="R312" s="344">
        <f t="shared" si="122"/>
        <v>-118.339095507433</v>
      </c>
      <c r="S312" s="346">
        <f t="shared" si="123"/>
        <v>61.660904492566999</v>
      </c>
      <c r="U312" s="319">
        <f t="shared" si="129"/>
        <v>1000000000</v>
      </c>
      <c r="V312" s="319">
        <f t="shared" si="130"/>
        <v>473214762.25</v>
      </c>
      <c r="X312" s="345">
        <f t="shared" si="124"/>
        <v>25.270881513734672</v>
      </c>
      <c r="Y312" s="346">
        <f t="shared" si="125"/>
        <v>-25.426821717602429</v>
      </c>
      <c r="AA312" s="345">
        <f t="shared" si="126"/>
        <v>45.722567410604583</v>
      </c>
      <c r="AB312" s="346">
        <f t="shared" si="127"/>
        <v>-92.912273789830564</v>
      </c>
      <c r="AD312">
        <f t="shared" si="131"/>
        <v>0</v>
      </c>
      <c r="AE312">
        <f t="shared" si="134"/>
        <v>0</v>
      </c>
    </row>
    <row r="313" spans="1:31" x14ac:dyDescent="0.25">
      <c r="A313" s="347">
        <v>21878</v>
      </c>
      <c r="B313" s="364">
        <f t="shared" si="128"/>
        <v>21.878</v>
      </c>
      <c r="C313" s="337">
        <f t="shared" si="109"/>
        <v>5.0490300513599617</v>
      </c>
      <c r="D313" s="338">
        <f t="shared" si="110"/>
        <v>1.3714202123805792</v>
      </c>
      <c r="E313" s="338">
        <f t="shared" si="111"/>
        <v>1.000544063177647</v>
      </c>
      <c r="F313" s="339">
        <f t="shared" si="112"/>
        <v>3.2979285058842907E-2</v>
      </c>
      <c r="G313" s="338">
        <f t="shared" si="113"/>
        <v>1</v>
      </c>
      <c r="H313" s="339">
        <f t="shared" si="114"/>
        <v>0</v>
      </c>
      <c r="I313" s="337">
        <f t="shared" si="115"/>
        <v>15839.509971662139</v>
      </c>
      <c r="J313" s="340">
        <f t="shared" si="116"/>
        <v>1.5707331935286242</v>
      </c>
      <c r="K313" s="348">
        <f t="shared" si="132"/>
        <v>3.843871159937331</v>
      </c>
      <c r="L313" s="349">
        <f t="shared" si="133"/>
        <v>1.3076142200214849</v>
      </c>
      <c r="M313" s="337">
        <f t="shared" si="117"/>
        <v>1.0164641502665668</v>
      </c>
      <c r="N313" s="340">
        <f t="shared" si="118"/>
        <v>0.18022979139840256</v>
      </c>
      <c r="O313" s="341">
        <f t="shared" si="119"/>
        <v>1.0010405873773145</v>
      </c>
      <c r="P313" s="342">
        <f t="shared" si="120"/>
        <v>0.28577303658334685</v>
      </c>
      <c r="Q313" s="343">
        <f t="shared" si="121"/>
        <v>8.6992491991176877</v>
      </c>
      <c r="R313" s="344">
        <f t="shared" si="122"/>
        <v>-118.46261837476365</v>
      </c>
      <c r="S313" s="346">
        <f t="shared" si="123"/>
        <v>61.53738162523635</v>
      </c>
      <c r="U313" s="319">
        <f t="shared" si="129"/>
        <v>1000000000</v>
      </c>
      <c r="V313" s="319">
        <f t="shared" si="130"/>
        <v>478646884</v>
      </c>
      <c r="X313" s="345">
        <f t="shared" si="124"/>
        <v>25.265924694288028</v>
      </c>
      <c r="Y313" s="346">
        <f t="shared" si="125"/>
        <v>-25.402013110451328</v>
      </c>
      <c r="AA313" s="345">
        <f t="shared" si="126"/>
        <v>45.674828127276683</v>
      </c>
      <c r="AB313" s="346">
        <f t="shared" si="127"/>
        <v>-93.060605264312329</v>
      </c>
      <c r="AD313">
        <f t="shared" si="131"/>
        <v>0</v>
      </c>
      <c r="AE313">
        <f t="shared" si="134"/>
        <v>0</v>
      </c>
    </row>
    <row r="314" spans="1:31" x14ac:dyDescent="0.25">
      <c r="A314" s="347">
        <v>22005.25</v>
      </c>
      <c r="B314" s="364">
        <f t="shared" si="128"/>
        <v>22.00525</v>
      </c>
      <c r="C314" s="337">
        <f t="shared" si="109"/>
        <v>5.0772481810497974</v>
      </c>
      <c r="D314" s="338">
        <f t="shared" si="110"/>
        <v>1.3725430896413242</v>
      </c>
      <c r="E314" s="338">
        <f t="shared" si="111"/>
        <v>1.0005504087558679</v>
      </c>
      <c r="F314" s="339">
        <f t="shared" si="112"/>
        <v>3.3170963694793089E-2</v>
      </c>
      <c r="G314" s="338">
        <f t="shared" si="113"/>
        <v>1</v>
      </c>
      <c r="H314" s="339">
        <f t="shared" si="114"/>
        <v>0</v>
      </c>
      <c r="I314" s="337">
        <f t="shared" si="115"/>
        <v>15931.638028883252</v>
      </c>
      <c r="J314" s="340">
        <f t="shared" si="116"/>
        <v>1.570733558610053</v>
      </c>
      <c r="K314" s="348">
        <f t="shared" si="132"/>
        <v>3.8647193741966568</v>
      </c>
      <c r="L314" s="349">
        <f t="shared" si="133"/>
        <v>1.3090673845529004</v>
      </c>
      <c r="M314" s="337">
        <f t="shared" si="117"/>
        <v>1.0166546561567014</v>
      </c>
      <c r="N314" s="340">
        <f t="shared" si="118"/>
        <v>0.18125532440422609</v>
      </c>
      <c r="O314" s="341">
        <f t="shared" si="119"/>
        <v>1.001061945669252</v>
      </c>
      <c r="P314" s="342">
        <f t="shared" si="120"/>
        <v>0.28747608882746206</v>
      </c>
      <c r="Q314" s="343">
        <f t="shared" si="121"/>
        <v>8.6456915244256614</v>
      </c>
      <c r="R314" s="344">
        <f t="shared" si="122"/>
        <v>-118.58906926789724</v>
      </c>
      <c r="S314" s="346">
        <f t="shared" si="123"/>
        <v>61.410930732102756</v>
      </c>
      <c r="U314" s="319">
        <f t="shared" si="129"/>
        <v>1000000000</v>
      </c>
      <c r="V314" s="319">
        <f t="shared" si="130"/>
        <v>484231027.5625</v>
      </c>
      <c r="X314" s="345">
        <f t="shared" si="124"/>
        <v>25.260905995598861</v>
      </c>
      <c r="Y314" s="346">
        <f t="shared" si="125"/>
        <v>-25.377532546445245</v>
      </c>
      <c r="AA314" s="345">
        <f t="shared" si="126"/>
        <v>45.626289151273831</v>
      </c>
      <c r="AB314" s="346">
        <f t="shared" si="127"/>
        <v>-93.211536721452021</v>
      </c>
      <c r="AD314">
        <f t="shared" si="131"/>
        <v>0</v>
      </c>
      <c r="AE314">
        <f t="shared" si="134"/>
        <v>0</v>
      </c>
    </row>
    <row r="315" spans="1:31" x14ac:dyDescent="0.25">
      <c r="A315" s="347">
        <v>22132.5</v>
      </c>
      <c r="B315" s="364">
        <f t="shared" si="128"/>
        <v>22.1325</v>
      </c>
      <c r="C315" s="337">
        <f t="shared" si="109"/>
        <v>5.1054726416358305</v>
      </c>
      <c r="D315" s="338">
        <f t="shared" si="110"/>
        <v>1.3736535531390737</v>
      </c>
      <c r="E315" s="338">
        <f t="shared" si="111"/>
        <v>1.0005567910945434</v>
      </c>
      <c r="F315" s="339">
        <f t="shared" si="112"/>
        <v>3.3362639892431122E-2</v>
      </c>
      <c r="G315" s="338">
        <f t="shared" si="113"/>
        <v>1</v>
      </c>
      <c r="H315" s="339">
        <f t="shared" si="114"/>
        <v>0</v>
      </c>
      <c r="I315" s="337">
        <f t="shared" si="115"/>
        <v>16023.766086106465</v>
      </c>
      <c r="J315" s="340">
        <f t="shared" si="116"/>
        <v>1.5707339194934373</v>
      </c>
      <c r="K315" s="348">
        <f t="shared" si="132"/>
        <v>3.8855756619470583</v>
      </c>
      <c r="L315" s="349">
        <f t="shared" si="133"/>
        <v>1.3105049520273111</v>
      </c>
      <c r="M315" s="337">
        <f t="shared" si="117"/>
        <v>1.0168462308794854</v>
      </c>
      <c r="N315" s="340">
        <f t="shared" si="118"/>
        <v>0.18228047206524048</v>
      </c>
      <c r="O315" s="341">
        <f t="shared" si="119"/>
        <v>1.0010836419740894</v>
      </c>
      <c r="P315" s="342">
        <f t="shared" si="120"/>
        <v>0.28917982586952623</v>
      </c>
      <c r="Q315" s="343">
        <f t="shared" si="121"/>
        <v>8.5924356822845205</v>
      </c>
      <c r="R315" s="344">
        <f t="shared" si="122"/>
        <v>-118.71571960691861</v>
      </c>
      <c r="S315" s="346">
        <f t="shared" si="123"/>
        <v>61.284280393081389</v>
      </c>
      <c r="U315" s="319">
        <f t="shared" si="129"/>
        <v>1000000000</v>
      </c>
      <c r="V315" s="319">
        <f t="shared" si="130"/>
        <v>489847556.25</v>
      </c>
      <c r="X315" s="345">
        <f t="shared" si="124"/>
        <v>25.255934210194681</v>
      </c>
      <c r="Y315" s="346">
        <f t="shared" si="125"/>
        <v>-25.353923308817897</v>
      </c>
      <c r="AA315" s="345">
        <f t="shared" si="126"/>
        <v>45.578005094536863</v>
      </c>
      <c r="AB315" s="346">
        <f t="shared" si="127"/>
        <v>-93.361796298100685</v>
      </c>
      <c r="AD315">
        <f t="shared" si="131"/>
        <v>0</v>
      </c>
      <c r="AE315">
        <f t="shared" si="134"/>
        <v>0</v>
      </c>
    </row>
    <row r="316" spans="1:31" x14ac:dyDescent="0.25">
      <c r="A316" s="347">
        <v>22259.75</v>
      </c>
      <c r="B316" s="364">
        <f t="shared" si="128"/>
        <v>22.25975</v>
      </c>
      <c r="C316" s="337">
        <f t="shared" si="109"/>
        <v>5.1337033286986262</v>
      </c>
      <c r="D316" s="338">
        <f t="shared" si="110"/>
        <v>1.3747518049054361</v>
      </c>
      <c r="E316" s="338">
        <f t="shared" si="111"/>
        <v>1.0005632101929702</v>
      </c>
      <c r="F316" s="339">
        <f t="shared" si="112"/>
        <v>3.3554313637719532E-2</v>
      </c>
      <c r="G316" s="338">
        <f t="shared" si="113"/>
        <v>1</v>
      </c>
      <c r="H316" s="339">
        <f t="shared" si="114"/>
        <v>0</v>
      </c>
      <c r="I316" s="337">
        <f t="shared" si="115"/>
        <v>16115.894143331741</v>
      </c>
      <c r="J316" s="340">
        <f t="shared" si="116"/>
        <v>1.5707342762507723</v>
      </c>
      <c r="K316" s="348">
        <f t="shared" si="132"/>
        <v>3.9064398938766405</v>
      </c>
      <c r="L316" s="349">
        <f t="shared" si="133"/>
        <v>1.3119271663657741</v>
      </c>
      <c r="M316" s="337">
        <f t="shared" si="117"/>
        <v>1.0170388738309266</v>
      </c>
      <c r="N316" s="340">
        <f t="shared" si="118"/>
        <v>0.18330523244510166</v>
      </c>
      <c r="O316" s="341">
        <f t="shared" si="119"/>
        <v>1.0011056799927747</v>
      </c>
      <c r="P316" s="342">
        <f t="shared" si="120"/>
        <v>0.29088425087513908</v>
      </c>
      <c r="Q316" s="343">
        <f t="shared" si="121"/>
        <v>8.5394778458600644</v>
      </c>
      <c r="R316" s="344">
        <f t="shared" si="122"/>
        <v>-118.84256706709957</v>
      </c>
      <c r="S316" s="346">
        <f t="shared" si="123"/>
        <v>61.157432932900434</v>
      </c>
      <c r="U316" s="319">
        <f t="shared" si="129"/>
        <v>1000000000</v>
      </c>
      <c r="V316" s="319">
        <f t="shared" si="130"/>
        <v>495496470.0625</v>
      </c>
      <c r="X316" s="345">
        <f t="shared" si="124"/>
        <v>25.251008146514682</v>
      </c>
      <c r="Y316" s="346">
        <f t="shared" si="125"/>
        <v>-25.331171315102857</v>
      </c>
      <c r="AA316" s="345">
        <f t="shared" si="126"/>
        <v>45.529973321792411</v>
      </c>
      <c r="AB316" s="346">
        <f t="shared" si="127"/>
        <v>-93.511395751996687</v>
      </c>
      <c r="AD316">
        <f t="shared" si="131"/>
        <v>0</v>
      </c>
      <c r="AE316">
        <f t="shared" si="134"/>
        <v>0</v>
      </c>
    </row>
    <row r="317" spans="1:31" x14ac:dyDescent="0.25">
      <c r="A317" s="347">
        <v>22387</v>
      </c>
      <c r="B317" s="364">
        <f t="shared" si="128"/>
        <v>22.387</v>
      </c>
      <c r="C317" s="337">
        <f t="shared" si="109"/>
        <v>5.1619401400802527</v>
      </c>
      <c r="D317" s="338">
        <f t="shared" si="110"/>
        <v>1.3758380426707155</v>
      </c>
      <c r="E317" s="338">
        <f t="shared" si="111"/>
        <v>1.0005696660504411</v>
      </c>
      <c r="F317" s="339">
        <f t="shared" si="112"/>
        <v>3.3745984916621903E-2</v>
      </c>
      <c r="G317" s="338">
        <f t="shared" si="113"/>
        <v>1</v>
      </c>
      <c r="H317" s="339">
        <f t="shared" si="114"/>
        <v>0</v>
      </c>
      <c r="I317" s="337">
        <f t="shared" si="115"/>
        <v>16208.022200559046</v>
      </c>
      <c r="J317" s="340">
        <f t="shared" si="116"/>
        <v>1.5707346289524171</v>
      </c>
      <c r="K317" s="348">
        <f t="shared" si="132"/>
        <v>3.9273119433726995</v>
      </c>
      <c r="L317" s="349">
        <f t="shared" si="133"/>
        <v>1.3133342665553944</v>
      </c>
      <c r="M317" s="337">
        <f t="shared" si="117"/>
        <v>1.017232584404123</v>
      </c>
      <c r="N317" s="340">
        <f t="shared" si="118"/>
        <v>0.18432960361218176</v>
      </c>
      <c r="O317" s="341">
        <f t="shared" si="119"/>
        <v>1.0011280634470472</v>
      </c>
      <c r="P317" s="342">
        <f t="shared" si="120"/>
        <v>0.29258936699536409</v>
      </c>
      <c r="Q317" s="343">
        <f t="shared" si="121"/>
        <v>8.4868142571786862</v>
      </c>
      <c r="R317" s="344">
        <f t="shared" si="122"/>
        <v>-118.96960935930352</v>
      </c>
      <c r="S317" s="346">
        <f t="shared" si="123"/>
        <v>61.030390640696481</v>
      </c>
      <c r="U317" s="319">
        <f t="shared" si="129"/>
        <v>1000000000</v>
      </c>
      <c r="V317" s="319">
        <f t="shared" si="130"/>
        <v>501177769</v>
      </c>
      <c r="X317" s="345">
        <f t="shared" si="124"/>
        <v>25.246126644911993</v>
      </c>
      <c r="Y317" s="346">
        <f t="shared" si="125"/>
        <v>-25.309262765704773</v>
      </c>
      <c r="AA317" s="345">
        <f t="shared" si="126"/>
        <v>45.482191234713724</v>
      </c>
      <c r="AB317" s="346">
        <f t="shared" si="127"/>
        <v>-93.660346593598746</v>
      </c>
      <c r="AD317">
        <f t="shared" si="131"/>
        <v>0</v>
      </c>
      <c r="AE317">
        <f t="shared" si="134"/>
        <v>0</v>
      </c>
    </row>
    <row r="318" spans="1:31" x14ac:dyDescent="0.25">
      <c r="A318" s="347">
        <v>22517.5</v>
      </c>
      <c r="B318" s="364">
        <f t="shared" si="128"/>
        <v>22.517499999999998</v>
      </c>
      <c r="C318" s="337">
        <f t="shared" si="109"/>
        <v>5.1909043836443924</v>
      </c>
      <c r="D318" s="338">
        <f t="shared" si="110"/>
        <v>1.3769397477694136</v>
      </c>
      <c r="E318" s="338">
        <f t="shared" si="111"/>
        <v>1.000576324970829</v>
      </c>
      <c r="F318" s="339">
        <f t="shared" si="112"/>
        <v>3.3942548956326049E-2</v>
      </c>
      <c r="G318" s="338">
        <f t="shared" si="113"/>
        <v>1</v>
      </c>
      <c r="H318" s="339">
        <f t="shared" si="114"/>
        <v>0</v>
      </c>
      <c r="I318" s="337">
        <f t="shared" si="115"/>
        <v>16302.503233709745</v>
      </c>
      <c r="J318" s="340">
        <f t="shared" si="116"/>
        <v>1.570734986521793</v>
      </c>
      <c r="K318" s="348">
        <f t="shared" si="132"/>
        <v>3.9487250605125048</v>
      </c>
      <c r="L318" s="349">
        <f t="shared" si="133"/>
        <v>1.3147618516238904</v>
      </c>
      <c r="M318" s="337">
        <f t="shared" si="117"/>
        <v>1.017432350630858</v>
      </c>
      <c r="N318" s="340">
        <f t="shared" si="118"/>
        <v>0.18537973123164675</v>
      </c>
      <c r="O318" s="341">
        <f t="shared" si="119"/>
        <v>1.001151381283278</v>
      </c>
      <c r="P318" s="342">
        <f t="shared" si="120"/>
        <v>0.29433875335243592</v>
      </c>
      <c r="Q318" s="343">
        <f t="shared" si="121"/>
        <v>8.4331073768696498</v>
      </c>
      <c r="R318" s="344">
        <f t="shared" si="122"/>
        <v>-119.1000963454358</v>
      </c>
      <c r="S318" s="346">
        <f t="shared" si="123"/>
        <v>60.899903654564199</v>
      </c>
      <c r="U318" s="319">
        <f t="shared" si="129"/>
        <v>1000000000</v>
      </c>
      <c r="V318" s="319">
        <f t="shared" si="130"/>
        <v>507037806.25</v>
      </c>
      <c r="X318" s="345">
        <f t="shared" si="124"/>
        <v>25.241165570098243</v>
      </c>
      <c r="Y318" s="346">
        <f t="shared" si="125"/>
        <v>-25.287656534120959</v>
      </c>
      <c r="AA318" s="345">
        <f t="shared" si="126"/>
        <v>45.43344542921843</v>
      </c>
      <c r="AB318" s="346">
        <f t="shared" si="127"/>
        <v>-93.812439811314874</v>
      </c>
      <c r="AD318">
        <f t="shared" si="131"/>
        <v>0</v>
      </c>
      <c r="AE318">
        <f t="shared" si="134"/>
        <v>0</v>
      </c>
    </row>
    <row r="319" spans="1:31" x14ac:dyDescent="0.25">
      <c r="A319" s="347">
        <v>22648</v>
      </c>
      <c r="B319" s="364">
        <f t="shared" si="128"/>
        <v>22.648</v>
      </c>
      <c r="C319" s="337">
        <f t="shared" si="109"/>
        <v>5.2198748577649923</v>
      </c>
      <c r="D319" s="338">
        <f t="shared" si="110"/>
        <v>1.3780292251804758</v>
      </c>
      <c r="E319" s="338">
        <f t="shared" si="111"/>
        <v>1.0005830225503909</v>
      </c>
      <c r="F319" s="339">
        <f t="shared" si="112"/>
        <v>3.4139110372152358E-2</v>
      </c>
      <c r="G319" s="338">
        <f t="shared" si="113"/>
        <v>1</v>
      </c>
      <c r="H319" s="339">
        <f t="shared" si="114"/>
        <v>0</v>
      </c>
      <c r="I319" s="337">
        <f t="shared" si="115"/>
        <v>16396.984266862502</v>
      </c>
      <c r="J319" s="340">
        <f t="shared" si="116"/>
        <v>1.5707353399704693</v>
      </c>
      <c r="K319" s="348">
        <f t="shared" si="132"/>
        <v>3.9701461383321259</v>
      </c>
      <c r="L319" s="349">
        <f t="shared" si="133"/>
        <v>1.3161740343631303</v>
      </c>
      <c r="M319" s="337">
        <f t="shared" si="117"/>
        <v>1.0176332384082227</v>
      </c>
      <c r="N319" s="340">
        <f t="shared" si="118"/>
        <v>0.1864294454035412</v>
      </c>
      <c r="O319" s="341">
        <f t="shared" si="119"/>
        <v>1.0011750704210274</v>
      </c>
      <c r="P319" s="342">
        <f t="shared" si="120"/>
        <v>0.29608887324288474</v>
      </c>
      <c r="Q319" s="343">
        <f t="shared" si="121"/>
        <v>8.3797021760024819</v>
      </c>
      <c r="R319" s="344">
        <f t="shared" si="122"/>
        <v>-119.2307834789389</v>
      </c>
      <c r="S319" s="346">
        <f t="shared" si="123"/>
        <v>60.769216521061097</v>
      </c>
      <c r="U319" s="319">
        <f t="shared" si="129"/>
        <v>1000000000</v>
      </c>
      <c r="V319" s="319">
        <f t="shared" si="130"/>
        <v>512931904</v>
      </c>
      <c r="X319" s="345">
        <f t="shared" si="124"/>
        <v>25.236248990962061</v>
      </c>
      <c r="Y319" s="346">
        <f t="shared" si="125"/>
        <v>-25.266908866099627</v>
      </c>
      <c r="AA319" s="345">
        <f t="shared" si="126"/>
        <v>45.384956807487448</v>
      </c>
      <c r="AB319" s="346">
        <f t="shared" si="127"/>
        <v>-93.963874612839263</v>
      </c>
      <c r="AD319">
        <f t="shared" si="131"/>
        <v>0</v>
      </c>
      <c r="AE319">
        <f t="shared" si="134"/>
        <v>0</v>
      </c>
    </row>
    <row r="320" spans="1:31" x14ac:dyDescent="0.25">
      <c r="A320" s="347">
        <v>22778.5</v>
      </c>
      <c r="B320" s="364">
        <f t="shared" si="128"/>
        <v>22.778500000000001</v>
      </c>
      <c r="C320" s="337">
        <f t="shared" si="109"/>
        <v>5.248851459275385</v>
      </c>
      <c r="D320" s="338">
        <f t="shared" si="110"/>
        <v>1.3791066748069847</v>
      </c>
      <c r="E320" s="338">
        <f t="shared" si="111"/>
        <v>1.0005897587883505</v>
      </c>
      <c r="F320" s="339">
        <f t="shared" si="112"/>
        <v>3.4335669148964819E-2</v>
      </c>
      <c r="G320" s="338">
        <f t="shared" si="113"/>
        <v>1</v>
      </c>
      <c r="H320" s="339">
        <f t="shared" si="114"/>
        <v>0</v>
      </c>
      <c r="I320" s="337">
        <f t="shared" si="115"/>
        <v>16491.465300017291</v>
      </c>
      <c r="J320" s="340">
        <f t="shared" si="116"/>
        <v>1.5707356893692694</v>
      </c>
      <c r="K320" s="348">
        <f t="shared" si="132"/>
        <v>3.9915750486668626</v>
      </c>
      <c r="L320" s="349">
        <f t="shared" si="133"/>
        <v>1.3175710571586163</v>
      </c>
      <c r="M320" s="337">
        <f t="shared" si="117"/>
        <v>1.0178352470721435</v>
      </c>
      <c r="N320" s="340">
        <f t="shared" si="118"/>
        <v>0.18747874405999673</v>
      </c>
      <c r="O320" s="341">
        <f t="shared" si="119"/>
        <v>1.0011991349425822</v>
      </c>
      <c r="P320" s="342">
        <f t="shared" si="120"/>
        <v>0.29783973001710168</v>
      </c>
      <c r="Q320" s="343">
        <f t="shared" si="121"/>
        <v>8.3265948162149073</v>
      </c>
      <c r="R320" s="344">
        <f t="shared" si="122"/>
        <v>-119.3616684041576</v>
      </c>
      <c r="S320" s="346">
        <f t="shared" si="123"/>
        <v>60.638331595842402</v>
      </c>
      <c r="U320" s="319">
        <f t="shared" si="129"/>
        <v>1000000000</v>
      </c>
      <c r="V320" s="319">
        <f t="shared" si="130"/>
        <v>518860062.25</v>
      </c>
      <c r="X320" s="345">
        <f t="shared" si="124"/>
        <v>25.231375754849211</v>
      </c>
      <c r="Y320" s="346">
        <f t="shared" si="125"/>
        <v>-25.247005759552234</v>
      </c>
      <c r="AA320" s="345">
        <f t="shared" si="126"/>
        <v>45.336722683812724</v>
      </c>
      <c r="AB320" s="346">
        <f t="shared" si="127"/>
        <v>-94.114662644605374</v>
      </c>
      <c r="AD320">
        <f t="shared" si="131"/>
        <v>0</v>
      </c>
      <c r="AE320">
        <f t="shared" si="134"/>
        <v>0</v>
      </c>
    </row>
    <row r="321" spans="1:31" x14ac:dyDescent="0.25">
      <c r="A321" s="347">
        <v>22909</v>
      </c>
      <c r="B321" s="364">
        <f t="shared" si="128"/>
        <v>22.908999999999999</v>
      </c>
      <c r="C321" s="337">
        <f t="shared" si="109"/>
        <v>5.2778340872529608</v>
      </c>
      <c r="D321" s="338">
        <f t="shared" si="110"/>
        <v>1.3801722922741457</v>
      </c>
      <c r="E321" s="338">
        <f t="shared" si="111"/>
        <v>1.0005965336839271</v>
      </c>
      <c r="F321" s="339">
        <f t="shared" si="112"/>
        <v>3.4532225271628664E-2</v>
      </c>
      <c r="G321" s="338">
        <f t="shared" si="113"/>
        <v>1</v>
      </c>
      <c r="H321" s="339">
        <f t="shared" si="114"/>
        <v>0</v>
      </c>
      <c r="I321" s="337">
        <f t="shared" si="115"/>
        <v>16585.946333174066</v>
      </c>
      <c r="J321" s="340">
        <f t="shared" si="116"/>
        <v>1.5707360347874031</v>
      </c>
      <c r="K321" s="348">
        <f t="shared" si="132"/>
        <v>4.0130116660431749</v>
      </c>
      <c r="L321" s="349">
        <f t="shared" si="133"/>
        <v>1.3189531574563194</v>
      </c>
      <c r="M321" s="337">
        <f t="shared" si="117"/>
        <v>1.0180383759553702</v>
      </c>
      <c r="N321" s="340">
        <f t="shared" si="118"/>
        <v>0.18852762513844154</v>
      </c>
      <c r="O321" s="341">
        <f t="shared" si="119"/>
        <v>1.0012235789531603</v>
      </c>
      <c r="P321" s="342">
        <f t="shared" si="120"/>
        <v>0.29959132700893021</v>
      </c>
      <c r="Q321" s="343">
        <f t="shared" si="121"/>
        <v>8.2737815282549487</v>
      </c>
      <c r="R321" s="344">
        <f t="shared" si="122"/>
        <v>-119.49274880260971</v>
      </c>
      <c r="S321" s="346">
        <f t="shared" si="123"/>
        <v>60.507251197390289</v>
      </c>
      <c r="U321" s="319">
        <f t="shared" si="129"/>
        <v>1000000000</v>
      </c>
      <c r="V321" s="319">
        <f t="shared" si="130"/>
        <v>524822281</v>
      </c>
      <c r="X321" s="345">
        <f t="shared" si="124"/>
        <v>25.22654474017321</v>
      </c>
      <c r="Y321" s="346">
        <f t="shared" si="125"/>
        <v>-25.227933495615527</v>
      </c>
      <c r="AA321" s="345">
        <f t="shared" si="126"/>
        <v>45.288740410528767</v>
      </c>
      <c r="AB321" s="346">
        <f t="shared" si="127"/>
        <v>-94.264815306994194</v>
      </c>
      <c r="AD321">
        <f t="shared" si="131"/>
        <v>0</v>
      </c>
      <c r="AE321">
        <f t="shared" si="134"/>
        <v>0</v>
      </c>
    </row>
    <row r="322" spans="1:31" x14ac:dyDescent="0.25">
      <c r="A322" s="347">
        <v>23042.25</v>
      </c>
      <c r="B322" s="364">
        <f t="shared" si="128"/>
        <v>23.042249999999999</v>
      </c>
      <c r="C322" s="337">
        <f t="shared" si="109"/>
        <v>5.3074335759759927</v>
      </c>
      <c r="D322" s="338">
        <f t="shared" si="110"/>
        <v>1.381248355409666</v>
      </c>
      <c r="E322" s="338">
        <f t="shared" si="111"/>
        <v>1.0006034912328228</v>
      </c>
      <c r="F322" s="339">
        <f t="shared" si="112"/>
        <v>3.4732920627193312E-2</v>
      </c>
      <c r="G322" s="338">
        <f t="shared" si="113"/>
        <v>1</v>
      </c>
      <c r="H322" s="339">
        <f t="shared" si="114"/>
        <v>0</v>
      </c>
      <c r="I322" s="337">
        <f t="shared" si="115"/>
        <v>16682.418345958769</v>
      </c>
      <c r="J322" s="340">
        <f t="shared" si="116"/>
        <v>1.5707363834473638</v>
      </c>
      <c r="K322" s="348">
        <f t="shared" si="132"/>
        <v>4.0349078376322911</v>
      </c>
      <c r="L322" s="349">
        <f t="shared" si="133"/>
        <v>1.3203492266671928</v>
      </c>
      <c r="M322" s="337">
        <f t="shared" si="117"/>
        <v>1.0182469405129324</v>
      </c>
      <c r="N322" s="340">
        <f t="shared" si="118"/>
        <v>0.1895981760672085</v>
      </c>
      <c r="O322" s="341">
        <f t="shared" si="119"/>
        <v>1.0012489339256132</v>
      </c>
      <c r="P322" s="342">
        <f t="shared" si="120"/>
        <v>0.30138060227484231</v>
      </c>
      <c r="Q322" s="343">
        <f t="shared" si="121"/>
        <v>8.220154902997006</v>
      </c>
      <c r="R322" s="344">
        <f t="shared" si="122"/>
        <v>-119.62679075622519</v>
      </c>
      <c r="S322" s="346">
        <f t="shared" si="123"/>
        <v>60.373209243774809</v>
      </c>
      <c r="U322" s="319">
        <f t="shared" si="129"/>
        <v>1000000000</v>
      </c>
      <c r="V322" s="319">
        <f t="shared" si="130"/>
        <v>530945285.0625</v>
      </c>
      <c r="X322" s="345">
        <f t="shared" si="124"/>
        <v>25.221654353913266</v>
      </c>
      <c r="Y322" s="346">
        <f t="shared" si="125"/>
        <v>-25.20930264861942</v>
      </c>
      <c r="AA322" s="345">
        <f t="shared" si="126"/>
        <v>45.240004171530764</v>
      </c>
      <c r="AB322" s="346">
        <f t="shared" si="127"/>
        <v>-94.417488107605763</v>
      </c>
      <c r="AD322">
        <f t="shared" si="131"/>
        <v>0</v>
      </c>
      <c r="AE322">
        <f t="shared" si="134"/>
        <v>0</v>
      </c>
    </row>
    <row r="323" spans="1:31" x14ac:dyDescent="0.25">
      <c r="A323" s="347">
        <v>23175.5</v>
      </c>
      <c r="B323" s="364">
        <f t="shared" si="128"/>
        <v>23.1755</v>
      </c>
      <c r="C323" s="337">
        <f t="shared" si="109"/>
        <v>5.3370391420682912</v>
      </c>
      <c r="D323" s="338">
        <f t="shared" si="110"/>
        <v>1.3823124815142955</v>
      </c>
      <c r="E323" s="338">
        <f t="shared" si="111"/>
        <v>1.0006104890840903</v>
      </c>
      <c r="F323" s="339">
        <f t="shared" si="112"/>
        <v>3.4933613183682738E-2</v>
      </c>
      <c r="G323" s="338">
        <f t="shared" si="113"/>
        <v>1</v>
      </c>
      <c r="H323" s="339">
        <f t="shared" si="114"/>
        <v>0</v>
      </c>
      <c r="I323" s="337">
        <f t="shared" si="115"/>
        <v>16778.890358745477</v>
      </c>
      <c r="J323" s="340">
        <f t="shared" si="116"/>
        <v>1.5707367280980096</v>
      </c>
      <c r="K323" s="348">
        <f t="shared" si="132"/>
        <v>4.0568117883943442</v>
      </c>
      <c r="L323" s="349">
        <f t="shared" si="133"/>
        <v>1.321730222947765</v>
      </c>
      <c r="M323" s="337">
        <f t="shared" si="117"/>
        <v>1.0184566715834815</v>
      </c>
      <c r="N323" s="340">
        <f t="shared" si="118"/>
        <v>0.19066828730427662</v>
      </c>
      <c r="O323" s="341">
        <f t="shared" si="119"/>
        <v>1.0012746932726972</v>
      </c>
      <c r="P323" s="342">
        <f t="shared" si="120"/>
        <v>0.30317065625564465</v>
      </c>
      <c r="Q323" s="343">
        <f t="shared" si="121"/>
        <v>8.1668271447994769</v>
      </c>
      <c r="R323" s="344">
        <f t="shared" si="122"/>
        <v>-119.76103173889845</v>
      </c>
      <c r="S323" s="346">
        <f t="shared" si="123"/>
        <v>60.238968261101547</v>
      </c>
      <c r="U323" s="319">
        <f t="shared" si="129"/>
        <v>1000000000</v>
      </c>
      <c r="V323" s="319">
        <f t="shared" si="130"/>
        <v>537103800.25</v>
      </c>
      <c r="X323" s="345">
        <f t="shared" si="124"/>
        <v>25.21680571879806</v>
      </c>
      <c r="Y323" s="346">
        <f t="shared" si="125"/>
        <v>-25.191509994719976</v>
      </c>
      <c r="AA323" s="345">
        <f t="shared" si="126"/>
        <v>45.191525048448433</v>
      </c>
      <c r="AB323" s="346">
        <f t="shared" si="127"/>
        <v>-94.569521744178473</v>
      </c>
      <c r="AD323">
        <f t="shared" si="131"/>
        <v>0</v>
      </c>
      <c r="AE323">
        <f t="shared" si="134"/>
        <v>0</v>
      </c>
    </row>
    <row r="324" spans="1:31" x14ac:dyDescent="0.25">
      <c r="A324" s="347">
        <v>23308.75</v>
      </c>
      <c r="B324" s="364">
        <f t="shared" si="128"/>
        <v>23.30875</v>
      </c>
      <c r="C324" s="337">
        <f t="shared" si="109"/>
        <v>5.3666506849509474</v>
      </c>
      <c r="D324" s="338">
        <f t="shared" si="110"/>
        <v>1.3833648657526114</v>
      </c>
      <c r="E324" s="338">
        <f t="shared" si="111"/>
        <v>1.0006175272368847</v>
      </c>
      <c r="F324" s="339">
        <f t="shared" si="112"/>
        <v>3.5134302924989036E-2</v>
      </c>
      <c r="G324" s="338">
        <f t="shared" si="113"/>
        <v>1</v>
      </c>
      <c r="H324" s="339">
        <f t="shared" si="114"/>
        <v>0</v>
      </c>
      <c r="I324" s="337">
        <f t="shared" si="115"/>
        <v>16875.362371534156</v>
      </c>
      <c r="J324" s="340">
        <f t="shared" si="116"/>
        <v>1.5707370688081008</v>
      </c>
      <c r="K324" s="348">
        <f t="shared" si="132"/>
        <v>4.0787233929999598</v>
      </c>
      <c r="L324" s="349">
        <f t="shared" si="133"/>
        <v>1.3230963839107601</v>
      </c>
      <c r="M324" s="337">
        <f t="shared" si="117"/>
        <v>1.0186675684465061</v>
      </c>
      <c r="N324" s="340">
        <f t="shared" si="118"/>
        <v>0.19173795667113702</v>
      </c>
      <c r="O324" s="341">
        <f t="shared" si="119"/>
        <v>1.0013008614385472</v>
      </c>
      <c r="P324" s="342">
        <f t="shared" si="120"/>
        <v>0.30496149244622989</v>
      </c>
      <c r="Q324" s="343">
        <f t="shared" si="121"/>
        <v>8.1137944535305255</v>
      </c>
      <c r="R324" s="344">
        <f t="shared" si="122"/>
        <v>-119.89546939881571</v>
      </c>
      <c r="S324" s="346">
        <f t="shared" si="123"/>
        <v>60.104530601184294</v>
      </c>
      <c r="U324" s="319">
        <f t="shared" si="129"/>
        <v>1000000000</v>
      </c>
      <c r="V324" s="319">
        <f t="shared" si="130"/>
        <v>543297826.5625</v>
      </c>
      <c r="X324" s="345">
        <f t="shared" si="124"/>
        <v>25.211997734891689</v>
      </c>
      <c r="Y324" s="346">
        <f t="shared" si="125"/>
        <v>-25.174541798831232</v>
      </c>
      <c r="AA324" s="345">
        <f t="shared" si="126"/>
        <v>45.143300341085862</v>
      </c>
      <c r="AB324" s="346">
        <f t="shared" si="127"/>
        <v>-94.720927599984464</v>
      </c>
      <c r="AD324">
        <f t="shared" si="131"/>
        <v>0</v>
      </c>
      <c r="AE324">
        <f t="shared" si="134"/>
        <v>0</v>
      </c>
    </row>
    <row r="325" spans="1:31" x14ac:dyDescent="0.25">
      <c r="A325" s="347">
        <v>23442</v>
      </c>
      <c r="B325" s="364">
        <f t="shared" si="128"/>
        <v>23.442</v>
      </c>
      <c r="C325" s="337">
        <f t="shared" si="109"/>
        <v>5.3962681062326414</v>
      </c>
      <c r="D325" s="338">
        <f t="shared" si="110"/>
        <v>1.3844056991098841</v>
      </c>
      <c r="E325" s="338">
        <f t="shared" si="111"/>
        <v>1.0006246056903552</v>
      </c>
      <c r="F325" s="339">
        <f t="shared" si="112"/>
        <v>3.5334989835005673E-2</v>
      </c>
      <c r="G325" s="338">
        <f t="shared" si="113"/>
        <v>1</v>
      </c>
      <c r="H325" s="339">
        <f t="shared" si="114"/>
        <v>0</v>
      </c>
      <c r="I325" s="337">
        <f t="shared" si="115"/>
        <v>16971.834384324768</v>
      </c>
      <c r="J325" s="340">
        <f t="shared" si="116"/>
        <v>1.5707374056448351</v>
      </c>
      <c r="K325" s="348">
        <f t="shared" si="132"/>
        <v>4.1006425287552011</v>
      </c>
      <c r="L325" s="349">
        <f t="shared" si="133"/>
        <v>1.324447942312645</v>
      </c>
      <c r="M325" s="337">
        <f t="shared" si="117"/>
        <v>1.0188796303780874</v>
      </c>
      <c r="N325" s="340">
        <f t="shared" si="118"/>
        <v>0.19280718199512428</v>
      </c>
      <c r="O325" s="341">
        <f t="shared" si="119"/>
        <v>1.0013274428921413</v>
      </c>
      <c r="P325" s="342">
        <f t="shared" si="120"/>
        <v>0.30675311432297703</v>
      </c>
      <c r="Q325" s="343">
        <f t="shared" si="121"/>
        <v>8.0610530972166963</v>
      </c>
      <c r="R325" s="344">
        <f t="shared" si="122"/>
        <v>-120.03010142213394</v>
      </c>
      <c r="S325" s="346">
        <f t="shared" si="123"/>
        <v>59.969898577866061</v>
      </c>
      <c r="U325" s="319">
        <f t="shared" si="129"/>
        <v>1000000000</v>
      </c>
      <c r="V325" s="319">
        <f t="shared" si="130"/>
        <v>549527364</v>
      </c>
      <c r="X325" s="345">
        <f t="shared" si="124"/>
        <v>25.207229331966637</v>
      </c>
      <c r="Y325" s="346">
        <f t="shared" si="125"/>
        <v>-25.158384604355561</v>
      </c>
      <c r="AA325" s="345">
        <f t="shared" si="126"/>
        <v>45.095327387697083</v>
      </c>
      <c r="AB325" s="346">
        <f t="shared" si="127"/>
        <v>-94.871716817778378</v>
      </c>
      <c r="AD325">
        <f t="shared" si="131"/>
        <v>0</v>
      </c>
      <c r="AE325">
        <f t="shared" si="134"/>
        <v>0</v>
      </c>
    </row>
    <row r="326" spans="1:31" x14ac:dyDescent="0.25">
      <c r="A326" s="347">
        <v>23578.5</v>
      </c>
      <c r="B326" s="364">
        <f t="shared" si="128"/>
        <v>23.578499999999998</v>
      </c>
      <c r="C326" s="337">
        <f t="shared" si="109"/>
        <v>5.4266138982430716</v>
      </c>
      <c r="D326" s="338">
        <f t="shared" si="110"/>
        <v>1.3854601370967246</v>
      </c>
      <c r="E326" s="338">
        <f t="shared" si="111"/>
        <v>1.0006318985752163</v>
      </c>
      <c r="F326" s="339">
        <f t="shared" si="112"/>
        <v>3.5540568595155149E-2</v>
      </c>
      <c r="G326" s="338">
        <f t="shared" si="113"/>
        <v>1</v>
      </c>
      <c r="H326" s="339">
        <f t="shared" si="114"/>
        <v>0</v>
      </c>
      <c r="I326" s="337">
        <f t="shared" si="115"/>
        <v>17070.659373039081</v>
      </c>
      <c r="J326" s="340">
        <f t="shared" si="116"/>
        <v>1.5707377467495265</v>
      </c>
      <c r="K326" s="348">
        <f t="shared" si="132"/>
        <v>4.1231039609437143</v>
      </c>
      <c r="L326" s="349">
        <f t="shared" si="133"/>
        <v>1.3258175627323063</v>
      </c>
      <c r="M326" s="337">
        <f t="shared" si="117"/>
        <v>1.0190980718311671</v>
      </c>
      <c r="N326" s="340">
        <f t="shared" si="118"/>
        <v>0.19390202330018208</v>
      </c>
      <c r="O326" s="341">
        <f t="shared" si="119"/>
        <v>1.0013551059024128</v>
      </c>
      <c r="P326" s="342">
        <f t="shared" si="120"/>
        <v>0.30858925257304448</v>
      </c>
      <c r="Q326" s="343">
        <f t="shared" si="121"/>
        <v>8.0073236154426723</v>
      </c>
      <c r="R326" s="344">
        <f t="shared" si="122"/>
        <v>-120.16821630600737</v>
      </c>
      <c r="S326" s="346">
        <f t="shared" si="123"/>
        <v>59.831783693992634</v>
      </c>
      <c r="U326" s="319">
        <f t="shared" si="129"/>
        <v>1000000000</v>
      </c>
      <c r="V326" s="319">
        <f t="shared" si="130"/>
        <v>555945662.25</v>
      </c>
      <c r="X326" s="345">
        <f t="shared" si="124"/>
        <v>25.202384578903896</v>
      </c>
      <c r="Y326" s="346">
        <f t="shared" si="125"/>
        <v>-25.142660464631653</v>
      </c>
      <c r="AA326" s="345">
        <f t="shared" si="126"/>
        <v>45.046442658985804</v>
      </c>
      <c r="AB326" s="346">
        <f t="shared" si="127"/>
        <v>-95.025555841375706</v>
      </c>
      <c r="AD326">
        <f t="shared" si="131"/>
        <v>0</v>
      </c>
      <c r="AE326">
        <f t="shared" si="134"/>
        <v>0</v>
      </c>
    </row>
    <row r="327" spans="1:31" x14ac:dyDescent="0.25">
      <c r="A327" s="347">
        <v>23715</v>
      </c>
      <c r="B327" s="364">
        <f t="shared" si="128"/>
        <v>23.715</v>
      </c>
      <c r="C327" s="337">
        <f t="shared" si="109"/>
        <v>5.4569656566691451</v>
      </c>
      <c r="D327" s="338">
        <f t="shared" si="110"/>
        <v>1.3865028466193887</v>
      </c>
      <c r="E327" s="338">
        <f t="shared" si="111"/>
        <v>1.0006392337487924</v>
      </c>
      <c r="F327" s="339">
        <f t="shared" si="112"/>
        <v>3.5746144350007558E-2</v>
      </c>
      <c r="G327" s="338">
        <f t="shared" si="113"/>
        <v>1</v>
      </c>
      <c r="H327" s="339">
        <f t="shared" si="114"/>
        <v>0</v>
      </c>
      <c r="I327" s="337">
        <f t="shared" si="115"/>
        <v>17169.484361755356</v>
      </c>
      <c r="J327" s="340">
        <f t="shared" si="116"/>
        <v>1.5707380839275225</v>
      </c>
      <c r="K327" s="348">
        <f t="shared" si="132"/>
        <v>4.1455730436777314</v>
      </c>
      <c r="L327" s="349">
        <f t="shared" si="133"/>
        <v>1.3271723389343142</v>
      </c>
      <c r="M327" s="337">
        <f t="shared" si="117"/>
        <v>1.0193177343297357</v>
      </c>
      <c r="N327" s="340">
        <f t="shared" si="118"/>
        <v>0.19499639404098149</v>
      </c>
      <c r="O327" s="341">
        <f t="shared" si="119"/>
        <v>1.0013832121801374</v>
      </c>
      <c r="P327" s="342">
        <f t="shared" si="120"/>
        <v>0.31042622262771763</v>
      </c>
      <c r="Q327" s="343">
        <f t="shared" si="121"/>
        <v>7.9538921376445977</v>
      </c>
      <c r="R327" s="344">
        <f t="shared" si="122"/>
        <v>-120.30653035416029</v>
      </c>
      <c r="S327" s="346">
        <f t="shared" si="123"/>
        <v>59.693469645839713</v>
      </c>
      <c r="U327" s="319">
        <f t="shared" si="129"/>
        <v>1000000000</v>
      </c>
      <c r="V327" s="319">
        <f t="shared" si="130"/>
        <v>562401225</v>
      </c>
      <c r="X327" s="345">
        <f t="shared" si="124"/>
        <v>25.197579179176554</v>
      </c>
      <c r="Y327" s="346">
        <f t="shared" si="125"/>
        <v>-25.127759649601344</v>
      </c>
      <c r="AA327" s="345">
        <f t="shared" si="126"/>
        <v>44.997816580915071</v>
      </c>
      <c r="AB327" s="346">
        <f t="shared" si="127"/>
        <v>-95.178770704558957</v>
      </c>
      <c r="AD327">
        <f t="shared" si="131"/>
        <v>0</v>
      </c>
      <c r="AE327">
        <f t="shared" si="134"/>
        <v>0</v>
      </c>
    </row>
    <row r="328" spans="1:31" x14ac:dyDescent="0.25">
      <c r="A328" s="347">
        <v>23851.5</v>
      </c>
      <c r="B328" s="364">
        <f t="shared" si="128"/>
        <v>23.851500000000001</v>
      </c>
      <c r="C328" s="337">
        <f t="shared" si="109"/>
        <v>5.4873232825056517</v>
      </c>
      <c r="D328" s="338">
        <f t="shared" si="110"/>
        <v>1.387534020048335</v>
      </c>
      <c r="E328" s="338">
        <f t="shared" si="111"/>
        <v>1.0006466112101533</v>
      </c>
      <c r="F328" s="339">
        <f t="shared" si="112"/>
        <v>3.595171708225333E-2</v>
      </c>
      <c r="G328" s="338">
        <f t="shared" si="113"/>
        <v>1</v>
      </c>
      <c r="H328" s="339">
        <f t="shared" si="114"/>
        <v>0</v>
      </c>
      <c r="I328" s="337">
        <f t="shared" si="115"/>
        <v>17268.309350473559</v>
      </c>
      <c r="J328" s="340">
        <f t="shared" si="116"/>
        <v>1.5707384172462393</v>
      </c>
      <c r="K328" s="348">
        <f t="shared" si="132"/>
        <v>4.1680496532297902</v>
      </c>
      <c r="L328" s="349">
        <f t="shared" si="133"/>
        <v>1.3285125060514955</v>
      </c>
      <c r="M328" s="337">
        <f t="shared" si="117"/>
        <v>1.0195386170845604</v>
      </c>
      <c r="N328" s="340">
        <f t="shared" si="118"/>
        <v>0.19609029190118613</v>
      </c>
      <c r="O328" s="341">
        <f t="shared" si="119"/>
        <v>1.0014117666102824</v>
      </c>
      <c r="P328" s="342">
        <f t="shared" si="120"/>
        <v>0.31226402816268306</v>
      </c>
      <c r="Q328" s="343">
        <f t="shared" si="121"/>
        <v>7.9007548640022893</v>
      </c>
      <c r="R328" s="344">
        <f t="shared" si="122"/>
        <v>-120.44504119922898</v>
      </c>
      <c r="S328" s="346">
        <f t="shared" si="123"/>
        <v>59.554958800771018</v>
      </c>
      <c r="U328" s="319">
        <f t="shared" si="129"/>
        <v>1000000000</v>
      </c>
      <c r="V328" s="319">
        <f t="shared" si="130"/>
        <v>568894052.25</v>
      </c>
      <c r="X328" s="345">
        <f t="shared" si="124"/>
        <v>25.192812073282656</v>
      </c>
      <c r="Y328" s="346">
        <f t="shared" si="125"/>
        <v>-25.113668558292364</v>
      </c>
      <c r="AA328" s="345">
        <f t="shared" si="126"/>
        <v>44.949446413166655</v>
      </c>
      <c r="AB328" s="346">
        <f t="shared" si="127"/>
        <v>-95.331372640936635</v>
      </c>
      <c r="AD328">
        <f t="shared" si="131"/>
        <v>0</v>
      </c>
      <c r="AE328">
        <f t="shared" si="134"/>
        <v>0</v>
      </c>
    </row>
    <row r="329" spans="1:31" x14ac:dyDescent="0.25">
      <c r="A329" s="347">
        <v>23988</v>
      </c>
      <c r="B329" s="364">
        <f t="shared" si="128"/>
        <v>23.988</v>
      </c>
      <c r="C329" s="337">
        <f t="shared" si="109"/>
        <v>5.5176866789073014</v>
      </c>
      <c r="D329" s="338">
        <f t="shared" si="110"/>
        <v>1.3885538456189883</v>
      </c>
      <c r="E329" s="338">
        <f t="shared" si="111"/>
        <v>1.0006540309583636</v>
      </c>
      <c r="F329" s="339">
        <f t="shared" si="112"/>
        <v>3.615728677458447E-2</v>
      </c>
      <c r="G329" s="338">
        <f t="shared" si="113"/>
        <v>1</v>
      </c>
      <c r="H329" s="339">
        <f t="shared" si="114"/>
        <v>0</v>
      </c>
      <c r="I329" s="337">
        <f t="shared" si="115"/>
        <v>17367.134339193657</v>
      </c>
      <c r="J329" s="340">
        <f t="shared" si="116"/>
        <v>1.5707387467715592</v>
      </c>
      <c r="K329" s="348">
        <f t="shared" si="132"/>
        <v>4.1905336684859487</v>
      </c>
      <c r="L329" s="349">
        <f t="shared" si="133"/>
        <v>1.3298382943827756</v>
      </c>
      <c r="M329" s="337">
        <f t="shared" si="117"/>
        <v>1.0197607193027092</v>
      </c>
      <c r="N329" s="340">
        <f t="shared" si="118"/>
        <v>0.19718371457098774</v>
      </c>
      <c r="O329" s="341">
        <f t="shared" si="119"/>
        <v>1.0014407741050739</v>
      </c>
      <c r="P329" s="342">
        <f t="shared" si="120"/>
        <v>0.31410267283264137</v>
      </c>
      <c r="Q329" s="343">
        <f t="shared" si="121"/>
        <v>7.8479080627954172</v>
      </c>
      <c r="R329" s="344">
        <f t="shared" si="122"/>
        <v>-120.58374651297551</v>
      </c>
      <c r="S329" s="346">
        <f t="shared" si="123"/>
        <v>59.416253487024491</v>
      </c>
      <c r="U329" s="319">
        <f t="shared" si="129"/>
        <v>1000000000</v>
      </c>
      <c r="V329" s="319">
        <f t="shared" si="130"/>
        <v>575424144</v>
      </c>
      <c r="X329" s="345">
        <f t="shared" si="124"/>
        <v>25.188082230490664</v>
      </c>
      <c r="Y329" s="346">
        <f t="shared" si="125"/>
        <v>-25.100373866980767</v>
      </c>
      <c r="AA329" s="345">
        <f t="shared" si="126"/>
        <v>44.901329454751782</v>
      </c>
      <c r="AB329" s="346">
        <f t="shared" si="127"/>
        <v>-95.483372645994734</v>
      </c>
      <c r="AD329">
        <f t="shared" si="131"/>
        <v>0</v>
      </c>
      <c r="AE329">
        <f t="shared" si="134"/>
        <v>0</v>
      </c>
    </row>
    <row r="330" spans="1:31" x14ac:dyDescent="0.25">
      <c r="A330" s="347">
        <v>24127.75</v>
      </c>
      <c r="B330" s="364">
        <f t="shared" si="128"/>
        <v>24.127749999999999</v>
      </c>
      <c r="C330" s="337">
        <f t="shared" si="109"/>
        <v>5.5487788926907173</v>
      </c>
      <c r="D330" s="338">
        <f t="shared" si="110"/>
        <v>1.3895863887261846</v>
      </c>
      <c r="E330" s="338">
        <f t="shared" si="111"/>
        <v>1.0006616711753438</v>
      </c>
      <c r="F330" s="339">
        <f t="shared" si="112"/>
        <v>3.6367747815983224E-2</v>
      </c>
      <c r="G330" s="338">
        <f t="shared" si="113"/>
        <v>1</v>
      </c>
      <c r="H330" s="339">
        <f t="shared" si="114"/>
        <v>0</v>
      </c>
      <c r="I330" s="337">
        <f t="shared" si="115"/>
        <v>17468.312303837596</v>
      </c>
      <c r="J330" s="340">
        <f t="shared" si="116"/>
        <v>1.5707390802799985</v>
      </c>
      <c r="K330" s="348">
        <f t="shared" si="132"/>
        <v>4.2135605659357784</v>
      </c>
      <c r="L330" s="349">
        <f t="shared" si="133"/>
        <v>1.3311809882457237</v>
      </c>
      <c r="M330" s="337">
        <f t="shared" si="117"/>
        <v>1.0199893721982816</v>
      </c>
      <c r="N330" s="340">
        <f t="shared" si="118"/>
        <v>0.19830267641263388</v>
      </c>
      <c r="O330" s="341">
        <f t="shared" si="119"/>
        <v>1.0014709467864991</v>
      </c>
      <c r="P330" s="342">
        <f t="shared" si="120"/>
        <v>0.31598596789270283</v>
      </c>
      <c r="Q330" s="343">
        <f t="shared" si="121"/>
        <v>7.7941001062767867</v>
      </c>
      <c r="R330" s="344">
        <f t="shared" si="122"/>
        <v>-120.72595341250442</v>
      </c>
      <c r="S330" s="346">
        <f t="shared" si="123"/>
        <v>59.274046587495576</v>
      </c>
      <c r="U330" s="319">
        <f t="shared" si="129"/>
        <v>1000000000</v>
      </c>
      <c r="V330" s="319">
        <f t="shared" si="130"/>
        <v>582148320.0625</v>
      </c>
      <c r="X330" s="345">
        <f t="shared" si="124"/>
        <v>25.183277329835047</v>
      </c>
      <c r="Y330" s="346">
        <f t="shared" si="125"/>
        <v>-25.087574075029604</v>
      </c>
      <c r="AA330" s="345">
        <f t="shared" si="126"/>
        <v>44.852326398888771</v>
      </c>
      <c r="AB330" s="346">
        <f t="shared" si="127"/>
        <v>-95.638379337474802</v>
      </c>
      <c r="AD330">
        <f t="shared" si="131"/>
        <v>0</v>
      </c>
      <c r="AE330">
        <f t="shared" si="134"/>
        <v>0</v>
      </c>
    </row>
    <row r="331" spans="1:31" x14ac:dyDescent="0.25">
      <c r="A331" s="347">
        <v>24267.5</v>
      </c>
      <c r="B331" s="364">
        <f t="shared" si="128"/>
        <v>24.267499999999998</v>
      </c>
      <c r="C331" s="337">
        <f t="shared" si="109"/>
        <v>5.5798769563466983</v>
      </c>
      <c r="D331" s="338">
        <f t="shared" si="110"/>
        <v>1.3906074236647874</v>
      </c>
      <c r="E331" s="338">
        <f t="shared" si="111"/>
        <v>1.0006693557148039</v>
      </c>
      <c r="F331" s="339">
        <f t="shared" si="112"/>
        <v>3.6578205634275149E-2</v>
      </c>
      <c r="G331" s="338">
        <f t="shared" si="113"/>
        <v>1</v>
      </c>
      <c r="H331" s="339">
        <f t="shared" si="114"/>
        <v>0</v>
      </c>
      <c r="I331" s="337">
        <f t="shared" si="115"/>
        <v>17569.490268483456</v>
      </c>
      <c r="J331" s="340">
        <f t="shared" si="116"/>
        <v>1.5707394099472671</v>
      </c>
      <c r="K331" s="348">
        <f t="shared" si="132"/>
        <v>4.2365949771220262</v>
      </c>
      <c r="L331" s="349">
        <f t="shared" si="133"/>
        <v>1.3325090840002098</v>
      </c>
      <c r="M331" s="337">
        <f t="shared" si="117"/>
        <v>1.0202193016242775</v>
      </c>
      <c r="N331" s="340">
        <f t="shared" si="118"/>
        <v>0.19942113528758229</v>
      </c>
      <c r="O331" s="341">
        <f t="shared" si="119"/>
        <v>1.0015016048717891</v>
      </c>
      <c r="P331" s="342">
        <f t="shared" si="120"/>
        <v>0.31787015020703591</v>
      </c>
      <c r="Q331" s="343">
        <f t="shared" si="121"/>
        <v>7.7405889143875131</v>
      </c>
      <c r="R331" s="344">
        <f t="shared" si="122"/>
        <v>-120.8683593351906</v>
      </c>
      <c r="S331" s="346">
        <f t="shared" si="123"/>
        <v>59.131640664809396</v>
      </c>
      <c r="U331" s="319">
        <f t="shared" si="129"/>
        <v>1000000000</v>
      </c>
      <c r="V331" s="319">
        <f t="shared" si="130"/>
        <v>588911556.25</v>
      </c>
      <c r="X331" s="345">
        <f t="shared" si="124"/>
        <v>25.178509389828719</v>
      </c>
      <c r="Y331" s="346">
        <f t="shared" si="125"/>
        <v>-25.075581655131234</v>
      </c>
      <c r="AA331" s="345">
        <f t="shared" si="126"/>
        <v>44.803583147005817</v>
      </c>
      <c r="AB331" s="346">
        <f t="shared" si="127"/>
        <v>-95.792777680059388</v>
      </c>
      <c r="AD331">
        <f t="shared" si="131"/>
        <v>0</v>
      </c>
      <c r="AE331">
        <f t="shared" si="134"/>
        <v>0</v>
      </c>
    </row>
    <row r="332" spans="1:31" x14ac:dyDescent="0.25">
      <c r="A332" s="347">
        <v>24407.25</v>
      </c>
      <c r="B332" s="364">
        <f t="shared" si="128"/>
        <v>24.407250000000001</v>
      </c>
      <c r="C332" s="337">
        <f t="shared" si="109"/>
        <v>5.6109807726089835</v>
      </c>
      <c r="D332" s="338">
        <f t="shared" si="110"/>
        <v>1.391617139670583</v>
      </c>
      <c r="E332" s="338">
        <f t="shared" si="111"/>
        <v>1.0006770845757227</v>
      </c>
      <c r="F332" s="339">
        <f t="shared" si="112"/>
        <v>3.6788660210891298E-2</v>
      </c>
      <c r="G332" s="338">
        <f t="shared" si="113"/>
        <v>1</v>
      </c>
      <c r="H332" s="339">
        <f t="shared" si="114"/>
        <v>0</v>
      </c>
      <c r="I332" s="337">
        <f t="shared" si="115"/>
        <v>17670.668233131208</v>
      </c>
      <c r="J332" s="340">
        <f t="shared" si="116"/>
        <v>1.5707397358393458</v>
      </c>
      <c r="K332" s="348">
        <f t="shared" si="132"/>
        <v>4.259636780150851</v>
      </c>
      <c r="L332" s="349">
        <f t="shared" si="133"/>
        <v>1.3338228138209234</v>
      </c>
      <c r="M332" s="337">
        <f t="shared" si="117"/>
        <v>1.0204505067178078</v>
      </c>
      <c r="N332" s="340">
        <f t="shared" si="118"/>
        <v>0.20053908873849746</v>
      </c>
      <c r="O332" s="341">
        <f t="shared" si="119"/>
        <v>1.0015327537210916</v>
      </c>
      <c r="P332" s="342">
        <f t="shared" si="120"/>
        <v>0.3197552236282859</v>
      </c>
      <c r="Q332" s="343">
        <f t="shared" si="121"/>
        <v>7.6873706937859261</v>
      </c>
      <c r="R332" s="344">
        <f t="shared" si="122"/>
        <v>-121.01096190560588</v>
      </c>
      <c r="S332" s="346">
        <f t="shared" si="123"/>
        <v>58.989038094394118</v>
      </c>
      <c r="U332" s="319">
        <f t="shared" si="129"/>
        <v>1000000000</v>
      </c>
      <c r="V332" s="319">
        <f t="shared" si="130"/>
        <v>595713852.5625</v>
      </c>
      <c r="X332" s="345">
        <f t="shared" si="124"/>
        <v>25.17377739224219</v>
      </c>
      <c r="Y332" s="346">
        <f t="shared" si="125"/>
        <v>-25.064383167641282</v>
      </c>
      <c r="AA332" s="345">
        <f t="shared" si="126"/>
        <v>44.755096923990756</v>
      </c>
      <c r="AB332" s="346">
        <f t="shared" si="127"/>
        <v>-95.946578737964614</v>
      </c>
      <c r="AD332">
        <f t="shared" si="131"/>
        <v>0</v>
      </c>
      <c r="AE332">
        <f t="shared" si="134"/>
        <v>0</v>
      </c>
    </row>
    <row r="333" spans="1:31" x14ac:dyDescent="0.25">
      <c r="A333" s="347">
        <v>24547</v>
      </c>
      <c r="B333" s="364">
        <f t="shared" si="128"/>
        <v>24.547000000000001</v>
      </c>
      <c r="C333" s="337">
        <f t="shared" ref="C333:C396" si="135">SQRT(1+(A333/pole1)^2)</f>
        <v>5.64209024633836</v>
      </c>
      <c r="D333" s="338">
        <f t="shared" ref="D333:D396" si="136">ATAN(A333/pole1)</f>
        <v>1.3926157218991913</v>
      </c>
      <c r="E333" s="338">
        <f t="shared" ref="E333:E396" si="137">SQRT(1+(A333/Zero1)^2)</f>
        <v>1.0006848577570733</v>
      </c>
      <c r="F333" s="339">
        <f t="shared" ref="F333:F396" si="138">ATAN(A333/Zero1)</f>
        <v>3.6999111527264456E-2</v>
      </c>
      <c r="G333" s="338">
        <f t="shared" ref="G333:G396" si="139">IF(VIN_nom&gt;Vout, 1, SQRT(1+(A333/z_RHP)^2))</f>
        <v>1</v>
      </c>
      <c r="H333" s="339">
        <f t="shared" ref="H333:H396" si="140">IF(VIN_nom&gt;Vout, 0, -ATAN(A333/z_RHP))</f>
        <v>0</v>
      </c>
      <c r="I333" s="337">
        <f t="shared" ref="I333:I396" si="141">SQRT(1+(A333/Pole2)^2)</f>
        <v>17771.846197780811</v>
      </c>
      <c r="J333" s="340">
        <f t="shared" ref="J333:J396" si="142">ATAN(A333/Pole2)</f>
        <v>1.5707400580207131</v>
      </c>
      <c r="K333" s="348">
        <f t="shared" si="132"/>
        <v>4.2826858557129821</v>
      </c>
      <c r="L333" s="349">
        <f t="shared" si="133"/>
        <v>1.3351224050851369</v>
      </c>
      <c r="M333" s="337">
        <f t="shared" ref="M333:M396" si="143">SQRT(1+(A333/pole4)^2)</f>
        <v>1.0206829866119795</v>
      </c>
      <c r="N333" s="340">
        <f t="shared" ref="N333:N396" si="144">ATAN(A333/pole4)</f>
        <v>0.20165653431531777</v>
      </c>
      <c r="O333" s="341">
        <f t="shared" ref="O333:O396" si="145">SQRT((1-(V333/pterm2))^2+(A333/pterm1)^2)</f>
        <v>1.0015643987243852</v>
      </c>
      <c r="P333" s="342">
        <f t="shared" ref="P333:P396" si="146">IF((ATAN((A333/pterm1)/(1-A333^2/pterm2))&gt;0),ATAN((A333/pterm1)/(1-A333^2/pterm2)),PI()+ATAN((A333/pterm1)/(1-A333^2/pterm2)))</f>
        <v>0.32164119198536129</v>
      </c>
      <c r="Q333" s="343">
        <f t="shared" ref="Q333:Q396" si="147">20*LOG10(((E333*K333*G333)/(C333*I333*O333*M333))*Adc)</f>
        <v>7.6344417190119707</v>
      </c>
      <c r="R333" s="344">
        <f t="shared" ref="R333:R396" si="148">((F333+L333+H333)-(D333+J333+P333+N333))*radconv</f>
        <v>-121.15375878838805</v>
      </c>
      <c r="S333" s="346">
        <f t="shared" ref="S333:S396" si="149">IF(R333&gt;0,R333,R333+180)</f>
        <v>58.846241211611954</v>
      </c>
      <c r="U333" s="319">
        <f t="shared" si="129"/>
        <v>1000000000</v>
      </c>
      <c r="V333" s="319">
        <f t="shared" si="130"/>
        <v>602555209</v>
      </c>
      <c r="X333" s="345">
        <f t="shared" ref="X333:X396" si="150">20*LOG10((K333/(I333*M333))*AEA)</f>
        <v>25.169080346631812</v>
      </c>
      <c r="Y333" s="346">
        <f t="shared" ref="Y333:Y396" si="151">(L333-(J333+N333))*radconv</f>
        <v>-25.053965448117825</v>
      </c>
      <c r="AA333" s="345">
        <f t="shared" ref="AA333:AA396" si="152">20*LOG10((E333*G333/(C333*O333))*Acs*Am)</f>
        <v>44.706864994827185</v>
      </c>
      <c r="AB333" s="346">
        <f t="shared" ref="AB333:AB396" si="153">(F333+H333-(D333+P333))*radconv</f>
        <v>-96.099793340270196</v>
      </c>
      <c r="AD333">
        <f t="shared" si="131"/>
        <v>0</v>
      </c>
      <c r="AE333">
        <f t="shared" si="134"/>
        <v>0</v>
      </c>
    </row>
    <row r="334" spans="1:31" x14ac:dyDescent="0.25">
      <c r="A334" s="347">
        <v>24690</v>
      </c>
      <c r="B334" s="364">
        <f t="shared" ref="B334:B397" si="154">A334/1000</f>
        <v>24.69</v>
      </c>
      <c r="C334" s="337">
        <f t="shared" si="135"/>
        <v>5.6739289554755992</v>
      </c>
      <c r="D334" s="338">
        <f t="shared" si="136"/>
        <v>1.3936261907780398</v>
      </c>
      <c r="E334" s="338">
        <f t="shared" si="137"/>
        <v>1.0006928575874845</v>
      </c>
      <c r="F334" s="339">
        <f t="shared" si="138"/>
        <v>3.7214453666076341E-2</v>
      </c>
      <c r="G334" s="338">
        <f t="shared" si="139"/>
        <v>1</v>
      </c>
      <c r="H334" s="339">
        <f t="shared" si="140"/>
        <v>0</v>
      </c>
      <c r="I334" s="337">
        <f t="shared" si="141"/>
        <v>17875.377138354379</v>
      </c>
      <c r="J334" s="340">
        <f t="shared" si="142"/>
        <v>1.5707403839192424</v>
      </c>
      <c r="K334" s="348">
        <f t="shared" si="132"/>
        <v>4.3062783626613381</v>
      </c>
      <c r="L334" s="349">
        <f t="shared" si="133"/>
        <v>1.3364378161052606</v>
      </c>
      <c r="M334" s="337">
        <f t="shared" si="143"/>
        <v>1.0209221917219684</v>
      </c>
      <c r="N334" s="340">
        <f t="shared" si="144"/>
        <v>0.20279943872241191</v>
      </c>
      <c r="O334" s="341">
        <f t="shared" si="145"/>
        <v>1.0015972989078203</v>
      </c>
      <c r="P334" s="342">
        <f t="shared" si="146"/>
        <v>0.32357195043734077</v>
      </c>
      <c r="Q334" s="343">
        <f t="shared" si="147"/>
        <v>7.5805774350517989</v>
      </c>
      <c r="R334" s="344">
        <f t="shared" si="148"/>
        <v>-121.30007527724052</v>
      </c>
      <c r="S334" s="346">
        <f t="shared" si="149"/>
        <v>58.699924722759476</v>
      </c>
      <c r="U334" s="319">
        <f t="shared" ref="U334:U397" si="155">IF(Q334&lt;0,A334,1000000000)</f>
        <v>1000000000</v>
      </c>
      <c r="V334" s="319">
        <f t="shared" ref="V334:V397" si="156">A334^2</f>
        <v>609596100</v>
      </c>
      <c r="X334" s="345">
        <f t="shared" si="150"/>
        <v>25.16430924310162</v>
      </c>
      <c r="Y334" s="346">
        <f t="shared" si="151"/>
        <v>-25.04410021985214</v>
      </c>
      <c r="AA334" s="345">
        <f t="shared" si="152"/>
        <v>44.657771814397201</v>
      </c>
      <c r="AB334" s="346">
        <f t="shared" si="153"/>
        <v>-96.255975057388397</v>
      </c>
      <c r="AD334">
        <f t="shared" ref="AD334:AD397" si="157">SUM((Q335&lt;0)*(Q334&gt;0))*A334</f>
        <v>0</v>
      </c>
      <c r="AE334">
        <f t="shared" si="134"/>
        <v>0</v>
      </c>
    </row>
    <row r="335" spans="1:31" x14ac:dyDescent="0.25">
      <c r="A335" s="347">
        <v>24833</v>
      </c>
      <c r="B335" s="364">
        <f t="shared" si="154"/>
        <v>24.832999999999998</v>
      </c>
      <c r="C335" s="337">
        <f t="shared" si="135"/>
        <v>5.7057733933047734</v>
      </c>
      <c r="D335" s="338">
        <f t="shared" si="136"/>
        <v>1.3946253816310685</v>
      </c>
      <c r="E335" s="338">
        <f t="shared" si="137"/>
        <v>1.0007009038215184</v>
      </c>
      <c r="F335" s="339">
        <f t="shared" si="138"/>
        <v>3.7429792351914529E-2</v>
      </c>
      <c r="G335" s="338">
        <f t="shared" si="139"/>
        <v>1</v>
      </c>
      <c r="H335" s="339">
        <f t="shared" si="140"/>
        <v>0</v>
      </c>
      <c r="I335" s="337">
        <f t="shared" si="141"/>
        <v>17978.908078929831</v>
      </c>
      <c r="J335" s="340">
        <f t="shared" si="142"/>
        <v>1.5707407060644203</v>
      </c>
      <c r="K335" s="348">
        <f t="shared" si="132"/>
        <v>4.3298782395826461</v>
      </c>
      <c r="L335" s="349">
        <f t="shared" si="133"/>
        <v>1.3377388901363065</v>
      </c>
      <c r="M335" s="337">
        <f t="shared" si="143"/>
        <v>1.0211627297658632</v>
      </c>
      <c r="N335" s="340">
        <f t="shared" si="144"/>
        <v>0.20394180619177082</v>
      </c>
      <c r="O335" s="341">
        <f t="shared" si="145"/>
        <v>1.001630730104452</v>
      </c>
      <c r="P335" s="342">
        <f t="shared" si="146"/>
        <v>0.32550365396859277</v>
      </c>
      <c r="Q335" s="343">
        <f t="shared" si="147"/>
        <v>7.5270083251280626</v>
      </c>
      <c r="R335" s="344">
        <f t="shared" si="148"/>
        <v>-121.4465903993548</v>
      </c>
      <c r="S335" s="346">
        <f t="shared" si="149"/>
        <v>58.553409600645196</v>
      </c>
      <c r="U335" s="319">
        <f t="shared" si="155"/>
        <v>1000000000</v>
      </c>
      <c r="V335" s="319">
        <f t="shared" si="156"/>
        <v>616677889</v>
      </c>
      <c r="X335" s="345">
        <f t="shared" si="150"/>
        <v>25.159572723249575</v>
      </c>
      <c r="Y335" s="346">
        <f t="shared" si="151"/>
        <v>-25.035025461235151</v>
      </c>
      <c r="AA335" s="345">
        <f t="shared" si="152"/>
        <v>44.608939224325511</v>
      </c>
      <c r="AB335" s="346">
        <f t="shared" si="153"/>
        <v>-96.411564938119639</v>
      </c>
      <c r="AD335">
        <f t="shared" si="157"/>
        <v>0</v>
      </c>
      <c r="AE335">
        <f t="shared" si="134"/>
        <v>0</v>
      </c>
    </row>
    <row r="336" spans="1:31" x14ac:dyDescent="0.25">
      <c r="A336" s="347">
        <v>24976</v>
      </c>
      <c r="B336" s="364">
        <f t="shared" si="154"/>
        <v>24.975999999999999</v>
      </c>
      <c r="C336" s="337">
        <f t="shared" si="135"/>
        <v>5.737623464441282</v>
      </c>
      <c r="D336" s="338">
        <f t="shared" si="136"/>
        <v>1.3956134802623839</v>
      </c>
      <c r="E336" s="338">
        <f t="shared" si="137"/>
        <v>1.000708996458056</v>
      </c>
      <c r="F336" s="339">
        <f t="shared" si="138"/>
        <v>3.7645127564891731E-2</v>
      </c>
      <c r="G336" s="338">
        <f t="shared" si="139"/>
        <v>1</v>
      </c>
      <c r="H336" s="339">
        <f t="shared" si="140"/>
        <v>0</v>
      </c>
      <c r="I336" s="337">
        <f t="shared" si="141"/>
        <v>18082.439019507128</v>
      </c>
      <c r="J336" s="340">
        <f t="shared" si="142"/>
        <v>1.5707410245207161</v>
      </c>
      <c r="K336" s="348">
        <f t="shared" si="132"/>
        <v>4.3534853666209008</v>
      </c>
      <c r="L336" s="349">
        <f t="shared" si="133"/>
        <v>1.3390258559676325</v>
      </c>
      <c r="M336" s="337">
        <f t="shared" si="143"/>
        <v>1.0214045998019565</v>
      </c>
      <c r="N336" s="340">
        <f t="shared" si="144"/>
        <v>0.20508363412220734</v>
      </c>
      <c r="O336" s="341">
        <f t="shared" si="145"/>
        <v>1.0016646981859045</v>
      </c>
      <c r="P336" s="342">
        <f t="shared" si="146"/>
        <v>0.32743630660309925</v>
      </c>
      <c r="Q336" s="343">
        <f t="shared" si="147"/>
        <v>7.4737306080215538</v>
      </c>
      <c r="R336" s="344">
        <f t="shared" si="148"/>
        <v>-121.59330177821073</v>
      </c>
      <c r="S336" s="346">
        <f t="shared" si="149"/>
        <v>58.40669822178927</v>
      </c>
      <c r="U336" s="319">
        <f t="shared" si="155"/>
        <v>1000000000</v>
      </c>
      <c r="V336" s="319">
        <f t="shared" si="156"/>
        <v>623800576</v>
      </c>
      <c r="X336" s="345">
        <f t="shared" si="150"/>
        <v>25.154869810619328</v>
      </c>
      <c r="Y336" s="346">
        <f t="shared" si="151"/>
        <v>-25.026727918259027</v>
      </c>
      <c r="AA336" s="345">
        <f t="shared" si="152"/>
        <v>44.56036441984925</v>
      </c>
      <c r="AB336" s="346">
        <f t="shared" si="153"/>
        <v>-96.566573859951703</v>
      </c>
      <c r="AD336">
        <f t="shared" si="157"/>
        <v>0</v>
      </c>
      <c r="AE336">
        <f t="shared" si="134"/>
        <v>0</v>
      </c>
    </row>
    <row r="337" spans="1:31" x14ac:dyDescent="0.25">
      <c r="A337" s="347">
        <v>25119</v>
      </c>
      <c r="B337" s="364">
        <f t="shared" si="154"/>
        <v>25.119</v>
      </c>
      <c r="C337" s="337">
        <f t="shared" si="135"/>
        <v>5.7694790755900991</v>
      </c>
      <c r="D337" s="338">
        <f t="shared" si="136"/>
        <v>1.3965906684602272</v>
      </c>
      <c r="E337" s="338">
        <f t="shared" si="137"/>
        <v>1.0007171354959714</v>
      </c>
      <c r="F337" s="339">
        <f t="shared" si="138"/>
        <v>3.7860459285122577E-2</v>
      </c>
      <c r="G337" s="338">
        <f t="shared" si="139"/>
        <v>1</v>
      </c>
      <c r="H337" s="339">
        <f t="shared" si="140"/>
        <v>0</v>
      </c>
      <c r="I337" s="337">
        <f t="shared" si="141"/>
        <v>18185.969960086237</v>
      </c>
      <c r="J337" s="340">
        <f t="shared" si="142"/>
        <v>1.5707413393511309</v>
      </c>
      <c r="K337" s="348">
        <f t="shared" si="132"/>
        <v>4.3770996264693629</v>
      </c>
      <c r="L337" s="349">
        <f t="shared" si="133"/>
        <v>1.3402989376405823</v>
      </c>
      <c r="M337" s="337">
        <f t="shared" si="143"/>
        <v>1.0216478008842209</v>
      </c>
      <c r="N337" s="340">
        <f t="shared" si="144"/>
        <v>0.20622491992061828</v>
      </c>
      <c r="O337" s="341">
        <f t="shared" si="145"/>
        <v>1.0016992090563643</v>
      </c>
      <c r="P337" s="342">
        <f t="shared" si="146"/>
        <v>0.32936991233804852</v>
      </c>
      <c r="Q337" s="343">
        <f t="shared" si="147"/>
        <v>7.4207405700296549</v>
      </c>
      <c r="R337" s="344">
        <f t="shared" si="148"/>
        <v>-121.74020707808108</v>
      </c>
      <c r="S337" s="346">
        <f t="shared" si="149"/>
        <v>58.259792921918915</v>
      </c>
      <c r="U337" s="319">
        <f t="shared" si="155"/>
        <v>1000000000</v>
      </c>
      <c r="V337" s="319">
        <f t="shared" si="156"/>
        <v>630964161</v>
      </c>
      <c r="X337" s="345">
        <f t="shared" si="150"/>
        <v>25.150199555521251</v>
      </c>
      <c r="Y337" s="346">
        <f t="shared" si="151"/>
        <v>-25.019194609336139</v>
      </c>
      <c r="AA337" s="345">
        <f t="shared" si="152"/>
        <v>44.51204463695543</v>
      </c>
      <c r="AB337" s="346">
        <f t="shared" si="153"/>
        <v>-96.721012468744959</v>
      </c>
      <c r="AD337">
        <f t="shared" si="157"/>
        <v>0</v>
      </c>
      <c r="AE337">
        <f t="shared" si="134"/>
        <v>0</v>
      </c>
    </row>
    <row r="338" spans="1:31" x14ac:dyDescent="0.25">
      <c r="A338" s="347">
        <v>25265.25</v>
      </c>
      <c r="B338" s="364">
        <f t="shared" si="154"/>
        <v>25.265250000000002</v>
      </c>
      <c r="C338" s="337">
        <f t="shared" si="135"/>
        <v>5.8020643131084997</v>
      </c>
      <c r="D338" s="338">
        <f t="shared" si="136"/>
        <v>1.3975789656432058</v>
      </c>
      <c r="E338" s="338">
        <f t="shared" si="137"/>
        <v>1.0007255075060679</v>
      </c>
      <c r="F338" s="339">
        <f t="shared" si="138"/>
        <v>3.8080681274644437E-2</v>
      </c>
      <c r="G338" s="338">
        <f t="shared" si="139"/>
        <v>1</v>
      </c>
      <c r="H338" s="339">
        <f t="shared" si="140"/>
        <v>0</v>
      </c>
      <c r="I338" s="337">
        <f t="shared" si="141"/>
        <v>18291.853876589441</v>
      </c>
      <c r="J338" s="340">
        <f t="shared" si="142"/>
        <v>1.5707416576505198</v>
      </c>
      <c r="K338" s="348">
        <f t="shared" si="132"/>
        <v>4.4012578322045881</v>
      </c>
      <c r="L338" s="349">
        <f t="shared" si="133"/>
        <v>1.3415868205626125</v>
      </c>
      <c r="M338" s="337">
        <f t="shared" si="143"/>
        <v>1.0218979050398704</v>
      </c>
      <c r="N338" s="340">
        <f t="shared" si="144"/>
        <v>0.20739158058482446</v>
      </c>
      <c r="O338" s="341">
        <f t="shared" si="145"/>
        <v>1.001735071885494</v>
      </c>
      <c r="P338" s="342">
        <f t="shared" si="146"/>
        <v>0.33134845363406018</v>
      </c>
      <c r="Q338" s="343">
        <f t="shared" si="147"/>
        <v>7.3668399723418005</v>
      </c>
      <c r="R338" s="344">
        <f t="shared" si="148"/>
        <v>-121.89064932449581</v>
      </c>
      <c r="S338" s="346">
        <f t="shared" si="149"/>
        <v>58.109350675504189</v>
      </c>
      <c r="U338" s="319">
        <f t="shared" si="155"/>
        <v>1000000000</v>
      </c>
      <c r="V338" s="319">
        <f t="shared" si="156"/>
        <v>638332857.5625</v>
      </c>
      <c r="X338" s="345">
        <f t="shared" si="150"/>
        <v>25.145455974959859</v>
      </c>
      <c r="Y338" s="346">
        <f t="shared" si="151"/>
        <v>-25.012267322783469</v>
      </c>
      <c r="AA338" s="345">
        <f t="shared" si="152"/>
        <v>44.462887619828962</v>
      </c>
      <c r="AB338" s="346">
        <f t="shared" si="153"/>
        <v>-96.878382001712353</v>
      </c>
      <c r="AD338">
        <f t="shared" si="157"/>
        <v>0</v>
      </c>
      <c r="AE338">
        <f t="shared" si="134"/>
        <v>0</v>
      </c>
    </row>
    <row r="339" spans="1:31" x14ac:dyDescent="0.25">
      <c r="A339" s="347">
        <v>25411.5</v>
      </c>
      <c r="B339" s="364">
        <f t="shared" si="154"/>
        <v>25.4115</v>
      </c>
      <c r="C339" s="337">
        <f t="shared" si="135"/>
        <v>5.8346551543831495</v>
      </c>
      <c r="D339" s="338">
        <f t="shared" si="136"/>
        <v>1.3985562230382302</v>
      </c>
      <c r="E339" s="338">
        <f t="shared" si="137"/>
        <v>1.0007339280482614</v>
      </c>
      <c r="F339" s="339">
        <f t="shared" si="138"/>
        <v>3.8300899568789092E-2</v>
      </c>
      <c r="G339" s="338">
        <f t="shared" si="139"/>
        <v>1</v>
      </c>
      <c r="H339" s="339">
        <f t="shared" si="140"/>
        <v>0</v>
      </c>
      <c r="I339" s="337">
        <f t="shared" si="141"/>
        <v>18397.737793094475</v>
      </c>
      <c r="J339" s="340">
        <f t="shared" si="142"/>
        <v>1.570741972286112</v>
      </c>
      <c r="K339" s="348">
        <f t="shared" si="132"/>
        <v>4.4254232583437014</v>
      </c>
      <c r="L339" s="349">
        <f t="shared" si="133"/>
        <v>1.342860640374645</v>
      </c>
      <c r="M339" s="337">
        <f t="shared" si="143"/>
        <v>1.022149399416032</v>
      </c>
      <c r="N339" s="340">
        <f t="shared" si="144"/>
        <v>0.20855766873434547</v>
      </c>
      <c r="O339" s="341">
        <f t="shared" si="145"/>
        <v>1.0017715150518842</v>
      </c>
      <c r="P339" s="342">
        <f t="shared" si="146"/>
        <v>0.33332800021584902</v>
      </c>
      <c r="Q339" s="343">
        <f t="shared" si="147"/>
        <v>7.3132326308088116</v>
      </c>
      <c r="R339" s="344">
        <f t="shared" si="148"/>
        <v>-122.04128959227049</v>
      </c>
      <c r="S339" s="346">
        <f t="shared" si="149"/>
        <v>57.958710407729512</v>
      </c>
      <c r="U339" s="319">
        <f t="shared" si="155"/>
        <v>1000000000</v>
      </c>
      <c r="V339" s="319">
        <f t="shared" si="156"/>
        <v>645744332.25</v>
      </c>
      <c r="X339" s="345">
        <f t="shared" si="150"/>
        <v>25.14074462603493</v>
      </c>
      <c r="Y339" s="346">
        <f t="shared" si="151"/>
        <v>-25.006112780486117</v>
      </c>
      <c r="AA339" s="345">
        <f t="shared" si="152"/>
        <v>44.413991627220909</v>
      </c>
      <c r="AB339" s="346">
        <f t="shared" si="153"/>
        <v>-97.035176811784368</v>
      </c>
      <c r="AD339">
        <f t="shared" si="157"/>
        <v>0</v>
      </c>
      <c r="AE339">
        <f t="shared" si="134"/>
        <v>0</v>
      </c>
    </row>
    <row r="340" spans="1:31" x14ac:dyDescent="0.25">
      <c r="A340" s="347">
        <v>25557.75</v>
      </c>
      <c r="B340" s="364">
        <f t="shared" si="154"/>
        <v>25.557749999999999</v>
      </c>
      <c r="C340" s="337">
        <f t="shared" si="135"/>
        <v>5.8672515060324386</v>
      </c>
      <c r="D340" s="338">
        <f t="shared" si="136"/>
        <v>1.399522622762295</v>
      </c>
      <c r="E340" s="338">
        <f t="shared" si="137"/>
        <v>1.0007423971213263</v>
      </c>
      <c r="F340" s="339">
        <f t="shared" si="138"/>
        <v>3.8521114146290655E-2</v>
      </c>
      <c r="G340" s="338">
        <f t="shared" si="139"/>
        <v>1</v>
      </c>
      <c r="H340" s="339">
        <f t="shared" si="140"/>
        <v>0</v>
      </c>
      <c r="I340" s="337">
        <f t="shared" si="141"/>
        <v>18503.62170960131</v>
      </c>
      <c r="J340" s="340">
        <f t="shared" si="142"/>
        <v>1.5707422833208038</v>
      </c>
      <c r="K340" s="348">
        <f t="shared" si="132"/>
        <v>4.4495957872462633</v>
      </c>
      <c r="L340" s="349">
        <f t="shared" si="133"/>
        <v>1.3441206221032849</v>
      </c>
      <c r="M340" s="337">
        <f t="shared" si="143"/>
        <v>1.0224022829867905</v>
      </c>
      <c r="N340" s="340">
        <f t="shared" si="144"/>
        <v>0.20972318162164053</v>
      </c>
      <c r="O340" s="341">
        <f t="shared" si="145"/>
        <v>1.0018085449769352</v>
      </c>
      <c r="P340" s="342">
        <f t="shared" si="146"/>
        <v>0.33530855627113049</v>
      </c>
      <c r="Q340" s="343">
        <f t="shared" si="147"/>
        <v>7.2599147814656897</v>
      </c>
      <c r="R340" s="344">
        <f t="shared" si="148"/>
        <v>-122.19212551020352</v>
      </c>
      <c r="S340" s="346">
        <f t="shared" si="149"/>
        <v>57.807874489796475</v>
      </c>
      <c r="U340" s="319">
        <f t="shared" si="155"/>
        <v>1000000000</v>
      </c>
      <c r="V340" s="319">
        <f t="shared" si="156"/>
        <v>653198585.0625</v>
      </c>
      <c r="X340" s="345">
        <f t="shared" si="150"/>
        <v>25.136064574263127</v>
      </c>
      <c r="Y340" s="346">
        <f t="shared" si="151"/>
        <v>-25.000717935550519</v>
      </c>
      <c r="AA340" s="345">
        <f t="shared" si="152"/>
        <v>44.365353829649592</v>
      </c>
      <c r="AB340" s="346">
        <f t="shared" si="153"/>
        <v>-97.191407574653013</v>
      </c>
      <c r="AD340">
        <f t="shared" si="157"/>
        <v>0</v>
      </c>
      <c r="AE340">
        <f t="shared" si="134"/>
        <v>0</v>
      </c>
    </row>
    <row r="341" spans="1:31" x14ac:dyDescent="0.25">
      <c r="A341" s="347">
        <v>25704</v>
      </c>
      <c r="B341" s="364">
        <f t="shared" si="154"/>
        <v>25.704000000000001</v>
      </c>
      <c r="C341" s="337">
        <f t="shared" si="135"/>
        <v>5.8998532767228564</v>
      </c>
      <c r="D341" s="338">
        <f t="shared" si="136"/>
        <v>1.4004783429891294</v>
      </c>
      <c r="E341" s="338">
        <f t="shared" si="137"/>
        <v>1.000750914724031</v>
      </c>
      <c r="F341" s="339">
        <f t="shared" si="138"/>
        <v>3.8741324985885388E-2</v>
      </c>
      <c r="G341" s="338">
        <f t="shared" si="139"/>
        <v>1</v>
      </c>
      <c r="H341" s="339">
        <f t="shared" si="140"/>
        <v>0</v>
      </c>
      <c r="I341" s="337">
        <f t="shared" si="141"/>
        <v>18609.505626109916</v>
      </c>
      <c r="J341" s="340">
        <f t="shared" si="142"/>
        <v>1.5707425908160602</v>
      </c>
      <c r="K341" s="348">
        <f t="shared" si="132"/>
        <v>4.4737753037801467</v>
      </c>
      <c r="L341" s="349">
        <f t="shared" si="133"/>
        <v>1.3453669860882129</v>
      </c>
      <c r="M341" s="337">
        <f t="shared" si="143"/>
        <v>1.0226565547215816</v>
      </c>
      <c r="N341" s="340">
        <f t="shared" si="144"/>
        <v>0.21088811650813044</v>
      </c>
      <c r="O341" s="341">
        <f t="shared" si="145"/>
        <v>1.0018461681175022</v>
      </c>
      <c r="P341" s="342">
        <f t="shared" si="146"/>
        <v>0.33729012595743657</v>
      </c>
      <c r="Q341" s="343">
        <f t="shared" si="147"/>
        <v>7.2068827273651976</v>
      </c>
      <c r="R341" s="344">
        <f t="shared" si="148"/>
        <v>-122.34315474840395</v>
      </c>
      <c r="S341" s="346">
        <f t="shared" si="149"/>
        <v>57.656845251596053</v>
      </c>
      <c r="U341" s="319">
        <f t="shared" si="155"/>
        <v>1000000000</v>
      </c>
      <c r="V341" s="319">
        <f t="shared" si="156"/>
        <v>660695616</v>
      </c>
      <c r="X341" s="345">
        <f t="shared" si="150"/>
        <v>25.131414910885219</v>
      </c>
      <c r="Y341" s="346">
        <f t="shared" si="151"/>
        <v>-24.996070010055558</v>
      </c>
      <c r="AA341" s="345">
        <f t="shared" si="152"/>
        <v>44.316971438926998</v>
      </c>
      <c r="AB341" s="346">
        <f t="shared" si="153"/>
        <v>-97.347084738348386</v>
      </c>
      <c r="AD341">
        <f t="shared" si="157"/>
        <v>0</v>
      </c>
      <c r="AE341">
        <f t="shared" si="134"/>
        <v>0</v>
      </c>
    </row>
    <row r="342" spans="1:31" x14ac:dyDescent="0.25">
      <c r="A342" s="347">
        <v>25853.75</v>
      </c>
      <c r="B342" s="364">
        <f t="shared" si="154"/>
        <v>25.853750000000002</v>
      </c>
      <c r="C342" s="337">
        <f t="shared" si="135"/>
        <v>5.9332407825517217</v>
      </c>
      <c r="D342" s="338">
        <f t="shared" si="136"/>
        <v>1.4014460512922049</v>
      </c>
      <c r="E342" s="338">
        <f t="shared" si="137"/>
        <v>1.0007596864511321</v>
      </c>
      <c r="F342" s="339">
        <f t="shared" si="138"/>
        <v>3.8966801933113832E-2</v>
      </c>
      <c r="G342" s="338">
        <f t="shared" si="139"/>
        <v>1</v>
      </c>
      <c r="H342" s="339">
        <f t="shared" si="140"/>
        <v>0</v>
      </c>
      <c r="I342" s="337">
        <f t="shared" si="141"/>
        <v>18717.923516690618</v>
      </c>
      <c r="J342" s="340">
        <f t="shared" si="142"/>
        <v>1.5707429020654076</v>
      </c>
      <c r="K342" s="348">
        <f t="shared" si="132"/>
        <v>4.498540598197458</v>
      </c>
      <c r="L342" s="349">
        <f t="shared" si="133"/>
        <v>1.3466292924366829</v>
      </c>
      <c r="M342" s="337">
        <f t="shared" si="143"/>
        <v>1.0229183489037472</v>
      </c>
      <c r="N342" s="340">
        <f t="shared" si="144"/>
        <v>0.2120803284122984</v>
      </c>
      <c r="O342" s="341">
        <f t="shared" si="145"/>
        <v>1.0018853131022918</v>
      </c>
      <c r="P342" s="342">
        <f t="shared" si="146"/>
        <v>0.33932017244269891</v>
      </c>
      <c r="Q342" s="343">
        <f t="shared" si="147"/>
        <v>7.1528738739348343</v>
      </c>
      <c r="R342" s="344">
        <f t="shared" si="148"/>
        <v>-122.49799628596226</v>
      </c>
      <c r="S342" s="346">
        <f t="shared" si="149"/>
        <v>57.502003714037741</v>
      </c>
      <c r="U342" s="319">
        <f t="shared" si="155"/>
        <v>1000000000</v>
      </c>
      <c r="V342" s="319">
        <f t="shared" si="156"/>
        <v>668416389.0625</v>
      </c>
      <c r="X342" s="345">
        <f t="shared" si="150"/>
        <v>25.126684538483921</v>
      </c>
      <c r="Y342" s="346">
        <f t="shared" si="151"/>
        <v>-24.992071727499145</v>
      </c>
      <c r="AA342" s="345">
        <f t="shared" si="152"/>
        <v>44.267692957897935</v>
      </c>
      <c r="AB342" s="346">
        <f t="shared" si="153"/>
        <v>-97.505924558463093</v>
      </c>
      <c r="AD342">
        <f t="shared" si="157"/>
        <v>0</v>
      </c>
      <c r="AE342">
        <f t="shared" si="134"/>
        <v>0</v>
      </c>
    </row>
    <row r="343" spans="1:31" x14ac:dyDescent="0.25">
      <c r="A343" s="347">
        <v>26003.5</v>
      </c>
      <c r="B343" s="364">
        <f t="shared" si="154"/>
        <v>26.003499999999999</v>
      </c>
      <c r="C343" s="337">
        <f t="shared" si="135"/>
        <v>5.9666337824343216</v>
      </c>
      <c r="D343" s="338">
        <f t="shared" si="136"/>
        <v>1.4024029286859179</v>
      </c>
      <c r="E343" s="338">
        <f t="shared" si="137"/>
        <v>1.000768509055816</v>
      </c>
      <c r="F343" s="339">
        <f t="shared" si="138"/>
        <v>3.9192274916272418E-2</v>
      </c>
      <c r="G343" s="338">
        <f t="shared" si="139"/>
        <v>1</v>
      </c>
      <c r="H343" s="339">
        <f t="shared" si="140"/>
        <v>0</v>
      </c>
      <c r="I343" s="337">
        <f t="shared" si="141"/>
        <v>18826.34140727311</v>
      </c>
      <c r="J343" s="340">
        <f t="shared" si="142"/>
        <v>1.5707432097298846</v>
      </c>
      <c r="K343" s="348">
        <f t="shared" ref="K343:K406" si="158">SQRT(1+(A343/Zero2)^2)</f>
        <v>4.5233129821699718</v>
      </c>
      <c r="L343" s="349">
        <f t="shared" ref="L343:L406" si="159">ATAN(A343/Zero2)</f>
        <v>1.3478777744579757</v>
      </c>
      <c r="M343" s="337">
        <f t="shared" si="143"/>
        <v>1.0231815962853472</v>
      </c>
      <c r="N343" s="340">
        <f t="shared" si="144"/>
        <v>0.21327192853738317</v>
      </c>
      <c r="O343" s="341">
        <f t="shared" si="145"/>
        <v>1.0019250938504807</v>
      </c>
      <c r="P343" s="342">
        <f t="shared" si="146"/>
        <v>0.34135129037939377</v>
      </c>
      <c r="Q343" s="343">
        <f t="shared" si="147"/>
        <v>7.0991570221550582</v>
      </c>
      <c r="R343" s="344">
        <f t="shared" si="148"/>
        <v>-122.65303569273996</v>
      </c>
      <c r="S343" s="346">
        <f t="shared" si="149"/>
        <v>57.346964307260038</v>
      </c>
      <c r="U343" s="319">
        <f t="shared" si="155"/>
        <v>1000000000</v>
      </c>
      <c r="V343" s="319">
        <f t="shared" si="156"/>
        <v>676182012.25</v>
      </c>
      <c r="X343" s="345">
        <f t="shared" si="150"/>
        <v>25.121984177153855</v>
      </c>
      <c r="Y343" s="346">
        <f t="shared" si="151"/>
        <v>-24.988830262788067</v>
      </c>
      <c r="AA343" s="345">
        <f t="shared" si="152"/>
        <v>44.218676467448226</v>
      </c>
      <c r="AB343" s="346">
        <f t="shared" si="153"/>
        <v>-97.66420542995192</v>
      </c>
      <c r="AD343">
        <f t="shared" si="157"/>
        <v>0</v>
      </c>
      <c r="AE343">
        <f t="shared" si="134"/>
        <v>0</v>
      </c>
    </row>
    <row r="344" spans="1:31" x14ac:dyDescent="0.25">
      <c r="A344" s="347">
        <v>26153.25</v>
      </c>
      <c r="B344" s="364">
        <f t="shared" si="154"/>
        <v>26.15325</v>
      </c>
      <c r="C344" s="337">
        <f t="shared" si="135"/>
        <v>6.0000321846396787</v>
      </c>
      <c r="D344" s="338">
        <f t="shared" si="136"/>
        <v>1.4033491542697796</v>
      </c>
      <c r="E344" s="338">
        <f t="shared" si="137"/>
        <v>1.000777382536737</v>
      </c>
      <c r="F344" s="339">
        <f t="shared" si="138"/>
        <v>3.9417743912541062E-2</v>
      </c>
      <c r="G344" s="338">
        <f t="shared" si="139"/>
        <v>1</v>
      </c>
      <c r="H344" s="339">
        <f t="shared" si="140"/>
        <v>0</v>
      </c>
      <c r="I344" s="337">
        <f t="shared" si="141"/>
        <v>18934.759297857363</v>
      </c>
      <c r="J344" s="340">
        <f t="shared" si="142"/>
        <v>1.5707435138710704</v>
      </c>
      <c r="K344" s="348">
        <f t="shared" si="158"/>
        <v>4.5480923398522952</v>
      </c>
      <c r="L344" s="349">
        <f t="shared" si="159"/>
        <v>1.3491126541850369</v>
      </c>
      <c r="M344" s="337">
        <f t="shared" si="143"/>
        <v>1.0234462957450203</v>
      </c>
      <c r="N344" s="340">
        <f t="shared" si="144"/>
        <v>0.21446291397284309</v>
      </c>
      <c r="O344" s="341">
        <f t="shared" si="145"/>
        <v>1.0019655174089304</v>
      </c>
      <c r="P344" s="342">
        <f t="shared" si="146"/>
        <v>0.34338348413091246</v>
      </c>
      <c r="Q344" s="343">
        <f t="shared" si="147"/>
        <v>7.0457284113140028</v>
      </c>
      <c r="R344" s="344">
        <f t="shared" si="148"/>
        <v>-122.80827059691042</v>
      </c>
      <c r="S344" s="346">
        <f t="shared" si="149"/>
        <v>57.191729403089582</v>
      </c>
      <c r="U344" s="319">
        <f t="shared" si="155"/>
        <v>1000000000</v>
      </c>
      <c r="V344" s="319">
        <f t="shared" si="156"/>
        <v>683992485.5625</v>
      </c>
      <c r="X344" s="345">
        <f t="shared" si="150"/>
        <v>25.117312929897416</v>
      </c>
      <c r="Y344" s="346">
        <f t="shared" si="151"/>
        <v>-24.986332731138067</v>
      </c>
      <c r="AA344" s="345">
        <f t="shared" si="152"/>
        <v>44.169919103863613</v>
      </c>
      <c r="AB344" s="346">
        <f t="shared" si="153"/>
        <v>-97.821937865772355</v>
      </c>
      <c r="AD344">
        <f t="shared" si="157"/>
        <v>0</v>
      </c>
      <c r="AE344">
        <f t="shared" si="134"/>
        <v>0</v>
      </c>
    </row>
    <row r="345" spans="1:31" x14ac:dyDescent="0.25">
      <c r="A345" s="347">
        <v>26303</v>
      </c>
      <c r="B345" s="364">
        <f t="shared" si="154"/>
        <v>26.303000000000001</v>
      </c>
      <c r="C345" s="337">
        <f t="shared" si="135"/>
        <v>6.0334358994532691</v>
      </c>
      <c r="D345" s="338">
        <f t="shared" si="136"/>
        <v>1.404284903254273</v>
      </c>
      <c r="E345" s="338">
        <f t="shared" si="137"/>
        <v>1.0007863068925418</v>
      </c>
      <c r="F345" s="339">
        <f t="shared" si="138"/>
        <v>3.9643208899102111E-2</v>
      </c>
      <c r="G345" s="338">
        <f t="shared" si="139"/>
        <v>1</v>
      </c>
      <c r="H345" s="339">
        <f t="shared" si="140"/>
        <v>0</v>
      </c>
      <c r="I345" s="337">
        <f t="shared" si="141"/>
        <v>19043.177188443347</v>
      </c>
      <c r="J345" s="340">
        <f t="shared" si="142"/>
        <v>1.5707438145491424</v>
      </c>
      <c r="K345" s="348">
        <f t="shared" si="158"/>
        <v>4.5728785578777318</v>
      </c>
      <c r="L345" s="349">
        <f t="shared" si="159"/>
        <v>1.3503341490048817</v>
      </c>
      <c r="M345" s="337">
        <f t="shared" si="143"/>
        <v>1.0237124461563831</v>
      </c>
      <c r="N345" s="340">
        <f t="shared" si="144"/>
        <v>0.21565328181811361</v>
      </c>
      <c r="O345" s="341">
        <f t="shared" si="145"/>
        <v>1.0020065908632718</v>
      </c>
      <c r="P345" s="342">
        <f t="shared" si="146"/>
        <v>0.34541675802648103</v>
      </c>
      <c r="Q345" s="343">
        <f t="shared" si="147"/>
        <v>6.9925843475374343</v>
      </c>
      <c r="R345" s="344">
        <f t="shared" si="148"/>
        <v>-122.96369866854783</v>
      </c>
      <c r="S345" s="346">
        <f t="shared" si="149"/>
        <v>57.036301331452165</v>
      </c>
      <c r="U345" s="319">
        <f t="shared" si="155"/>
        <v>1000000000</v>
      </c>
      <c r="V345" s="319">
        <f t="shared" si="156"/>
        <v>691847809</v>
      </c>
      <c r="X345" s="345">
        <f t="shared" si="150"/>
        <v>25.112669924547752</v>
      </c>
      <c r="Y345" s="346">
        <f t="shared" si="151"/>
        <v>-24.984566514448446</v>
      </c>
      <c r="AA345" s="345">
        <f t="shared" si="152"/>
        <v>44.121418045436712</v>
      </c>
      <c r="AB345" s="346">
        <f t="shared" si="153"/>
        <v>-97.979132154099389</v>
      </c>
      <c r="AD345">
        <f t="shared" si="157"/>
        <v>0</v>
      </c>
      <c r="AE345">
        <f t="shared" si="134"/>
        <v>0</v>
      </c>
    </row>
    <row r="346" spans="1:31" x14ac:dyDescent="0.25">
      <c r="A346" s="347">
        <v>26456</v>
      </c>
      <c r="B346" s="364">
        <f t="shared" si="154"/>
        <v>26.456</v>
      </c>
      <c r="C346" s="337">
        <f t="shared" si="135"/>
        <v>6.0675699652125825</v>
      </c>
      <c r="D346" s="338">
        <f t="shared" si="136"/>
        <v>1.4052303188291519</v>
      </c>
      <c r="E346" s="338">
        <f t="shared" si="137"/>
        <v>1.0007954774738388</v>
      </c>
      <c r="F346" s="339">
        <f t="shared" si="138"/>
        <v>3.9873562950836765E-2</v>
      </c>
      <c r="G346" s="338">
        <f t="shared" si="139"/>
        <v>1</v>
      </c>
      <c r="H346" s="339">
        <f t="shared" si="140"/>
        <v>0</v>
      </c>
      <c r="I346" s="337">
        <f t="shared" si="141"/>
        <v>19153.94805495366</v>
      </c>
      <c r="J346" s="340">
        <f t="shared" si="142"/>
        <v>1.5707441182372883</v>
      </c>
      <c r="K346" s="348">
        <f t="shared" si="158"/>
        <v>4.5982096770644523</v>
      </c>
      <c r="L346" s="349">
        <f t="shared" si="159"/>
        <v>1.3515685513385001</v>
      </c>
      <c r="M346" s="337">
        <f t="shared" si="143"/>
        <v>1.0239858701381139</v>
      </c>
      <c r="N346" s="340">
        <f t="shared" si="144"/>
        <v>0.21686884317626312</v>
      </c>
      <c r="O346" s="341">
        <f t="shared" si="145"/>
        <v>1.002049234345366</v>
      </c>
      <c r="P346" s="342">
        <f t="shared" si="146"/>
        <v>0.34749527976538946</v>
      </c>
      <c r="Q346" s="343">
        <f t="shared" si="147"/>
        <v>6.9385770096754049</v>
      </c>
      <c r="R346" s="344">
        <f t="shared" si="148"/>
        <v>-123.12269709103631</v>
      </c>
      <c r="S346" s="346">
        <f t="shared" si="149"/>
        <v>56.877302908963685</v>
      </c>
      <c r="U346" s="319">
        <f t="shared" si="155"/>
        <v>1000000000</v>
      </c>
      <c r="V346" s="319">
        <f t="shared" si="156"/>
        <v>699919936</v>
      </c>
      <c r="X346" s="345">
        <f t="shared" si="150"/>
        <v>25.10795443861354</v>
      </c>
      <c r="Y346" s="346">
        <f t="shared" si="151"/>
        <v>-24.983504406120009</v>
      </c>
      <c r="AA346" s="345">
        <f t="shared" si="152"/>
        <v>44.072126193508893</v>
      </c>
      <c r="AB346" s="346">
        <f t="shared" si="153"/>
        <v>-98.139192684916296</v>
      </c>
      <c r="AD346">
        <f t="shared" si="157"/>
        <v>0</v>
      </c>
      <c r="AE346">
        <f t="shared" ref="AE346:AE409" si="160">IF(AD346&gt;0,S346,0)</f>
        <v>0</v>
      </c>
    </row>
    <row r="347" spans="1:31" x14ac:dyDescent="0.25">
      <c r="A347" s="347">
        <v>26609</v>
      </c>
      <c r="B347" s="364">
        <f t="shared" si="154"/>
        <v>26.609000000000002</v>
      </c>
      <c r="C347" s="337">
        <f t="shared" si="135"/>
        <v>6.1017093935501174</v>
      </c>
      <c r="D347" s="338">
        <f t="shared" si="136"/>
        <v>1.4061651559186563</v>
      </c>
      <c r="E347" s="338">
        <f t="shared" si="137"/>
        <v>1.0008047011593604</v>
      </c>
      <c r="F347" s="339">
        <f t="shared" si="138"/>
        <v>4.0103912768784375E-2</v>
      </c>
      <c r="G347" s="338">
        <f t="shared" si="139"/>
        <v>1</v>
      </c>
      <c r="H347" s="339">
        <f t="shared" si="140"/>
        <v>0</v>
      </c>
      <c r="I347" s="337">
        <f t="shared" si="141"/>
        <v>19264.718921465716</v>
      </c>
      <c r="J347" s="340">
        <f t="shared" si="142"/>
        <v>1.5707444184330603</v>
      </c>
      <c r="K347" s="348">
        <f t="shared" si="158"/>
        <v>4.623547725989452</v>
      </c>
      <c r="L347" s="349">
        <f t="shared" si="159"/>
        <v>1.3527894259279891</v>
      </c>
      <c r="M347" s="337">
        <f t="shared" si="143"/>
        <v>1.0242608063414247</v>
      </c>
      <c r="N347" s="340">
        <f t="shared" si="144"/>
        <v>0.21808375375701769</v>
      </c>
      <c r="O347" s="341">
        <f t="shared" si="145"/>
        <v>1.0020925713157414</v>
      </c>
      <c r="P347" s="342">
        <f t="shared" si="146"/>
        <v>0.3495749380677825</v>
      </c>
      <c r="Q347" s="343">
        <f t="shared" si="147"/>
        <v>6.8848591148325164</v>
      </c>
      <c r="R347" s="344">
        <f t="shared" si="148"/>
        <v>-123.28189236957688</v>
      </c>
      <c r="S347" s="346">
        <f t="shared" si="149"/>
        <v>56.71810763042312</v>
      </c>
      <c r="U347" s="319">
        <f t="shared" si="155"/>
        <v>1000000000</v>
      </c>
      <c r="V347" s="319">
        <f t="shared" si="156"/>
        <v>708038881</v>
      </c>
      <c r="X347" s="345">
        <f t="shared" si="150"/>
        <v>25.103266669021053</v>
      </c>
      <c r="Y347" s="346">
        <f t="shared" si="151"/>
        <v>-24.983179893540939</v>
      </c>
      <c r="AA347" s="345">
        <f t="shared" si="152"/>
        <v>44.023096068258496</v>
      </c>
      <c r="AB347" s="346">
        <f t="shared" si="153"/>
        <v>-98.298712476035931</v>
      </c>
      <c r="AD347">
        <f t="shared" si="157"/>
        <v>0</v>
      </c>
      <c r="AE347">
        <f t="shared" si="160"/>
        <v>0</v>
      </c>
    </row>
    <row r="348" spans="1:31" x14ac:dyDescent="0.25">
      <c r="A348" s="347">
        <v>26762</v>
      </c>
      <c r="B348" s="364">
        <f t="shared" si="154"/>
        <v>26.762</v>
      </c>
      <c r="C348" s="337">
        <f t="shared" si="135"/>
        <v>6.1358540949549347</v>
      </c>
      <c r="D348" s="338">
        <f t="shared" si="136"/>
        <v>1.4070895894760027</v>
      </c>
      <c r="E348" s="338">
        <f t="shared" si="137"/>
        <v>1.0008139779476386</v>
      </c>
      <c r="F348" s="339">
        <f t="shared" si="138"/>
        <v>4.0334258328617152E-2</v>
      </c>
      <c r="G348" s="338">
        <f t="shared" si="139"/>
        <v>1</v>
      </c>
      <c r="H348" s="339">
        <f t="shared" si="140"/>
        <v>0</v>
      </c>
      <c r="I348" s="337">
        <f t="shared" si="141"/>
        <v>19375.489787979488</v>
      </c>
      <c r="J348" s="340">
        <f t="shared" si="142"/>
        <v>1.5707447151963572</v>
      </c>
      <c r="K348" s="348">
        <f t="shared" si="158"/>
        <v>4.6488925913444268</v>
      </c>
      <c r="L348" s="349">
        <f t="shared" si="159"/>
        <v>1.3539969903557152</v>
      </c>
      <c r="M348" s="337">
        <f t="shared" si="143"/>
        <v>1.0245372535488939</v>
      </c>
      <c r="N348" s="340">
        <f t="shared" si="144"/>
        <v>0.21929801049930339</v>
      </c>
      <c r="O348" s="341">
        <f t="shared" si="145"/>
        <v>1.0021366094564874</v>
      </c>
      <c r="P348" s="342">
        <f t="shared" si="146"/>
        <v>0.3516557374387731</v>
      </c>
      <c r="Q348" s="343">
        <f t="shared" si="147"/>
        <v>6.8314269293017214</v>
      </c>
      <c r="R348" s="344">
        <f t="shared" si="148"/>
        <v>-123.44128214926231</v>
      </c>
      <c r="S348" s="346">
        <f t="shared" si="149"/>
        <v>56.558717850737693</v>
      </c>
      <c r="U348" s="319">
        <f t="shared" si="155"/>
        <v>1000000000</v>
      </c>
      <c r="V348" s="319">
        <f t="shared" si="156"/>
        <v>716204644</v>
      </c>
      <c r="X348" s="345">
        <f t="shared" si="150"/>
        <v>25.098605760839988</v>
      </c>
      <c r="Y348" s="346">
        <f t="shared" si="151"/>
        <v>-24.983580338205261</v>
      </c>
      <c r="AA348" s="345">
        <f t="shared" si="152"/>
        <v>43.974324790908753</v>
      </c>
      <c r="AB348" s="346">
        <f t="shared" si="153"/>
        <v>-98.457701811057049</v>
      </c>
      <c r="AD348">
        <f t="shared" si="157"/>
        <v>0</v>
      </c>
      <c r="AE348">
        <f t="shared" si="160"/>
        <v>0</v>
      </c>
    </row>
    <row r="349" spans="1:31" x14ac:dyDescent="0.25">
      <c r="A349" s="347">
        <v>26915</v>
      </c>
      <c r="B349" s="364">
        <f t="shared" si="154"/>
        <v>26.914999999999999</v>
      </c>
      <c r="C349" s="337">
        <f t="shared" si="135"/>
        <v>6.1700039818838306</v>
      </c>
      <c r="D349" s="338">
        <f t="shared" si="136"/>
        <v>1.4080037906530922</v>
      </c>
      <c r="E349" s="338">
        <f t="shared" si="137"/>
        <v>1.0008233078371964</v>
      </c>
      <c r="F349" s="339">
        <f t="shared" si="138"/>
        <v>4.0564599606010006E-2</v>
      </c>
      <c r="G349" s="338">
        <f t="shared" si="139"/>
        <v>1</v>
      </c>
      <c r="H349" s="339">
        <f t="shared" si="140"/>
        <v>0</v>
      </c>
      <c r="I349" s="337">
        <f t="shared" si="141"/>
        <v>19486.260654494945</v>
      </c>
      <c r="J349" s="340">
        <f t="shared" si="142"/>
        <v>1.5707450085857149</v>
      </c>
      <c r="K349" s="348">
        <f t="shared" si="158"/>
        <v>4.6742441622484572</v>
      </c>
      <c r="L349" s="349">
        <f t="shared" si="159"/>
        <v>1.3551914576408473</v>
      </c>
      <c r="M349" s="337">
        <f t="shared" si="143"/>
        <v>1.0248152105377266</v>
      </c>
      <c r="N349" s="340">
        <f t="shared" si="144"/>
        <v>0.22051161035305256</v>
      </c>
      <c r="O349" s="341">
        <f t="shared" si="145"/>
        <v>1.0021813564916977</v>
      </c>
      <c r="P349" s="342">
        <f t="shared" si="146"/>
        <v>0.35373768234513508</v>
      </c>
      <c r="Q349" s="343">
        <f t="shared" si="147"/>
        <v>6.7782767854603296</v>
      </c>
      <c r="R349" s="344">
        <f t="shared" si="148"/>
        <v>-123.60086411719381</v>
      </c>
      <c r="S349" s="346">
        <f t="shared" si="149"/>
        <v>56.399135882806192</v>
      </c>
      <c r="U349" s="319">
        <f t="shared" si="155"/>
        <v>1000000000</v>
      </c>
      <c r="V349" s="319">
        <f t="shared" si="156"/>
        <v>724417225</v>
      </c>
      <c r="X349" s="345">
        <f t="shared" si="150"/>
        <v>25.093970882894659</v>
      </c>
      <c r="Y349" s="346">
        <f t="shared" si="151"/>
        <v>-24.984693363611491</v>
      </c>
      <c r="AA349" s="345">
        <f t="shared" si="152"/>
        <v>43.925809525012696</v>
      </c>
      <c r="AB349" s="346">
        <f t="shared" si="153"/>
        <v>-98.616170753582281</v>
      </c>
      <c r="AD349">
        <f t="shared" si="157"/>
        <v>0</v>
      </c>
      <c r="AE349">
        <f t="shared" si="160"/>
        <v>0</v>
      </c>
    </row>
    <row r="350" spans="1:31" x14ac:dyDescent="0.25">
      <c r="A350" s="347">
        <v>27071.75</v>
      </c>
      <c r="B350" s="364">
        <f t="shared" si="154"/>
        <v>27.071750000000002</v>
      </c>
      <c r="C350" s="337">
        <f t="shared" si="135"/>
        <v>6.2049961640549585</v>
      </c>
      <c r="D350" s="338">
        <f t="shared" si="136"/>
        <v>1.4089299621321338</v>
      </c>
      <c r="E350" s="338">
        <f t="shared" si="137"/>
        <v>1.0008329214684479</v>
      </c>
      <c r="F350" s="339">
        <f t="shared" si="138"/>
        <v>4.0800582036347975E-2</v>
      </c>
      <c r="G350" s="338">
        <f t="shared" si="139"/>
        <v>1</v>
      </c>
      <c r="H350" s="339">
        <f t="shared" si="140"/>
        <v>0</v>
      </c>
      <c r="I350" s="337">
        <f t="shared" si="141"/>
        <v>19599.746493230639</v>
      </c>
      <c r="J350" s="340">
        <f t="shared" si="142"/>
        <v>1.5707453057268037</v>
      </c>
      <c r="K350" s="348">
        <f t="shared" si="158"/>
        <v>4.7002239358309366</v>
      </c>
      <c r="L350" s="349">
        <f t="shared" si="159"/>
        <v>1.356401836538714</v>
      </c>
      <c r="M350" s="337">
        <f t="shared" si="143"/>
        <v>1.0251015446552676</v>
      </c>
      <c r="N350" s="340">
        <f t="shared" si="144"/>
        <v>0.22175427088775079</v>
      </c>
      <c r="O350" s="341">
        <f t="shared" si="145"/>
        <v>1.0022279435576065</v>
      </c>
      <c r="P350" s="342">
        <f t="shared" si="146"/>
        <v>0.35587184793720178</v>
      </c>
      <c r="Q350" s="343">
        <f t="shared" si="147"/>
        <v>6.7241126708076449</v>
      </c>
      <c r="R350" s="344">
        <f t="shared" si="148"/>
        <v>-123.76455434462169</v>
      </c>
      <c r="S350" s="346">
        <f t="shared" si="149"/>
        <v>56.235445655378314</v>
      </c>
      <c r="U350" s="319">
        <f t="shared" si="155"/>
        <v>1000000000</v>
      </c>
      <c r="V350" s="319">
        <f t="shared" si="156"/>
        <v>732879648.0625</v>
      </c>
      <c r="X350" s="345">
        <f t="shared" si="150"/>
        <v>25.089248555208535</v>
      </c>
      <c r="Y350" s="346">
        <f t="shared" si="151"/>
        <v>-24.98655999009015</v>
      </c>
      <c r="AA350" s="345">
        <f t="shared" si="152"/>
        <v>43.876367738046127</v>
      </c>
      <c r="AB350" s="346">
        <f t="shared" si="153"/>
        <v>-98.777994354531529</v>
      </c>
      <c r="AD350">
        <f t="shared" si="157"/>
        <v>0</v>
      </c>
      <c r="AE350">
        <f t="shared" si="160"/>
        <v>0</v>
      </c>
    </row>
    <row r="351" spans="1:31" x14ac:dyDescent="0.25">
      <c r="A351" s="347">
        <v>27228.5</v>
      </c>
      <c r="B351" s="364">
        <f t="shared" si="154"/>
        <v>27.2285</v>
      </c>
      <c r="C351" s="337">
        <f t="shared" si="135"/>
        <v>6.2399936091340447</v>
      </c>
      <c r="D351" s="338">
        <f t="shared" si="136"/>
        <v>1.409845745393034</v>
      </c>
      <c r="E351" s="338">
        <f t="shared" si="137"/>
        <v>1.0008425908327176</v>
      </c>
      <c r="F351" s="339">
        <f t="shared" si="138"/>
        <v>4.1036559920068653E-2</v>
      </c>
      <c r="G351" s="338">
        <f t="shared" si="139"/>
        <v>1</v>
      </c>
      <c r="H351" s="339">
        <f t="shared" si="140"/>
        <v>0</v>
      </c>
      <c r="I351" s="337">
        <f t="shared" si="141"/>
        <v>19713.232331968044</v>
      </c>
      <c r="J351" s="340">
        <f t="shared" si="142"/>
        <v>1.5707455994467079</v>
      </c>
      <c r="K351" s="348">
        <f t="shared" si="158"/>
        <v>4.7262105196128203</v>
      </c>
      <c r="L351" s="349">
        <f t="shared" si="159"/>
        <v>1.3575989068858287</v>
      </c>
      <c r="M351" s="337">
        <f t="shared" si="143"/>
        <v>1.0253894608544547</v>
      </c>
      <c r="N351" s="340">
        <f t="shared" si="144"/>
        <v>0.22299623549314623</v>
      </c>
      <c r="O351" s="341">
        <f t="shared" si="145"/>
        <v>1.0022752912418917</v>
      </c>
      <c r="P351" s="342">
        <f t="shared" si="146"/>
        <v>0.35800722527365031</v>
      </c>
      <c r="Q351" s="343">
        <f t="shared" si="147"/>
        <v>6.6702370051375866</v>
      </c>
      <c r="R351" s="344">
        <f t="shared" si="148"/>
        <v>-123.92844151329273</v>
      </c>
      <c r="S351" s="346">
        <f t="shared" si="149"/>
        <v>56.071558486707275</v>
      </c>
      <c r="U351" s="319">
        <f t="shared" si="155"/>
        <v>1000000000</v>
      </c>
      <c r="V351" s="319">
        <f t="shared" si="156"/>
        <v>741391212.25</v>
      </c>
      <c r="X351" s="345">
        <f t="shared" si="150"/>
        <v>25.084551856353929</v>
      </c>
      <c r="Y351" s="346">
        <f t="shared" si="151"/>
        <v>-24.989149070527834</v>
      </c>
      <c r="AA351" s="345">
        <f t="shared" si="152"/>
        <v>43.827188771230681</v>
      </c>
      <c r="AB351" s="346">
        <f t="shared" si="153"/>
        <v>-98.939292442764909</v>
      </c>
      <c r="AD351">
        <f t="shared" si="157"/>
        <v>0</v>
      </c>
      <c r="AE351">
        <f t="shared" si="160"/>
        <v>0</v>
      </c>
    </row>
    <row r="352" spans="1:31" x14ac:dyDescent="0.25">
      <c r="A352" s="347">
        <v>27385.25</v>
      </c>
      <c r="B352" s="364">
        <f t="shared" si="154"/>
        <v>27.385249999999999</v>
      </c>
      <c r="C352" s="337">
        <f t="shared" si="135"/>
        <v>6.2749962290628707</v>
      </c>
      <c r="D352" s="338">
        <f t="shared" si="136"/>
        <v>1.4107513127266127</v>
      </c>
      <c r="E352" s="338">
        <f t="shared" si="137"/>
        <v>1.0008523159283904</v>
      </c>
      <c r="F352" s="339">
        <f t="shared" si="138"/>
        <v>4.1272533231023076E-2</v>
      </c>
      <c r="G352" s="338">
        <f t="shared" si="139"/>
        <v>1</v>
      </c>
      <c r="H352" s="339">
        <f t="shared" si="140"/>
        <v>0</v>
      </c>
      <c r="I352" s="337">
        <f t="shared" si="141"/>
        <v>19826.718170707136</v>
      </c>
      <c r="J352" s="340">
        <f t="shared" si="142"/>
        <v>1.5707458898041746</v>
      </c>
      <c r="K352" s="348">
        <f t="shared" si="158"/>
        <v>4.7522038018730068</v>
      </c>
      <c r="L352" s="349">
        <f t="shared" si="159"/>
        <v>1.3587828836056255</v>
      </c>
      <c r="M352" s="337">
        <f t="shared" si="143"/>
        <v>1.0256789578029792</v>
      </c>
      <c r="N352" s="340">
        <f t="shared" si="144"/>
        <v>0.22423750092551573</v>
      </c>
      <c r="O352" s="341">
        <f t="shared" si="145"/>
        <v>1.0023234079873733</v>
      </c>
      <c r="P352" s="342">
        <f t="shared" si="146"/>
        <v>0.36014381903074877</v>
      </c>
      <c r="Q352" s="343">
        <f t="shared" si="147"/>
        <v>6.6166460500670263</v>
      </c>
      <c r="R352" s="344">
        <f t="shared" si="148"/>
        <v>-124.0925232674811</v>
      </c>
      <c r="S352" s="346">
        <f t="shared" si="149"/>
        <v>55.907476732518901</v>
      </c>
      <c r="U352" s="319">
        <f t="shared" si="155"/>
        <v>1000000000</v>
      </c>
      <c r="V352" s="319">
        <f t="shared" si="156"/>
        <v>749951917.5625</v>
      </c>
      <c r="X352" s="345">
        <f t="shared" si="150"/>
        <v>25.079879965217778</v>
      </c>
      <c r="Y352" s="346">
        <f t="shared" si="151"/>
        <v>-24.992448108233152</v>
      </c>
      <c r="AA352" s="345">
        <f t="shared" si="152"/>
        <v>43.778269707296275</v>
      </c>
      <c r="AB352" s="346">
        <f t="shared" si="153"/>
        <v>-99.100075159247922</v>
      </c>
      <c r="AD352">
        <f t="shared" si="157"/>
        <v>0</v>
      </c>
      <c r="AE352">
        <f t="shared" si="160"/>
        <v>0</v>
      </c>
    </row>
    <row r="353" spans="1:31" x14ac:dyDescent="0.25">
      <c r="A353" s="347">
        <v>27542</v>
      </c>
      <c r="B353" s="364">
        <f t="shared" si="154"/>
        <v>27.542000000000002</v>
      </c>
      <c r="C353" s="337">
        <f t="shared" si="135"/>
        <v>6.3100039377242343</v>
      </c>
      <c r="D353" s="338">
        <f t="shared" si="136"/>
        <v>1.4116468326681053</v>
      </c>
      <c r="E353" s="338">
        <f t="shared" si="137"/>
        <v>1.0008620967538417</v>
      </c>
      <c r="F353" s="339">
        <f t="shared" si="138"/>
        <v>4.1508501943065323E-2</v>
      </c>
      <c r="G353" s="338">
        <f t="shared" si="139"/>
        <v>1</v>
      </c>
      <c r="H353" s="339">
        <f t="shared" si="140"/>
        <v>0</v>
      </c>
      <c r="I353" s="337">
        <f t="shared" si="141"/>
        <v>19940.204009447876</v>
      </c>
      <c r="J353" s="340">
        <f t="shared" si="142"/>
        <v>1.5707461768566138</v>
      </c>
      <c r="K353" s="348">
        <f t="shared" si="158"/>
        <v>4.7782036732929454</v>
      </c>
      <c r="L353" s="349">
        <f t="shared" si="159"/>
        <v>1.359953977092297</v>
      </c>
      <c r="M353" s="337">
        <f t="shared" si="143"/>
        <v>1.0259700341627258</v>
      </c>
      <c r="N353" s="340">
        <f t="shared" si="144"/>
        <v>0.22547806395340525</v>
      </c>
      <c r="O353" s="341">
        <f t="shared" si="145"/>
        <v>1.0023723022828577</v>
      </c>
      <c r="P353" s="342">
        <f t="shared" si="146"/>
        <v>0.36228163384126638</v>
      </c>
      <c r="Q353" s="343">
        <f t="shared" si="147"/>
        <v>6.5633361332767661</v>
      </c>
      <c r="R353" s="344">
        <f t="shared" si="148"/>
        <v>-124.25679729392192</v>
      </c>
      <c r="S353" s="346">
        <f t="shared" si="149"/>
        <v>55.74320270607808</v>
      </c>
      <c r="U353" s="319">
        <f t="shared" si="155"/>
        <v>1000000000</v>
      </c>
      <c r="V353" s="319">
        <f t="shared" si="156"/>
        <v>758561764</v>
      </c>
      <c r="X353" s="345">
        <f t="shared" si="150"/>
        <v>25.075232083656765</v>
      </c>
      <c r="Y353" s="346">
        <f t="shared" si="151"/>
        <v>-24.996444866647483</v>
      </c>
      <c r="AA353" s="345">
        <f t="shared" si="152"/>
        <v>43.729607672067026</v>
      </c>
      <c r="AB353" s="346">
        <f t="shared" si="153"/>
        <v>-99.260352427274469</v>
      </c>
      <c r="AD353">
        <f t="shared" si="157"/>
        <v>0</v>
      </c>
      <c r="AE353">
        <f t="shared" si="160"/>
        <v>0</v>
      </c>
    </row>
    <row r="354" spans="1:31" x14ac:dyDescent="0.25">
      <c r="A354" s="347">
        <v>27702.5</v>
      </c>
      <c r="B354" s="364">
        <f t="shared" si="154"/>
        <v>27.702500000000001</v>
      </c>
      <c r="C354" s="337">
        <f t="shared" si="135"/>
        <v>6.3458543362161226</v>
      </c>
      <c r="D354" s="338">
        <f t="shared" si="136"/>
        <v>1.4125535378965024</v>
      </c>
      <c r="E354" s="338">
        <f t="shared" si="137"/>
        <v>1.0008721693142248</v>
      </c>
      <c r="F354" s="339">
        <f t="shared" si="138"/>
        <v>4.1750111047040787E-2</v>
      </c>
      <c r="G354" s="338">
        <f t="shared" si="139"/>
        <v>1</v>
      </c>
      <c r="H354" s="339">
        <f t="shared" si="140"/>
        <v>0</v>
      </c>
      <c r="I354" s="337">
        <f t="shared" si="141"/>
        <v>20056.404820408978</v>
      </c>
      <c r="J354" s="340">
        <f t="shared" si="142"/>
        <v>1.5707464674103575</v>
      </c>
      <c r="K354" s="348">
        <f t="shared" si="158"/>
        <v>4.8048322669858869</v>
      </c>
      <c r="L354" s="349">
        <f t="shared" si="159"/>
        <v>1.3611399530399897</v>
      </c>
      <c r="M354" s="337">
        <f t="shared" si="143"/>
        <v>1.0262697092087354</v>
      </c>
      <c r="N354" s="340">
        <f t="shared" si="144"/>
        <v>0.22674757434913206</v>
      </c>
      <c r="O354" s="341">
        <f t="shared" si="145"/>
        <v>1.0024231808875876</v>
      </c>
      <c r="P354" s="342">
        <f t="shared" si="146"/>
        <v>0.3644718625599026</v>
      </c>
      <c r="Q354" s="343">
        <f t="shared" si="147"/>
        <v>6.5090382956817052</v>
      </c>
      <c r="R354" s="344">
        <f t="shared" si="148"/>
        <v>-124.42519817557998</v>
      </c>
      <c r="S354" s="346">
        <f t="shared" si="149"/>
        <v>55.574801824420021</v>
      </c>
      <c r="U354" s="319">
        <f t="shared" si="155"/>
        <v>1000000000</v>
      </c>
      <c r="V354" s="319">
        <f t="shared" si="156"/>
        <v>767428506.25</v>
      </c>
      <c r="X354" s="345">
        <f t="shared" si="150"/>
        <v>25.070497076538729</v>
      </c>
      <c r="Y354" s="346">
        <f t="shared" si="151"/>
        <v>-25.001247685472517</v>
      </c>
      <c r="AA354" s="345">
        <f t="shared" si="152"/>
        <v>43.680044841590004</v>
      </c>
      <c r="AB354" s="346">
        <f t="shared" si="153"/>
        <v>-99.423950490107458</v>
      </c>
      <c r="AD354">
        <f t="shared" si="157"/>
        <v>0</v>
      </c>
      <c r="AE354">
        <f t="shared" si="160"/>
        <v>0</v>
      </c>
    </row>
    <row r="355" spans="1:31" x14ac:dyDescent="0.25">
      <c r="A355" s="347">
        <v>27863</v>
      </c>
      <c r="B355" s="364">
        <f t="shared" si="154"/>
        <v>27.863</v>
      </c>
      <c r="C355" s="337">
        <f t="shared" si="135"/>
        <v>6.381709893108507</v>
      </c>
      <c r="D355" s="338">
        <f t="shared" si="136"/>
        <v>1.4134500552311751</v>
      </c>
      <c r="E355" s="338">
        <f t="shared" si="137"/>
        <v>1.0008823002993021</v>
      </c>
      <c r="F355" s="339">
        <f t="shared" si="138"/>
        <v>4.199171527395866E-2</v>
      </c>
      <c r="G355" s="338">
        <f t="shared" si="139"/>
        <v>1</v>
      </c>
      <c r="H355" s="339">
        <f t="shared" si="140"/>
        <v>0</v>
      </c>
      <c r="I355" s="337">
        <f t="shared" si="141"/>
        <v>20172.605631371749</v>
      </c>
      <c r="J355" s="340">
        <f t="shared" si="142"/>
        <v>1.5707467546167317</v>
      </c>
      <c r="K355" s="348">
        <f t="shared" si="158"/>
        <v>4.831467544361697</v>
      </c>
      <c r="L355" s="349">
        <f t="shared" si="159"/>
        <v>1.3623128543476239</v>
      </c>
      <c r="M355" s="337">
        <f t="shared" si="143"/>
        <v>1.0265710372819241</v>
      </c>
      <c r="N355" s="340">
        <f t="shared" si="144"/>
        <v>0.22801634151317832</v>
      </c>
      <c r="O355" s="341">
        <f t="shared" si="145"/>
        <v>1.0024748928506524</v>
      </c>
      <c r="P355" s="342">
        <f t="shared" si="146"/>
        <v>0.36666338114365687</v>
      </c>
      <c r="Q355" s="343">
        <f t="shared" si="147"/>
        <v>6.4550275171090679</v>
      </c>
      <c r="R355" s="344">
        <f t="shared" si="148"/>
        <v>-124.59379586305332</v>
      </c>
      <c r="S355" s="346">
        <f t="shared" si="149"/>
        <v>55.406204136946684</v>
      </c>
      <c r="U355" s="319">
        <f t="shared" si="155"/>
        <v>1000000000</v>
      </c>
      <c r="V355" s="319">
        <f t="shared" si="156"/>
        <v>776346769</v>
      </c>
      <c r="X355" s="345">
        <f t="shared" si="150"/>
        <v>25.065785618566313</v>
      </c>
      <c r="Y355" s="346">
        <f t="shared" si="151"/>
        <v>-25.006756850163725</v>
      </c>
      <c r="AA355" s="345">
        <f t="shared" si="152"/>
        <v>43.630745520989784</v>
      </c>
      <c r="AB355" s="346">
        <f t="shared" si="153"/>
        <v>-99.587039012889576</v>
      </c>
      <c r="AD355">
        <f t="shared" si="157"/>
        <v>0</v>
      </c>
      <c r="AE355">
        <f t="shared" si="160"/>
        <v>0</v>
      </c>
    </row>
    <row r="356" spans="1:31" x14ac:dyDescent="0.25">
      <c r="A356" s="347">
        <v>28023.5</v>
      </c>
      <c r="B356" s="364">
        <f t="shared" si="154"/>
        <v>28.023499999999999</v>
      </c>
      <c r="C356" s="337">
        <f t="shared" si="135"/>
        <v>6.4175705219400125</v>
      </c>
      <c r="D356" s="338">
        <f t="shared" si="136"/>
        <v>1.4143365540050237</v>
      </c>
      <c r="E356" s="338">
        <f t="shared" si="137"/>
        <v>1.0008924897072993</v>
      </c>
      <c r="F356" s="339">
        <f t="shared" si="138"/>
        <v>4.2233314595761344E-2</v>
      </c>
      <c r="G356" s="338">
        <f t="shared" si="139"/>
        <v>1</v>
      </c>
      <c r="H356" s="339">
        <f t="shared" si="140"/>
        <v>0</v>
      </c>
      <c r="I356" s="337">
        <f t="shared" si="141"/>
        <v>20288.806442336168</v>
      </c>
      <c r="J356" s="340">
        <f t="shared" si="142"/>
        <v>1.5707470385332511</v>
      </c>
      <c r="K356" s="348">
        <f t="shared" si="158"/>
        <v>4.8581093954876406</v>
      </c>
      <c r="L356" s="349">
        <f t="shared" si="159"/>
        <v>1.3634728928650683</v>
      </c>
      <c r="M356" s="337">
        <f t="shared" si="143"/>
        <v>1.026874016927088</v>
      </c>
      <c r="N356" s="340">
        <f t="shared" si="144"/>
        <v>0.2292843620167887</v>
      </c>
      <c r="O356" s="341">
        <f t="shared" si="145"/>
        <v>1.0025274474341528</v>
      </c>
      <c r="P356" s="342">
        <f t="shared" si="146"/>
        <v>0.36885619442193623</v>
      </c>
      <c r="Q356" s="343">
        <f t="shared" si="147"/>
        <v>6.4013000604207697</v>
      </c>
      <c r="R356" s="344">
        <f t="shared" si="148"/>
        <v>-124.76258800545341</v>
      </c>
      <c r="S356" s="346">
        <f t="shared" si="149"/>
        <v>55.237411994546591</v>
      </c>
      <c r="U356" s="319">
        <f t="shared" si="155"/>
        <v>1000000000</v>
      </c>
      <c r="V356" s="319">
        <f t="shared" si="156"/>
        <v>785316552.25</v>
      </c>
      <c r="X356" s="345">
        <f t="shared" si="150"/>
        <v>25.061096923063868</v>
      </c>
      <c r="Y356" s="346">
        <f t="shared" si="151"/>
        <v>-25.012960029459862</v>
      </c>
      <c r="AA356" s="345">
        <f t="shared" si="152"/>
        <v>43.581706759803929</v>
      </c>
      <c r="AB356" s="346">
        <f t="shared" si="153"/>
        <v>-99.749627975993533</v>
      </c>
      <c r="AD356">
        <f t="shared" si="157"/>
        <v>0</v>
      </c>
      <c r="AE356">
        <f t="shared" si="160"/>
        <v>0</v>
      </c>
    </row>
    <row r="357" spans="1:31" x14ac:dyDescent="0.25">
      <c r="A357" s="347">
        <v>28184</v>
      </c>
      <c r="B357" s="364">
        <f t="shared" si="154"/>
        <v>28.184000000000001</v>
      </c>
      <c r="C357" s="337">
        <f t="shared" si="135"/>
        <v>6.453436138158974</v>
      </c>
      <c r="D357" s="338">
        <f t="shared" si="136"/>
        <v>1.4152131998504001</v>
      </c>
      <c r="E357" s="338">
        <f t="shared" si="137"/>
        <v>1.0009027375364319</v>
      </c>
      <c r="F357" s="339">
        <f t="shared" si="138"/>
        <v>4.2474908984394655E-2</v>
      </c>
      <c r="G357" s="338">
        <f t="shared" si="139"/>
        <v>1</v>
      </c>
      <c r="H357" s="339">
        <f t="shared" si="140"/>
        <v>0</v>
      </c>
      <c r="I357" s="337">
        <f t="shared" si="141"/>
        <v>20405.007253302203</v>
      </c>
      <c r="J357" s="340">
        <f t="shared" si="142"/>
        <v>1.5707473192161201</v>
      </c>
      <c r="K357" s="348">
        <f t="shared" si="158"/>
        <v>4.8847577128024788</v>
      </c>
      <c r="L357" s="349">
        <f t="shared" si="159"/>
        <v>1.3646202759594799</v>
      </c>
      <c r="M357" s="337">
        <f t="shared" si="143"/>
        <v>1.0271786466827699</v>
      </c>
      <c r="N357" s="340">
        <f t="shared" si="144"/>
        <v>0.2305516324448465</v>
      </c>
      <c r="O357" s="341">
        <f t="shared" si="145"/>
        <v>1.0025808539503884</v>
      </c>
      <c r="P357" s="342">
        <f t="shared" si="146"/>
        <v>0.37105030717490511</v>
      </c>
      <c r="Q357" s="343">
        <f t="shared" si="147"/>
        <v>6.3478522543680551</v>
      </c>
      <c r="R357" s="344">
        <f t="shared" si="148"/>
        <v>-124.93157229459122</v>
      </c>
      <c r="S357" s="346">
        <f t="shared" si="149"/>
        <v>55.06842770540878</v>
      </c>
      <c r="U357" s="319">
        <f t="shared" si="155"/>
        <v>1000000000</v>
      </c>
      <c r="V357" s="319">
        <f t="shared" si="156"/>
        <v>794337856</v>
      </c>
      <c r="X357" s="345">
        <f t="shared" si="150"/>
        <v>25.056430225507007</v>
      </c>
      <c r="Y357" s="346">
        <f t="shared" si="151"/>
        <v>-25.0198451496465</v>
      </c>
      <c r="AA357" s="345">
        <f t="shared" si="152"/>
        <v>43.532925651308076</v>
      </c>
      <c r="AB357" s="346">
        <f t="shared" si="153"/>
        <v>-99.911727144944734</v>
      </c>
      <c r="AD357">
        <f t="shared" si="157"/>
        <v>0</v>
      </c>
      <c r="AE357">
        <f t="shared" si="160"/>
        <v>0</v>
      </c>
    </row>
    <row r="358" spans="1:31" x14ac:dyDescent="0.25">
      <c r="A358" s="347">
        <v>28348</v>
      </c>
      <c r="B358" s="364">
        <f t="shared" si="154"/>
        <v>28.347999999999999</v>
      </c>
      <c r="C358" s="337">
        <f t="shared" si="135"/>
        <v>6.4900889363023397</v>
      </c>
      <c r="D358" s="338">
        <f t="shared" si="136"/>
        <v>1.4160989535868376</v>
      </c>
      <c r="E358" s="338">
        <f t="shared" si="137"/>
        <v>1.0009132691826053</v>
      </c>
      <c r="F358" s="339">
        <f t="shared" si="138"/>
        <v>4.2721766661594038E-2</v>
      </c>
      <c r="G358" s="338">
        <f t="shared" si="139"/>
        <v>1</v>
      </c>
      <c r="H358" s="339">
        <f t="shared" si="140"/>
        <v>0</v>
      </c>
      <c r="I358" s="337">
        <f t="shared" si="141"/>
        <v>20523.742038340795</v>
      </c>
      <c r="J358" s="340">
        <f t="shared" si="142"/>
        <v>1.5707476027367533</v>
      </c>
      <c r="K358" s="348">
        <f t="shared" si="158"/>
        <v>4.9119937158104428</v>
      </c>
      <c r="L358" s="349">
        <f t="shared" si="159"/>
        <v>1.3657798186634145</v>
      </c>
      <c r="M358" s="337">
        <f t="shared" si="143"/>
        <v>1.0274916224062807</v>
      </c>
      <c r="N358" s="340">
        <f t="shared" si="144"/>
        <v>0.23184575972552568</v>
      </c>
      <c r="O358" s="341">
        <f t="shared" si="145"/>
        <v>1.0026363148384201</v>
      </c>
      <c r="P358" s="342">
        <f t="shared" si="146"/>
        <v>0.37329361383492576</v>
      </c>
      <c r="Q358" s="343">
        <f t="shared" si="147"/>
        <v>6.293524031909806</v>
      </c>
      <c r="R358" s="344">
        <f t="shared" si="148"/>
        <v>-125.10443771907413</v>
      </c>
      <c r="S358" s="346">
        <f t="shared" si="149"/>
        <v>54.895562280925873</v>
      </c>
      <c r="U358" s="319">
        <f t="shared" si="155"/>
        <v>1000000000</v>
      </c>
      <c r="V358" s="319">
        <f t="shared" si="156"/>
        <v>803609104</v>
      </c>
      <c r="X358" s="345">
        <f t="shared" si="150"/>
        <v>25.051683711665508</v>
      </c>
      <c r="Y358" s="346">
        <f t="shared" si="151"/>
        <v>-25.027572522426038</v>
      </c>
      <c r="AA358" s="345">
        <f t="shared" si="152"/>
        <v>43.48334394269132</v>
      </c>
      <c r="AB358" s="346">
        <f t="shared" si="153"/>
        <v>-100.07686519664809</v>
      </c>
      <c r="AD358">
        <f t="shared" si="157"/>
        <v>0</v>
      </c>
      <c r="AE358">
        <f t="shared" si="160"/>
        <v>0</v>
      </c>
    </row>
    <row r="359" spans="1:31" x14ac:dyDescent="0.25">
      <c r="A359" s="347">
        <v>28512</v>
      </c>
      <c r="B359" s="364">
        <f t="shared" si="154"/>
        <v>28.512</v>
      </c>
      <c r="C359" s="337">
        <f t="shared" si="135"/>
        <v>6.526746769115908</v>
      </c>
      <c r="D359" s="338">
        <f t="shared" si="136"/>
        <v>1.4169747582346579</v>
      </c>
      <c r="E359" s="338">
        <f t="shared" si="137"/>
        <v>1.000923861821859</v>
      </c>
      <c r="F359" s="339">
        <f t="shared" si="138"/>
        <v>4.2968619128914497E-2</v>
      </c>
      <c r="G359" s="338">
        <f t="shared" si="139"/>
        <v>1</v>
      </c>
      <c r="H359" s="339">
        <f t="shared" si="140"/>
        <v>0</v>
      </c>
      <c r="I359" s="337">
        <f t="shared" si="141"/>
        <v>20642.476823381014</v>
      </c>
      <c r="J359" s="340">
        <f t="shared" si="142"/>
        <v>1.5707478829957853</v>
      </c>
      <c r="K359" s="348">
        <f t="shared" si="158"/>
        <v>4.9392362503459699</v>
      </c>
      <c r="L359" s="349">
        <f t="shared" si="159"/>
        <v>1.3669265718963919</v>
      </c>
      <c r="M359" s="337">
        <f t="shared" si="143"/>
        <v>1.0278063178875469</v>
      </c>
      <c r="N359" s="340">
        <f t="shared" si="144"/>
        <v>0.23313909669496791</v>
      </c>
      <c r="O359" s="341">
        <f t="shared" si="145"/>
        <v>1.0026926850379267</v>
      </c>
      <c r="P359" s="342">
        <f t="shared" si="146"/>
        <v>0.37553828719436672</v>
      </c>
      <c r="Q359" s="343">
        <f t="shared" si="147"/>
        <v>6.2394802435523919</v>
      </c>
      <c r="R359" s="344">
        <f t="shared" si="148"/>
        <v>-125.27749902171588</v>
      </c>
      <c r="S359" s="346">
        <f t="shared" si="149"/>
        <v>54.722500978284117</v>
      </c>
      <c r="U359" s="319">
        <f t="shared" si="155"/>
        <v>1000000000</v>
      </c>
      <c r="V359" s="319">
        <f t="shared" si="156"/>
        <v>812934144</v>
      </c>
      <c r="X359" s="345">
        <f t="shared" si="150"/>
        <v>25.046958619483707</v>
      </c>
      <c r="Y359" s="346">
        <f t="shared" si="151"/>
        <v>-25.035987209540053</v>
      </c>
      <c r="AA359" s="345">
        <f t="shared" si="152"/>
        <v>43.434025246515702</v>
      </c>
      <c r="AB359" s="346">
        <f t="shared" si="153"/>
        <v>-100.24151181217583</v>
      </c>
      <c r="AD359">
        <f t="shared" si="157"/>
        <v>0</v>
      </c>
      <c r="AE359">
        <f t="shared" si="160"/>
        <v>0</v>
      </c>
    </row>
    <row r="360" spans="1:31" x14ac:dyDescent="0.25">
      <c r="A360" s="347">
        <v>28676</v>
      </c>
      <c r="B360" s="364">
        <f t="shared" si="154"/>
        <v>28.675999999999998</v>
      </c>
      <c r="C360" s="337">
        <f t="shared" si="135"/>
        <v>6.5634095522410396</v>
      </c>
      <c r="D360" s="338">
        <f t="shared" si="136"/>
        <v>1.4178407791638405</v>
      </c>
      <c r="E360" s="338">
        <f t="shared" si="137"/>
        <v>1.0009345154522569</v>
      </c>
      <c r="F360" s="339">
        <f t="shared" si="138"/>
        <v>4.3215466356437429E-2</v>
      </c>
      <c r="G360" s="338">
        <f t="shared" si="139"/>
        <v>1</v>
      </c>
      <c r="H360" s="339">
        <f t="shared" si="140"/>
        <v>0</v>
      </c>
      <c r="I360" s="337">
        <f t="shared" si="141"/>
        <v>20761.211608422833</v>
      </c>
      <c r="J360" s="340">
        <f t="shared" si="142"/>
        <v>1.5707481600491764</v>
      </c>
      <c r="K360" s="348">
        <f t="shared" si="158"/>
        <v>4.9664852089273968</v>
      </c>
      <c r="L360" s="349">
        <f t="shared" si="159"/>
        <v>1.3680607431281722</v>
      </c>
      <c r="M360" s="337">
        <f t="shared" si="143"/>
        <v>1.0281227315473802</v>
      </c>
      <c r="N360" s="340">
        <f t="shared" si="144"/>
        <v>0.23443163975409809</v>
      </c>
      <c r="O360" s="341">
        <f t="shared" si="145"/>
        <v>1.0027499746456121</v>
      </c>
      <c r="P360" s="342">
        <f t="shared" si="146"/>
        <v>0.37778433219128726</v>
      </c>
      <c r="Q360" s="343">
        <f t="shared" si="147"/>
        <v>6.1857171756831928</v>
      </c>
      <c r="R360" s="344">
        <f t="shared" si="148"/>
        <v>-125.45075387201537</v>
      </c>
      <c r="S360" s="346">
        <f t="shared" si="149"/>
        <v>54.549246127984631</v>
      </c>
      <c r="U360" s="319">
        <f t="shared" si="155"/>
        <v>1000000000</v>
      </c>
      <c r="V360" s="319">
        <f t="shared" si="156"/>
        <v>822312976</v>
      </c>
      <c r="X360" s="345">
        <f t="shared" si="150"/>
        <v>25.042254200459602</v>
      </c>
      <c r="Y360" s="346">
        <f t="shared" si="151"/>
        <v>-25.045077120841377</v>
      </c>
      <c r="AA360" s="345">
        <f t="shared" si="152"/>
        <v>43.384966597670612</v>
      </c>
      <c r="AB360" s="346">
        <f t="shared" si="153"/>
        <v>-100.40567675117403</v>
      </c>
      <c r="AD360">
        <f t="shared" si="157"/>
        <v>0</v>
      </c>
      <c r="AE360">
        <f t="shared" si="160"/>
        <v>0</v>
      </c>
    </row>
    <row r="361" spans="1:31" x14ac:dyDescent="0.25">
      <c r="A361" s="347">
        <v>28840</v>
      </c>
      <c r="B361" s="364">
        <f t="shared" si="154"/>
        <v>28.84</v>
      </c>
      <c r="C361" s="337">
        <f t="shared" si="135"/>
        <v>6.600077203182245</v>
      </c>
      <c r="D361" s="338">
        <f t="shared" si="136"/>
        <v>1.4186971781288693</v>
      </c>
      <c r="E361" s="338">
        <f t="shared" si="137"/>
        <v>1.0009452300718513</v>
      </c>
      <c r="F361" s="339">
        <f t="shared" si="138"/>
        <v>4.3462308314248077E-2</v>
      </c>
      <c r="G361" s="338">
        <f t="shared" si="139"/>
        <v>1</v>
      </c>
      <c r="H361" s="339">
        <f t="shared" si="140"/>
        <v>0</v>
      </c>
      <c r="I361" s="337">
        <f t="shared" si="141"/>
        <v>20879.946393466231</v>
      </c>
      <c r="J361" s="340">
        <f t="shared" si="142"/>
        <v>1.5707484339516136</v>
      </c>
      <c r="K361" s="348">
        <f t="shared" si="158"/>
        <v>4.9937404863939383</v>
      </c>
      <c r="L361" s="349">
        <f t="shared" si="159"/>
        <v>1.3691825354302147</v>
      </c>
      <c r="M361" s="337">
        <f t="shared" si="143"/>
        <v>1.0284408617999179</v>
      </c>
      <c r="N361" s="340">
        <f t="shared" si="144"/>
        <v>0.23572338531886916</v>
      </c>
      <c r="O361" s="341">
        <f t="shared" si="145"/>
        <v>1.0028081938124869</v>
      </c>
      <c r="P361" s="342">
        <f t="shared" si="146"/>
        <v>0.38003175370846265</v>
      </c>
      <c r="Q361" s="343">
        <f t="shared" si="147"/>
        <v>6.1322311798688194</v>
      </c>
      <c r="R361" s="344">
        <f t="shared" si="148"/>
        <v>-125.62419998194333</v>
      </c>
      <c r="S361" s="346">
        <f t="shared" si="149"/>
        <v>54.375800018056665</v>
      </c>
      <c r="U361" s="319">
        <f t="shared" si="155"/>
        <v>1000000000</v>
      </c>
      <c r="V361" s="319">
        <f t="shared" si="156"/>
        <v>831745600</v>
      </c>
      <c r="X361" s="345">
        <f t="shared" si="150"/>
        <v>25.037569727272725</v>
      </c>
      <c r="Y361" s="346">
        <f t="shared" si="151"/>
        <v>-25.054830418974984</v>
      </c>
      <c r="AA361" s="345">
        <f t="shared" si="152"/>
        <v>43.336165075043127</v>
      </c>
      <c r="AB361" s="346">
        <f t="shared" si="153"/>
        <v>-100.56936956296833</v>
      </c>
      <c r="AD361">
        <f t="shared" si="157"/>
        <v>0</v>
      </c>
      <c r="AE361">
        <f t="shared" si="160"/>
        <v>0</v>
      </c>
    </row>
    <row r="362" spans="1:31" x14ac:dyDescent="0.25">
      <c r="A362" s="347">
        <v>29008</v>
      </c>
      <c r="B362" s="364">
        <f t="shared" si="154"/>
        <v>29.007999999999999</v>
      </c>
      <c r="C362" s="337">
        <f t="shared" si="135"/>
        <v>6.6376441501001668</v>
      </c>
      <c r="D362" s="338">
        <f t="shared" si="136"/>
        <v>1.4195646534089681</v>
      </c>
      <c r="E362" s="338">
        <f t="shared" si="137"/>
        <v>1.000956269260233</v>
      </c>
      <c r="F362" s="339">
        <f t="shared" si="138"/>
        <v>4.3715165312274776E-2</v>
      </c>
      <c r="G362" s="338">
        <f t="shared" si="139"/>
        <v>1</v>
      </c>
      <c r="H362" s="339">
        <f t="shared" si="140"/>
        <v>0</v>
      </c>
      <c r="I362" s="337">
        <f t="shared" si="141"/>
        <v>21001.577148878147</v>
      </c>
      <c r="J362" s="340">
        <f t="shared" si="142"/>
        <v>1.5707487113232923</v>
      </c>
      <c r="K362" s="348">
        <f t="shared" si="158"/>
        <v>5.0216669711186439</v>
      </c>
      <c r="L362" s="349">
        <f t="shared" si="159"/>
        <v>1.3703190607888738</v>
      </c>
      <c r="M362" s="337">
        <f t="shared" si="143"/>
        <v>1.0287685295676701</v>
      </c>
      <c r="N362" s="340">
        <f t="shared" si="144"/>
        <v>0.23704580623423027</v>
      </c>
      <c r="O362" s="341">
        <f t="shared" si="145"/>
        <v>1.0028688074709633</v>
      </c>
      <c r="P362" s="342">
        <f t="shared" si="146"/>
        <v>0.3823354227202363</v>
      </c>
      <c r="Q362" s="343">
        <f t="shared" si="147"/>
        <v>6.0777241919696721</v>
      </c>
      <c r="R362" s="344">
        <f t="shared" si="148"/>
        <v>-125.80207245054642</v>
      </c>
      <c r="S362" s="346">
        <f t="shared" si="149"/>
        <v>54.197927549453581</v>
      </c>
      <c r="U362" s="319">
        <f t="shared" si="155"/>
        <v>1000000000</v>
      </c>
      <c r="V362" s="319">
        <f t="shared" si="156"/>
        <v>841464064</v>
      </c>
      <c r="X362" s="345">
        <f t="shared" si="150"/>
        <v>25.032790941417243</v>
      </c>
      <c r="Y362" s="346">
        <f t="shared" si="151"/>
        <v>-25.065497342042981</v>
      </c>
      <c r="AA362" s="345">
        <f t="shared" si="152"/>
        <v>43.286436872999452</v>
      </c>
      <c r="AB362" s="346">
        <f t="shared" si="153"/>
        <v>-100.73657510850342</v>
      </c>
      <c r="AD362">
        <f t="shared" si="157"/>
        <v>0</v>
      </c>
      <c r="AE362">
        <f t="shared" si="160"/>
        <v>0</v>
      </c>
    </row>
    <row r="363" spans="1:31" x14ac:dyDescent="0.25">
      <c r="A363" s="347">
        <v>29176</v>
      </c>
      <c r="B363" s="364">
        <f t="shared" si="154"/>
        <v>29.175999999999998</v>
      </c>
      <c r="C363" s="337">
        <f t="shared" si="135"/>
        <v>6.6752160357107977</v>
      </c>
      <c r="D363" s="338">
        <f t="shared" si="136"/>
        <v>1.420422364046916</v>
      </c>
      <c r="E363" s="338">
        <f t="shared" si="137"/>
        <v>1.0009673724450028</v>
      </c>
      <c r="F363" s="339">
        <f t="shared" si="138"/>
        <v>4.3968016716858294E-2</v>
      </c>
      <c r="G363" s="338">
        <f t="shared" si="139"/>
        <v>1</v>
      </c>
      <c r="H363" s="339">
        <f t="shared" si="140"/>
        <v>0</v>
      </c>
      <c r="I363" s="337">
        <f t="shared" si="141"/>
        <v>21123.207904291659</v>
      </c>
      <c r="J363" s="340">
        <f t="shared" si="142"/>
        <v>1.5707489855006715</v>
      </c>
      <c r="K363" s="348">
        <f t="shared" si="158"/>
        <v>5.0495998705293221</v>
      </c>
      <c r="L363" s="349">
        <f t="shared" si="159"/>
        <v>1.3714430137388076</v>
      </c>
      <c r="M363" s="337">
        <f t="shared" si="143"/>
        <v>1.0290979952953032</v>
      </c>
      <c r="N363" s="340">
        <f t="shared" si="144"/>
        <v>0.23836738271340699</v>
      </c>
      <c r="O363" s="341">
        <f t="shared" si="145"/>
        <v>1.0029304183244294</v>
      </c>
      <c r="P363" s="342">
        <f t="shared" si="146"/>
        <v>0.38464054641157097</v>
      </c>
      <c r="Q363" s="343">
        <f t="shared" si="147"/>
        <v>6.0235004091125557</v>
      </c>
      <c r="R363" s="344">
        <f t="shared" si="148"/>
        <v>-125.98014089415504</v>
      </c>
      <c r="S363" s="346">
        <f t="shared" si="149"/>
        <v>54.019859105844958</v>
      </c>
      <c r="U363" s="319">
        <f t="shared" si="155"/>
        <v>1000000000</v>
      </c>
      <c r="V363" s="319">
        <f t="shared" si="156"/>
        <v>851238976</v>
      </c>
      <c r="X363" s="345">
        <f t="shared" si="150"/>
        <v>25.028031606371993</v>
      </c>
      <c r="Y363" s="346">
        <f t="shared" si="151"/>
        <v>-25.076836045420706</v>
      </c>
      <c r="AA363" s="345">
        <f t="shared" si="152"/>
        <v>43.236972425187588</v>
      </c>
      <c r="AB363" s="346">
        <f t="shared" si="153"/>
        <v>-100.90330484873432</v>
      </c>
      <c r="AD363">
        <f t="shared" si="157"/>
        <v>0</v>
      </c>
      <c r="AE363">
        <f t="shared" si="160"/>
        <v>0</v>
      </c>
    </row>
    <row r="364" spans="1:31" x14ac:dyDescent="0.25">
      <c r="A364" s="347">
        <v>29344</v>
      </c>
      <c r="B364" s="364">
        <f t="shared" si="154"/>
        <v>29.344000000000001</v>
      </c>
      <c r="C364" s="337">
        <f t="shared" si="135"/>
        <v>6.7127927770877021</v>
      </c>
      <c r="D364" s="338">
        <f t="shared" si="136"/>
        <v>1.4212704727509926</v>
      </c>
      <c r="E364" s="338">
        <f t="shared" si="137"/>
        <v>1.0009785396240312</v>
      </c>
      <c r="F364" s="339">
        <f t="shared" si="138"/>
        <v>4.4220862495853781E-2</v>
      </c>
      <c r="G364" s="338">
        <f t="shared" si="139"/>
        <v>1</v>
      </c>
      <c r="H364" s="339">
        <f t="shared" si="140"/>
        <v>0</v>
      </c>
      <c r="I364" s="337">
        <f t="shared" si="141"/>
        <v>21244.83865970674</v>
      </c>
      <c r="J364" s="340">
        <f t="shared" si="142"/>
        <v>1.5707492565386152</v>
      </c>
      <c r="K364" s="348">
        <f t="shared" si="158"/>
        <v>5.0775390787592691</v>
      </c>
      <c r="L364" s="349">
        <f t="shared" si="159"/>
        <v>1.3725545989560195</v>
      </c>
      <c r="M364" s="337">
        <f t="shared" si="143"/>
        <v>1.0294292572565227</v>
      </c>
      <c r="N364" s="340">
        <f t="shared" si="144"/>
        <v>0.23968811095296505</v>
      </c>
      <c r="O364" s="341">
        <f t="shared" si="145"/>
        <v>1.0029930374614588</v>
      </c>
      <c r="P364" s="342">
        <f t="shared" si="146"/>
        <v>0.38694712984815754</v>
      </c>
      <c r="Q364" s="343">
        <f t="shared" si="147"/>
        <v>5.969556112034792</v>
      </c>
      <c r="R364" s="344">
        <f t="shared" si="148"/>
        <v>-126.15840298550299</v>
      </c>
      <c r="S364" s="346">
        <f t="shared" si="149"/>
        <v>53.841597014497012</v>
      </c>
      <c r="U364" s="319">
        <f t="shared" si="155"/>
        <v>1000000000</v>
      </c>
      <c r="V364" s="319">
        <f t="shared" si="156"/>
        <v>861070336</v>
      </c>
      <c r="X364" s="345">
        <f t="shared" si="150"/>
        <v>25.023291005051398</v>
      </c>
      <c r="Y364" s="346">
        <f t="shared" si="151"/>
        <v>-25.088834587259715</v>
      </c>
      <c r="AA364" s="345">
        <f t="shared" si="152"/>
        <v>43.187768729430417</v>
      </c>
      <c r="AB364" s="346">
        <f t="shared" si="153"/>
        <v>-101.06956839824326</v>
      </c>
      <c r="AD364">
        <f t="shared" si="157"/>
        <v>0</v>
      </c>
      <c r="AE364">
        <f t="shared" si="160"/>
        <v>0</v>
      </c>
    </row>
    <row r="365" spans="1:31" x14ac:dyDescent="0.25">
      <c r="A365" s="347">
        <v>29512</v>
      </c>
      <c r="B365" s="364">
        <f t="shared" si="154"/>
        <v>29.512</v>
      </c>
      <c r="C365" s="337">
        <f t="shared" si="135"/>
        <v>6.7503742931403199</v>
      </c>
      <c r="D365" s="338">
        <f t="shared" si="136"/>
        <v>1.4221091386620375</v>
      </c>
      <c r="E365" s="338">
        <f t="shared" si="137"/>
        <v>1.0009897707951763</v>
      </c>
      <c r="F365" s="339">
        <f t="shared" si="138"/>
        <v>4.4473702617120706E-2</v>
      </c>
      <c r="G365" s="338">
        <f t="shared" si="139"/>
        <v>1</v>
      </c>
      <c r="H365" s="339">
        <f t="shared" si="140"/>
        <v>0</v>
      </c>
      <c r="I365" s="337">
        <f t="shared" si="141"/>
        <v>21366.469415123367</v>
      </c>
      <c r="J365" s="340">
        <f t="shared" si="142"/>
        <v>1.5707495244907379</v>
      </c>
      <c r="K365" s="348">
        <f t="shared" si="158"/>
        <v>5.1054844922355072</v>
      </c>
      <c r="L365" s="349">
        <f t="shared" si="159"/>
        <v>1.3736540167590281</v>
      </c>
      <c r="M365" s="337">
        <f t="shared" si="143"/>
        <v>1.0297623137178493</v>
      </c>
      <c r="N365" s="340">
        <f t="shared" si="144"/>
        <v>0.24100798716618779</v>
      </c>
      <c r="O365" s="341">
        <f t="shared" si="145"/>
        <v>1.00305667602993</v>
      </c>
      <c r="P365" s="342">
        <f t="shared" si="146"/>
        <v>0.3892551780329917</v>
      </c>
      <c r="Q365" s="343">
        <f t="shared" si="147"/>
        <v>5.9158876466095425</v>
      </c>
      <c r="R365" s="344">
        <f t="shared" si="148"/>
        <v>-126.3368564398841</v>
      </c>
      <c r="S365" s="346">
        <f t="shared" si="149"/>
        <v>53.663143560115898</v>
      </c>
      <c r="U365" s="319">
        <f t="shared" si="155"/>
        <v>1000000000</v>
      </c>
      <c r="V365" s="319">
        <f t="shared" si="156"/>
        <v>870958144</v>
      </c>
      <c r="X365" s="345">
        <f t="shared" si="150"/>
        <v>25.018568440825227</v>
      </c>
      <c r="Y365" s="346">
        <f t="shared" si="151"/>
        <v>-25.101481276263353</v>
      </c>
      <c r="AA365" s="345">
        <f t="shared" si="152"/>
        <v>43.138822828231341</v>
      </c>
      <c r="AB365" s="346">
        <f t="shared" si="153"/>
        <v>-101.23537516362074</v>
      </c>
      <c r="AD365">
        <f t="shared" si="157"/>
        <v>0</v>
      </c>
      <c r="AE365">
        <f t="shared" si="160"/>
        <v>0</v>
      </c>
    </row>
    <row r="366" spans="1:31" x14ac:dyDescent="0.25">
      <c r="A366" s="347">
        <v>29684</v>
      </c>
      <c r="B366" s="364">
        <f t="shared" si="154"/>
        <v>29.684000000000001</v>
      </c>
      <c r="C366" s="337">
        <f t="shared" si="135"/>
        <v>6.7888554709464835</v>
      </c>
      <c r="D366" s="338">
        <f t="shared" si="136"/>
        <v>1.4229581526293749</v>
      </c>
      <c r="E366" s="338">
        <f t="shared" si="137"/>
        <v>1.0010013356685965</v>
      </c>
      <c r="F366" s="339">
        <f t="shared" si="138"/>
        <v>4.473255684632374E-2</v>
      </c>
      <c r="G366" s="338">
        <f t="shared" si="139"/>
        <v>1</v>
      </c>
      <c r="H366" s="339">
        <f t="shared" si="140"/>
        <v>0</v>
      </c>
      <c r="I366" s="337">
        <f t="shared" si="141"/>
        <v>21490.996140908625</v>
      </c>
      <c r="J366" s="340">
        <f t="shared" si="142"/>
        <v>1.5707497956804799</v>
      </c>
      <c r="K366" s="348">
        <f t="shared" si="158"/>
        <v>5.1341015955122593</v>
      </c>
      <c r="L366" s="349">
        <f t="shared" si="159"/>
        <v>1.3747672104821598</v>
      </c>
      <c r="M366" s="337">
        <f t="shared" si="143"/>
        <v>1.0301051573753273</v>
      </c>
      <c r="N366" s="340">
        <f t="shared" si="144"/>
        <v>0.24235840236962247</v>
      </c>
      <c r="O366" s="341">
        <f t="shared" si="145"/>
        <v>1.0031228976340669</v>
      </c>
      <c r="P366" s="342">
        <f t="shared" si="146"/>
        <v>0.39161970237978255</v>
      </c>
      <c r="Q366" s="343">
        <f t="shared" si="147"/>
        <v>5.8612233726109064</v>
      </c>
      <c r="R366" s="344">
        <f t="shared" si="148"/>
        <v>-126.51975469561265</v>
      </c>
      <c r="S366" s="346">
        <f t="shared" si="149"/>
        <v>53.480245304387353</v>
      </c>
      <c r="U366" s="319">
        <f t="shared" si="155"/>
        <v>1000000000</v>
      </c>
      <c r="V366" s="319">
        <f t="shared" si="156"/>
        <v>881139856</v>
      </c>
      <c r="X366" s="345">
        <f t="shared" si="150"/>
        <v>25.013751414338262</v>
      </c>
      <c r="Y366" s="346">
        <f t="shared" si="151"/>
        <v>-25.115088603937764</v>
      </c>
      <c r="AA366" s="345">
        <f t="shared" si="152"/>
        <v>43.088975580719662</v>
      </c>
      <c r="AB366" s="346">
        <f t="shared" si="153"/>
        <v>-101.40466609167487</v>
      </c>
      <c r="AD366">
        <f t="shared" si="157"/>
        <v>0</v>
      </c>
      <c r="AE366">
        <f t="shared" si="160"/>
        <v>0</v>
      </c>
    </row>
    <row r="367" spans="1:31" x14ac:dyDescent="0.25">
      <c r="A367" s="347">
        <v>29856</v>
      </c>
      <c r="B367" s="364">
        <f t="shared" si="154"/>
        <v>29.856000000000002</v>
      </c>
      <c r="C367" s="337">
        <f t="shared" si="135"/>
        <v>6.827341487161779</v>
      </c>
      <c r="D367" s="338">
        <f t="shared" si="136"/>
        <v>1.4237975953399777</v>
      </c>
      <c r="E367" s="338">
        <f t="shared" si="137"/>
        <v>1.0010129676130717</v>
      </c>
      <c r="F367" s="339">
        <f t="shared" si="138"/>
        <v>4.4991405077008523E-2</v>
      </c>
      <c r="G367" s="338">
        <f t="shared" si="139"/>
        <v>1</v>
      </c>
      <c r="H367" s="339">
        <f t="shared" si="140"/>
        <v>0</v>
      </c>
      <c r="I367" s="337">
        <f t="shared" si="141"/>
        <v>21615.522866695443</v>
      </c>
      <c r="J367" s="340">
        <f t="shared" si="142"/>
        <v>1.5707500637455813</v>
      </c>
      <c r="K367" s="348">
        <f t="shared" si="158"/>
        <v>5.1627249904330803</v>
      </c>
      <c r="L367" s="349">
        <f t="shared" si="159"/>
        <v>1.375868061926881</v>
      </c>
      <c r="M367" s="337">
        <f t="shared" si="143"/>
        <v>1.0304498783024176</v>
      </c>
      <c r="N367" s="340">
        <f t="shared" si="144"/>
        <v>0.24370791651202375</v>
      </c>
      <c r="O367" s="341">
        <f t="shared" si="145"/>
        <v>1.0031902116301052</v>
      </c>
      <c r="P367" s="342">
        <f t="shared" si="146"/>
        <v>0.39398577246475808</v>
      </c>
      <c r="Q367" s="343">
        <f t="shared" si="147"/>
        <v>5.8068406723815249</v>
      </c>
      <c r="R367" s="344">
        <f t="shared" si="148"/>
        <v>-126.70284882112936</v>
      </c>
      <c r="S367" s="346">
        <f t="shared" si="149"/>
        <v>53.297151178870635</v>
      </c>
      <c r="U367" s="319">
        <f t="shared" si="155"/>
        <v>1000000000</v>
      </c>
      <c r="V367" s="319">
        <f t="shared" si="156"/>
        <v>891380736</v>
      </c>
      <c r="X367" s="345">
        <f t="shared" si="150"/>
        <v>25.008951879170983</v>
      </c>
      <c r="Y367" s="346">
        <f t="shared" si="151"/>
        <v>-25.129351286052415</v>
      </c>
      <c r="AA367" s="345">
        <f t="shared" si="152"/>
        <v>43.039392415657574</v>
      </c>
      <c r="AB367" s="346">
        <f t="shared" si="153"/>
        <v>-101.57349753507695</v>
      </c>
      <c r="AD367">
        <f t="shared" si="157"/>
        <v>0</v>
      </c>
      <c r="AE367">
        <f t="shared" si="160"/>
        <v>0</v>
      </c>
    </row>
    <row r="368" spans="1:31" x14ac:dyDescent="0.25">
      <c r="A368" s="347">
        <v>30028</v>
      </c>
      <c r="B368" s="364">
        <f t="shared" si="154"/>
        <v>30.027999999999999</v>
      </c>
      <c r="C368" s="337">
        <f t="shared" si="135"/>
        <v>6.8658322604219579</v>
      </c>
      <c r="D368" s="338">
        <f t="shared" si="136"/>
        <v>1.4246276265739695</v>
      </c>
      <c r="E368" s="338">
        <f t="shared" si="137"/>
        <v>1.001024666626263</v>
      </c>
      <c r="F368" s="339">
        <f t="shared" si="138"/>
        <v>4.5250247274697869E-2</v>
      </c>
      <c r="G368" s="338">
        <f t="shared" si="139"/>
        <v>1</v>
      </c>
      <c r="H368" s="339">
        <f t="shared" si="140"/>
        <v>0</v>
      </c>
      <c r="I368" s="337">
        <f t="shared" si="141"/>
        <v>21740.049592483803</v>
      </c>
      <c r="J368" s="340">
        <f t="shared" si="142"/>
        <v>1.570750328739736</v>
      </c>
      <c r="K368" s="348">
        <f t="shared" si="158"/>
        <v>5.191354572927902</v>
      </c>
      <c r="L368" s="349">
        <f t="shared" si="159"/>
        <v>1.3769567726004301</v>
      </c>
      <c r="M368" s="337">
        <f t="shared" si="143"/>
        <v>1.0307964746157201</v>
      </c>
      <c r="N368" s="340">
        <f t="shared" si="144"/>
        <v>0.24505652558443156</v>
      </c>
      <c r="O368" s="341">
        <f t="shared" si="145"/>
        <v>1.0032586301736339</v>
      </c>
      <c r="P368" s="342">
        <f t="shared" si="146"/>
        <v>0.39635339344956372</v>
      </c>
      <c r="Q368" s="343">
        <f t="shared" si="147"/>
        <v>5.7527358266753215</v>
      </c>
      <c r="R368" s="344">
        <f t="shared" si="148"/>
        <v>-126.88613649674251</v>
      </c>
      <c r="S368" s="346">
        <f t="shared" si="149"/>
        <v>53.113863503257491</v>
      </c>
      <c r="U368" s="319">
        <f t="shared" si="155"/>
        <v>1000000000</v>
      </c>
      <c r="V368" s="319">
        <f t="shared" si="156"/>
        <v>901680784</v>
      </c>
      <c r="X368" s="345">
        <f t="shared" si="150"/>
        <v>25.004169150146346</v>
      </c>
      <c r="Y368" s="346">
        <f t="shared" si="151"/>
        <v>-25.144257550472911</v>
      </c>
      <c r="AA368" s="345">
        <f t="shared" si="152"/>
        <v>42.990070298976008</v>
      </c>
      <c r="AB368" s="346">
        <f t="shared" si="153"/>
        <v>-101.74187894626961</v>
      </c>
      <c r="AD368">
        <f t="shared" si="157"/>
        <v>0</v>
      </c>
      <c r="AE368">
        <f t="shared" si="160"/>
        <v>0</v>
      </c>
    </row>
    <row r="369" spans="1:31" x14ac:dyDescent="0.25">
      <c r="A369" s="347">
        <v>30200</v>
      </c>
      <c r="B369" s="364">
        <f t="shared" si="154"/>
        <v>30.2</v>
      </c>
      <c r="C369" s="337">
        <f t="shared" si="135"/>
        <v>6.9043277111672126</v>
      </c>
      <c r="D369" s="338">
        <f t="shared" si="136"/>
        <v>1.4254484026005587</v>
      </c>
      <c r="E369" s="338">
        <f t="shared" si="137"/>
        <v>1.0010364327058194</v>
      </c>
      <c r="F369" s="339">
        <f t="shared" si="138"/>
        <v>4.5509083404919437E-2</v>
      </c>
      <c r="G369" s="338">
        <f t="shared" si="139"/>
        <v>1</v>
      </c>
      <c r="H369" s="339">
        <f t="shared" si="140"/>
        <v>0</v>
      </c>
      <c r="I369" s="337">
        <f t="shared" si="141"/>
        <v>21864.576318273666</v>
      </c>
      <c r="J369" s="340">
        <f t="shared" si="142"/>
        <v>1.5707505907154138</v>
      </c>
      <c r="K369" s="348">
        <f t="shared" si="158"/>
        <v>5.2199902411875314</v>
      </c>
      <c r="L369" s="349">
        <f t="shared" si="159"/>
        <v>1.3780335397049175</v>
      </c>
      <c r="M369" s="337">
        <f t="shared" si="143"/>
        <v>1.0311449444241274</v>
      </c>
      <c r="N369" s="340">
        <f t="shared" si="144"/>
        <v>0.24640422559642988</v>
      </c>
      <c r="O369" s="341">
        <f t="shared" si="145"/>
        <v>1.0033281654848005</v>
      </c>
      <c r="P369" s="342">
        <f t="shared" si="146"/>
        <v>0.39872257042490827</v>
      </c>
      <c r="Q369" s="343">
        <f t="shared" si="147"/>
        <v>5.6989051811900096</v>
      </c>
      <c r="R369" s="344">
        <f t="shared" si="148"/>
        <v>-127.06961544519314</v>
      </c>
      <c r="S369" s="346">
        <f t="shared" si="149"/>
        <v>52.930384554806864</v>
      </c>
      <c r="U369" s="319">
        <f t="shared" si="155"/>
        <v>1000000000</v>
      </c>
      <c r="V369" s="319">
        <f t="shared" si="156"/>
        <v>912040000</v>
      </c>
      <c r="X369" s="345">
        <f t="shared" si="150"/>
        <v>24.999402561789928</v>
      </c>
      <c r="Y369" s="346">
        <f t="shared" si="151"/>
        <v>-25.159795872722931</v>
      </c>
      <c r="AA369" s="345">
        <f t="shared" si="152"/>
        <v>42.941006241847113</v>
      </c>
      <c r="AB369" s="346">
        <f t="shared" si="153"/>
        <v>-101.9098195724702</v>
      </c>
      <c r="AD369">
        <f t="shared" si="157"/>
        <v>0</v>
      </c>
      <c r="AE369">
        <f t="shared" si="160"/>
        <v>0</v>
      </c>
    </row>
    <row r="370" spans="1:31" x14ac:dyDescent="0.25">
      <c r="A370" s="347">
        <v>30375.75</v>
      </c>
      <c r="B370" s="364">
        <f t="shared" si="154"/>
        <v>30.37575</v>
      </c>
      <c r="C370" s="337">
        <f t="shared" si="135"/>
        <v>6.9436672028877018</v>
      </c>
      <c r="D370" s="338">
        <f t="shared" si="136"/>
        <v>1.4262776723858019</v>
      </c>
      <c r="E370" s="338">
        <f t="shared" si="137"/>
        <v>1.0010485245864214</v>
      </c>
      <c r="F370" s="339">
        <f t="shared" si="138"/>
        <v>4.5773556461525498E-2</v>
      </c>
      <c r="G370" s="338">
        <f t="shared" si="139"/>
        <v>1</v>
      </c>
      <c r="H370" s="339">
        <f t="shared" si="140"/>
        <v>0</v>
      </c>
      <c r="I370" s="337">
        <f t="shared" si="141"/>
        <v>21991.81801628432</v>
      </c>
      <c r="J370" s="340">
        <f t="shared" si="142"/>
        <v>1.5707508553382119</v>
      </c>
      <c r="K370" s="348">
        <f t="shared" si="158"/>
        <v>5.2492564162212094</v>
      </c>
      <c r="L370" s="349">
        <f t="shared" si="159"/>
        <v>1.3791216466256677</v>
      </c>
      <c r="M370" s="337">
        <f t="shared" si="143"/>
        <v>1.0315029449193456</v>
      </c>
      <c r="N370" s="340">
        <f t="shared" si="144"/>
        <v>0.24778036546458676</v>
      </c>
      <c r="O370" s="341">
        <f t="shared" si="145"/>
        <v>1.0034003831645193</v>
      </c>
      <c r="P370" s="342">
        <f t="shared" si="146"/>
        <v>0.401145013436562</v>
      </c>
      <c r="Q370" s="343">
        <f t="shared" si="147"/>
        <v>5.644180399336002</v>
      </c>
      <c r="R370" s="344">
        <f t="shared" si="148"/>
        <v>-127.25728990893661</v>
      </c>
      <c r="S370" s="346">
        <f t="shared" si="149"/>
        <v>52.742710091063387</v>
      </c>
      <c r="U370" s="319">
        <f t="shared" si="155"/>
        <v>1000000000</v>
      </c>
      <c r="V370" s="319">
        <f t="shared" si="156"/>
        <v>922686188.0625</v>
      </c>
      <c r="X370" s="345">
        <f t="shared" si="150"/>
        <v>24.99454805063354</v>
      </c>
      <c r="Y370" s="346">
        <f t="shared" si="151"/>
        <v>-25.176314106758415</v>
      </c>
      <c r="AA370" s="345">
        <f t="shared" si="152"/>
        <v>42.891135971149488</v>
      </c>
      <c r="AB370" s="346">
        <f t="shared" si="153"/>
        <v>-102.08097580217819</v>
      </c>
      <c r="AD370">
        <f t="shared" si="157"/>
        <v>0</v>
      </c>
      <c r="AE370">
        <f t="shared" si="160"/>
        <v>0</v>
      </c>
    </row>
    <row r="371" spans="1:31" x14ac:dyDescent="0.25">
      <c r="A371" s="347">
        <v>30551.5</v>
      </c>
      <c r="B371" s="364">
        <f t="shared" si="154"/>
        <v>30.551500000000001</v>
      </c>
      <c r="C371" s="337">
        <f t="shared" si="135"/>
        <v>6.9830114158837446</v>
      </c>
      <c r="D371" s="338">
        <f t="shared" si="136"/>
        <v>1.4270975980600689</v>
      </c>
      <c r="E371" s="338">
        <f t="shared" si="137"/>
        <v>1.0010606864846665</v>
      </c>
      <c r="F371" s="339">
        <f t="shared" si="138"/>
        <v>4.6038023110456933E-2</v>
      </c>
      <c r="G371" s="338">
        <f t="shared" si="139"/>
        <v>1</v>
      </c>
      <c r="H371" s="339">
        <f t="shared" si="140"/>
        <v>0</v>
      </c>
      <c r="I371" s="337">
        <f t="shared" si="141"/>
        <v>22119.059714296494</v>
      </c>
      <c r="J371" s="340">
        <f t="shared" si="142"/>
        <v>1.5707511169164814</v>
      </c>
      <c r="K371" s="348">
        <f t="shared" si="158"/>
        <v>5.2785287373311327</v>
      </c>
      <c r="L371" s="349">
        <f t="shared" si="159"/>
        <v>1.3801976865158732</v>
      </c>
      <c r="M371" s="337">
        <f t="shared" si="143"/>
        <v>1.0318628974769286</v>
      </c>
      <c r="N371" s="340">
        <f t="shared" si="144"/>
        <v>0.24915554783689328</v>
      </c>
      <c r="O371" s="341">
        <f t="shared" si="145"/>
        <v>1.0034737928402553</v>
      </c>
      <c r="P371" s="342">
        <f t="shared" si="146"/>
        <v>0.40356909154415072</v>
      </c>
      <c r="Q371" s="343">
        <f t="shared" si="147"/>
        <v>5.5897343912697863</v>
      </c>
      <c r="R371" s="344">
        <f t="shared" si="148"/>
        <v>-127.44515940079867</v>
      </c>
      <c r="S371" s="346">
        <f t="shared" si="149"/>
        <v>52.554840599201327</v>
      </c>
      <c r="U371" s="319">
        <f t="shared" si="155"/>
        <v>1000000000</v>
      </c>
      <c r="V371" s="319">
        <f t="shared" si="156"/>
        <v>933394152.25</v>
      </c>
      <c r="X371" s="345">
        <f t="shared" si="150"/>
        <v>24.989709047071486</v>
      </c>
      <c r="Y371" s="346">
        <f t="shared" si="151"/>
        <v>-25.193468695806327</v>
      </c>
      <c r="AA371" s="345">
        <f t="shared" si="152"/>
        <v>42.841528966645328</v>
      </c>
      <c r="AB371" s="346">
        <f t="shared" si="153"/>
        <v>-102.25169070499234</v>
      </c>
      <c r="AD371">
        <f t="shared" si="157"/>
        <v>0</v>
      </c>
      <c r="AE371">
        <f t="shared" si="160"/>
        <v>0</v>
      </c>
    </row>
    <row r="372" spans="1:31" x14ac:dyDescent="0.25">
      <c r="A372" s="347">
        <v>30727.25</v>
      </c>
      <c r="B372" s="364">
        <f t="shared" si="154"/>
        <v>30.727250000000002</v>
      </c>
      <c r="C372" s="337">
        <f t="shared" si="135"/>
        <v>7.0223602707995987</v>
      </c>
      <c r="D372" s="338">
        <f t="shared" si="136"/>
        <v>1.4279083355869757</v>
      </c>
      <c r="E372" s="338">
        <f t="shared" si="137"/>
        <v>1.0010729183980034</v>
      </c>
      <c r="F372" s="339">
        <f t="shared" si="138"/>
        <v>4.6302483314952958E-2</v>
      </c>
      <c r="G372" s="338">
        <f t="shared" si="139"/>
        <v>1</v>
      </c>
      <c r="H372" s="339">
        <f t="shared" si="140"/>
        <v>0</v>
      </c>
      <c r="I372" s="337">
        <f t="shared" si="141"/>
        <v>22246.301412310168</v>
      </c>
      <c r="J372" s="340">
        <f t="shared" si="142"/>
        <v>1.5707513755024636</v>
      </c>
      <c r="K372" s="348">
        <f t="shared" si="158"/>
        <v>5.3078071028312896</v>
      </c>
      <c r="L372" s="349">
        <f t="shared" si="159"/>
        <v>1.3812618565515253</v>
      </c>
      <c r="M372" s="337">
        <f t="shared" si="143"/>
        <v>1.032224800054734</v>
      </c>
      <c r="N372" s="340">
        <f t="shared" si="144"/>
        <v>0.25052976851647302</v>
      </c>
      <c r="O372" s="341">
        <f t="shared" si="145"/>
        <v>1.0035484077568304</v>
      </c>
      <c r="P372" s="342">
        <f t="shared" si="146"/>
        <v>0.40599480994574999</v>
      </c>
      <c r="Q372" s="343">
        <f t="shared" si="147"/>
        <v>5.5355634586083236</v>
      </c>
      <c r="R372" s="344">
        <f t="shared" si="148"/>
        <v>-127.63322162194802</v>
      </c>
      <c r="S372" s="346">
        <f t="shared" si="149"/>
        <v>52.366778378051976</v>
      </c>
      <c r="U372" s="319">
        <f t="shared" si="155"/>
        <v>1000000000</v>
      </c>
      <c r="V372" s="319">
        <f t="shared" si="156"/>
        <v>944163892.5625</v>
      </c>
      <c r="X372" s="345">
        <f t="shared" si="150"/>
        <v>24.984884900839418</v>
      </c>
      <c r="Y372" s="346">
        <f t="shared" si="151"/>
        <v>-25.21124810504444</v>
      </c>
      <c r="AA372" s="345">
        <f t="shared" si="152"/>
        <v>42.792182180215931</v>
      </c>
      <c r="AB372" s="346">
        <f t="shared" si="153"/>
        <v>-102.42197351690362</v>
      </c>
      <c r="AD372">
        <f t="shared" si="157"/>
        <v>0</v>
      </c>
      <c r="AE372">
        <f t="shared" si="160"/>
        <v>0</v>
      </c>
    </row>
    <row r="373" spans="1:31" x14ac:dyDescent="0.25">
      <c r="A373" s="347">
        <v>30903</v>
      </c>
      <c r="B373" s="364">
        <f t="shared" si="154"/>
        <v>30.902999999999999</v>
      </c>
      <c r="C373" s="337">
        <f t="shared" si="135"/>
        <v>7.0617136900389887</v>
      </c>
      <c r="D373" s="338">
        <f t="shared" si="136"/>
        <v>1.4287100375024633</v>
      </c>
      <c r="E373" s="338">
        <f t="shared" si="137"/>
        <v>1.0010852203238652</v>
      </c>
      <c r="F373" s="339">
        <f t="shared" si="138"/>
        <v>4.6566937038258226E-2</v>
      </c>
      <c r="G373" s="338">
        <f t="shared" si="139"/>
        <v>1</v>
      </c>
      <c r="H373" s="339">
        <f t="shared" si="140"/>
        <v>0</v>
      </c>
      <c r="I373" s="337">
        <f t="shared" si="141"/>
        <v>22373.54311032531</v>
      </c>
      <c r="J373" s="340">
        <f t="shared" si="142"/>
        <v>1.5707516311472112</v>
      </c>
      <c r="K373" s="348">
        <f t="shared" si="158"/>
        <v>5.3370914132462248</v>
      </c>
      <c r="L373" s="349">
        <f t="shared" si="159"/>
        <v>1.3823143496899257</v>
      </c>
      <c r="M373" s="337">
        <f t="shared" si="143"/>
        <v>1.0325886506024275</v>
      </c>
      <c r="N373" s="340">
        <f t="shared" si="144"/>
        <v>0.25190302332684633</v>
      </c>
      <c r="O373" s="341">
        <f t="shared" si="145"/>
        <v>1.0036242412287306</v>
      </c>
      <c r="P373" s="342">
        <f t="shared" si="146"/>
        <v>0.40842217375980922</v>
      </c>
      <c r="Q373" s="343">
        <f t="shared" si="147"/>
        <v>5.481663967221742</v>
      </c>
      <c r="R373" s="344">
        <f t="shared" si="148"/>
        <v>-127.8214743154133</v>
      </c>
      <c r="S373" s="346">
        <f t="shared" si="149"/>
        <v>52.178525684586702</v>
      </c>
      <c r="U373" s="319">
        <f t="shared" si="155"/>
        <v>1000000000</v>
      </c>
      <c r="V373" s="319">
        <f t="shared" si="156"/>
        <v>954995409</v>
      </c>
      <c r="X373" s="345">
        <f t="shared" si="150"/>
        <v>24.98007498049915</v>
      </c>
      <c r="Y373" s="346">
        <f t="shared" si="151"/>
        <v>-25.229641042464156</v>
      </c>
      <c r="AA373" s="345">
        <f t="shared" si="152"/>
        <v>42.743092609169615</v>
      </c>
      <c r="AB373" s="346">
        <f t="shared" si="153"/>
        <v>-102.59183327294916</v>
      </c>
      <c r="AD373">
        <f t="shared" si="157"/>
        <v>0</v>
      </c>
      <c r="AE373">
        <f t="shared" si="160"/>
        <v>0</v>
      </c>
    </row>
    <row r="374" spans="1:31" x14ac:dyDescent="0.25">
      <c r="A374" s="347">
        <v>31083</v>
      </c>
      <c r="B374" s="364">
        <f t="shared" si="154"/>
        <v>31.082999999999998</v>
      </c>
      <c r="C374" s="337">
        <f t="shared" si="135"/>
        <v>7.1020234086223093</v>
      </c>
      <c r="D374" s="338">
        <f t="shared" si="136"/>
        <v>1.4295219161150743</v>
      </c>
      <c r="E374" s="338">
        <f t="shared" si="137"/>
        <v>1.0010978923057141</v>
      </c>
      <c r="F374" s="339">
        <f t="shared" si="138"/>
        <v>4.6837779045234618E-2</v>
      </c>
      <c r="G374" s="338">
        <f t="shared" si="139"/>
        <v>1</v>
      </c>
      <c r="H374" s="339">
        <f t="shared" si="140"/>
        <v>0</v>
      </c>
      <c r="I374" s="337">
        <f t="shared" si="141"/>
        <v>22503.861776857255</v>
      </c>
      <c r="J374" s="340">
        <f t="shared" si="142"/>
        <v>1.5707518899773296</v>
      </c>
      <c r="K374" s="348">
        <f t="shared" si="158"/>
        <v>5.3670899397159388</v>
      </c>
      <c r="L374" s="349">
        <f t="shared" si="159"/>
        <v>1.3833803877366371</v>
      </c>
      <c r="M374" s="337">
        <f t="shared" si="143"/>
        <v>1.0329633168594048</v>
      </c>
      <c r="N374" s="340">
        <f t="shared" si="144"/>
        <v>0.25330848076122731</v>
      </c>
      <c r="O374" s="341">
        <f t="shared" si="145"/>
        <v>1.0037031856095093</v>
      </c>
      <c r="P374" s="342">
        <f t="shared" si="146"/>
        <v>0.41090994711392043</v>
      </c>
      <c r="Q374" s="343">
        <f t="shared" si="147"/>
        <v>5.4267387094035646</v>
      </c>
      <c r="R374" s="344">
        <f t="shared" si="148"/>
        <v>-128.01447447154627</v>
      </c>
      <c r="S374" s="346">
        <f t="shared" si="149"/>
        <v>51.985525528453735</v>
      </c>
      <c r="U374" s="319">
        <f t="shared" si="155"/>
        <v>1000000000</v>
      </c>
      <c r="V374" s="319">
        <f t="shared" si="156"/>
        <v>966152889</v>
      </c>
      <c r="X374" s="345">
        <f t="shared" si="150"/>
        <v>24.975162851709477</v>
      </c>
      <c r="Y374" s="346">
        <f t="shared" si="151"/>
        <v>-25.249103170758172</v>
      </c>
      <c r="AA374" s="345">
        <f t="shared" si="152"/>
        <v>42.693079480141108</v>
      </c>
      <c r="AB374" s="346">
        <f t="shared" si="153"/>
        <v>-102.76537130078808</v>
      </c>
      <c r="AD374">
        <f t="shared" si="157"/>
        <v>0</v>
      </c>
      <c r="AE374">
        <f t="shared" si="160"/>
        <v>0</v>
      </c>
    </row>
    <row r="375" spans="1:31" x14ac:dyDescent="0.25">
      <c r="A375" s="347">
        <v>31263</v>
      </c>
      <c r="B375" s="364">
        <f t="shared" si="154"/>
        <v>31.263000000000002</v>
      </c>
      <c r="C375" s="337">
        <f t="shared" si="135"/>
        <v>7.1423377556403178</v>
      </c>
      <c r="D375" s="338">
        <f t="shared" si="136"/>
        <v>1.4303246300856727</v>
      </c>
      <c r="E375" s="338">
        <f t="shared" si="137"/>
        <v>1.0011106377216299</v>
      </c>
      <c r="F375" s="339">
        <f t="shared" si="138"/>
        <v>4.7108614175749082E-2</v>
      </c>
      <c r="G375" s="338">
        <f t="shared" si="139"/>
        <v>1</v>
      </c>
      <c r="H375" s="339">
        <f t="shared" si="140"/>
        <v>0</v>
      </c>
      <c r="I375" s="337">
        <f t="shared" si="141"/>
        <v>22634.180443390684</v>
      </c>
      <c r="J375" s="340">
        <f t="shared" si="142"/>
        <v>1.5707521458269651</v>
      </c>
      <c r="K375" s="348">
        <f t="shared" si="158"/>
        <v>5.3970944977380313</v>
      </c>
      <c r="L375" s="349">
        <f t="shared" si="159"/>
        <v>1.3844345739258639</v>
      </c>
      <c r="M375" s="337">
        <f t="shared" si="143"/>
        <v>1.0333400220577962</v>
      </c>
      <c r="N375" s="340">
        <f t="shared" si="144"/>
        <v>0.2547129162461339</v>
      </c>
      <c r="O375" s="341">
        <f t="shared" si="145"/>
        <v>1.0037834366859089</v>
      </c>
      <c r="P375" s="342">
        <f t="shared" si="146"/>
        <v>0.41339945703098202</v>
      </c>
      <c r="Q375" s="343">
        <f t="shared" si="147"/>
        <v>5.3720906633972429</v>
      </c>
      <c r="R375" s="344">
        <f t="shared" si="148"/>
        <v>-128.20766976134388</v>
      </c>
      <c r="S375" s="346">
        <f t="shared" si="149"/>
        <v>51.79233023865612</v>
      </c>
      <c r="U375" s="319">
        <f t="shared" si="155"/>
        <v>1000000000</v>
      </c>
      <c r="V375" s="319">
        <f t="shared" si="156"/>
        <v>977375169</v>
      </c>
      <c r="X375" s="345">
        <f t="shared" si="150"/>
        <v>24.970264362363864</v>
      </c>
      <c r="Y375" s="346">
        <f t="shared" si="151"/>
        <v>-25.269185636305302</v>
      </c>
      <c r="AA375" s="345">
        <f t="shared" si="152"/>
        <v>42.643329923480408</v>
      </c>
      <c r="AB375" s="346">
        <f t="shared" si="153"/>
        <v>-102.93848412503861</v>
      </c>
      <c r="AD375">
        <f t="shared" si="157"/>
        <v>0</v>
      </c>
      <c r="AE375">
        <f t="shared" si="160"/>
        <v>0</v>
      </c>
    </row>
    <row r="376" spans="1:31" x14ac:dyDescent="0.25">
      <c r="A376" s="347">
        <v>31443</v>
      </c>
      <c r="B376" s="364">
        <f t="shared" si="154"/>
        <v>31.443000000000001</v>
      </c>
      <c r="C376" s="337">
        <f t="shared" si="135"/>
        <v>7.182656653158487</v>
      </c>
      <c r="D376" s="338">
        <f t="shared" si="136"/>
        <v>1.4311183327045278</v>
      </c>
      <c r="E376" s="338">
        <f t="shared" si="137"/>
        <v>1.0011234565688079</v>
      </c>
      <c r="F376" s="339">
        <f t="shared" si="138"/>
        <v>4.737944239033258E-2</v>
      </c>
      <c r="G376" s="338">
        <f t="shared" si="139"/>
        <v>1</v>
      </c>
      <c r="H376" s="339">
        <f t="shared" si="140"/>
        <v>0</v>
      </c>
      <c r="I376" s="337">
        <f t="shared" si="141"/>
        <v>22764.499109925582</v>
      </c>
      <c r="J376" s="340">
        <f t="shared" si="142"/>
        <v>1.570752398747304</v>
      </c>
      <c r="K376" s="348">
        <f t="shared" si="158"/>
        <v>5.4271049872734967</v>
      </c>
      <c r="L376" s="349">
        <f t="shared" si="159"/>
        <v>1.3854771025080463</v>
      </c>
      <c r="M376" s="337">
        <f t="shared" si="143"/>
        <v>1.0337187639685237</v>
      </c>
      <c r="N376" s="340">
        <f t="shared" si="144"/>
        <v>0.25611632536152801</v>
      </c>
      <c r="O376" s="341">
        <f t="shared" si="145"/>
        <v>1.0038650089878773</v>
      </c>
      <c r="P376" s="342">
        <f t="shared" si="146"/>
        <v>0.41589070874625023</v>
      </c>
      <c r="Q376" s="343">
        <f t="shared" si="147"/>
        <v>5.3177161246930735</v>
      </c>
      <c r="R376" s="344">
        <f t="shared" si="148"/>
        <v>-128.40105788986409</v>
      </c>
      <c r="S376" s="346">
        <f t="shared" si="149"/>
        <v>51.598942110135908</v>
      </c>
      <c r="U376" s="319">
        <f t="shared" si="155"/>
        <v>1000000000</v>
      </c>
      <c r="V376" s="319">
        <f t="shared" si="156"/>
        <v>988662249</v>
      </c>
      <c r="X376" s="345">
        <f t="shared" si="150"/>
        <v>24.965378891599087</v>
      </c>
      <c r="Y376" s="346">
        <f t="shared" si="151"/>
        <v>-25.289877059058373</v>
      </c>
      <c r="AA376" s="345">
        <f t="shared" si="152"/>
        <v>42.593840855541018</v>
      </c>
      <c r="AB376" s="346">
        <f t="shared" si="153"/>
        <v>-103.11118083080572</v>
      </c>
      <c r="AD376">
        <f t="shared" si="157"/>
        <v>0</v>
      </c>
      <c r="AE376">
        <f t="shared" si="160"/>
        <v>0</v>
      </c>
    </row>
    <row r="377" spans="1:31" x14ac:dyDescent="0.25">
      <c r="A377" s="347">
        <v>31623</v>
      </c>
      <c r="B377" s="364">
        <f t="shared" si="154"/>
        <v>31.623000000000001</v>
      </c>
      <c r="C377" s="337">
        <f t="shared" si="135"/>
        <v>7.2229800249737197</v>
      </c>
      <c r="D377" s="338">
        <f t="shared" si="136"/>
        <v>1.4319031738848416</v>
      </c>
      <c r="E377" s="338">
        <f t="shared" si="137"/>
        <v>1.0011363488444271</v>
      </c>
      <c r="F377" s="339">
        <f t="shared" si="138"/>
        <v>4.7650263649522191E-2</v>
      </c>
      <c r="G377" s="338">
        <f t="shared" si="139"/>
        <v>1</v>
      </c>
      <c r="H377" s="339">
        <f t="shared" si="140"/>
        <v>0</v>
      </c>
      <c r="I377" s="337">
        <f t="shared" si="141"/>
        <v>22894.817776461918</v>
      </c>
      <c r="J377" s="340">
        <f t="shared" si="142"/>
        <v>1.5707526487883676</v>
      </c>
      <c r="K377" s="348">
        <f t="shared" si="158"/>
        <v>5.4571213104643572</v>
      </c>
      <c r="L377" s="349">
        <f t="shared" si="159"/>
        <v>1.3865081635624421</v>
      </c>
      <c r="M377" s="337">
        <f t="shared" si="143"/>
        <v>1.0340995403537325</v>
      </c>
      <c r="N377" s="340">
        <f t="shared" si="144"/>
        <v>0.25751870371000141</v>
      </c>
      <c r="O377" s="341">
        <f t="shared" si="145"/>
        <v>1.0039479171211652</v>
      </c>
      <c r="P377" s="342">
        <f t="shared" si="146"/>
        <v>0.41838370740477676</v>
      </c>
      <c r="Q377" s="343">
        <f t="shared" si="147"/>
        <v>5.2636114529517268</v>
      </c>
      <c r="R377" s="344">
        <f t="shared" si="148"/>
        <v>-128.59463660372523</v>
      </c>
      <c r="S377" s="346">
        <f t="shared" si="149"/>
        <v>51.405363396274765</v>
      </c>
      <c r="U377" s="319">
        <f t="shared" si="155"/>
        <v>1000000000</v>
      </c>
      <c r="V377" s="319">
        <f t="shared" si="156"/>
        <v>1000014129</v>
      </c>
      <c r="X377" s="345">
        <f t="shared" si="150"/>
        <v>24.960505836705636</v>
      </c>
      <c r="Y377" s="346">
        <f t="shared" si="151"/>
        <v>-25.311166299191225</v>
      </c>
      <c r="AA377" s="345">
        <f t="shared" si="152"/>
        <v>42.544609238693113</v>
      </c>
      <c r="AB377" s="346">
        <f t="shared" si="153"/>
        <v>-103.28347030453399</v>
      </c>
      <c r="AD377">
        <f t="shared" si="157"/>
        <v>0</v>
      </c>
      <c r="AE377">
        <f t="shared" si="160"/>
        <v>0</v>
      </c>
    </row>
    <row r="378" spans="1:31" x14ac:dyDescent="0.25">
      <c r="A378" s="347">
        <v>31807</v>
      </c>
      <c r="B378" s="364">
        <f t="shared" si="154"/>
        <v>31.806999999999999</v>
      </c>
      <c r="C378" s="337">
        <f t="shared" si="135"/>
        <v>7.2642040186806147</v>
      </c>
      <c r="D378" s="338">
        <f t="shared" si="136"/>
        <v>1.4326964496282582</v>
      </c>
      <c r="E378" s="338">
        <f t="shared" si="137"/>
        <v>1.0011496035062932</v>
      </c>
      <c r="F378" s="339">
        <f t="shared" si="138"/>
        <v>4.7927095928874411E-2</v>
      </c>
      <c r="G378" s="338">
        <f t="shared" si="139"/>
        <v>1</v>
      </c>
      <c r="H378" s="339">
        <f t="shared" si="140"/>
        <v>0</v>
      </c>
      <c r="I378" s="337">
        <f t="shared" si="141"/>
        <v>23028.032413367197</v>
      </c>
      <c r="J378" s="340">
        <f t="shared" si="142"/>
        <v>1.5707529014608357</v>
      </c>
      <c r="K378" s="348">
        <f t="shared" si="158"/>
        <v>5.4878105929391223</v>
      </c>
      <c r="L378" s="349">
        <f t="shared" si="159"/>
        <v>1.3875504781402768</v>
      </c>
      <c r="M378" s="337">
        <f t="shared" si="143"/>
        <v>1.034490878889764</v>
      </c>
      <c r="N378" s="340">
        <f t="shared" si="144"/>
        <v>0.2589511760864453</v>
      </c>
      <c r="O378" s="341">
        <f t="shared" si="145"/>
        <v>1.0040340636334475</v>
      </c>
      <c r="P378" s="342">
        <f t="shared" si="146"/>
        <v>0.42093391690161502</v>
      </c>
      <c r="Q378" s="343">
        <f t="shared" si="147"/>
        <v>5.2085796594578282</v>
      </c>
      <c r="R378" s="344">
        <f t="shared" si="148"/>
        <v>-128.79271174811296</v>
      </c>
      <c r="S378" s="346">
        <f t="shared" si="149"/>
        <v>51.207288251887036</v>
      </c>
      <c r="U378" s="319">
        <f t="shared" si="155"/>
        <v>1000000000</v>
      </c>
      <c r="V378" s="319">
        <f t="shared" si="156"/>
        <v>1011685249</v>
      </c>
      <c r="X378" s="345">
        <f t="shared" si="150"/>
        <v>24.955536715328506</v>
      </c>
      <c r="Y378" s="346">
        <f t="shared" si="151"/>
        <v>-25.333535171487227</v>
      </c>
      <c r="AA378" s="345">
        <f t="shared" si="152"/>
        <v>42.494546566576346</v>
      </c>
      <c r="AB378" s="346">
        <f t="shared" si="153"/>
        <v>-103.45917657662579</v>
      </c>
      <c r="AD378">
        <f t="shared" si="157"/>
        <v>0</v>
      </c>
      <c r="AE378">
        <f t="shared" si="160"/>
        <v>0</v>
      </c>
    </row>
    <row r="379" spans="1:31" x14ac:dyDescent="0.25">
      <c r="A379" s="347">
        <v>31991</v>
      </c>
      <c r="B379" s="364">
        <f t="shared" si="154"/>
        <v>31.991</v>
      </c>
      <c r="C379" s="337">
        <f t="shared" si="135"/>
        <v>7.3054325320600837</v>
      </c>
      <c r="D379" s="338">
        <f t="shared" si="136"/>
        <v>1.4334807720910772</v>
      </c>
      <c r="E379" s="338">
        <f t="shared" si="137"/>
        <v>1.0011629348903361</v>
      </c>
      <c r="F379" s="339">
        <f t="shared" si="138"/>
        <v>4.8203920856899868E-2</v>
      </c>
      <c r="G379" s="338">
        <f t="shared" si="139"/>
        <v>1</v>
      </c>
      <c r="H379" s="339">
        <f t="shared" si="140"/>
        <v>0</v>
      </c>
      <c r="I379" s="337">
        <f t="shared" si="141"/>
        <v>23161.247050273923</v>
      </c>
      <c r="J379" s="340">
        <f t="shared" si="142"/>
        <v>1.570753151226753</v>
      </c>
      <c r="K379" s="348">
        <f t="shared" si="158"/>
        <v>5.5185057711635821</v>
      </c>
      <c r="L379" s="349">
        <f t="shared" si="159"/>
        <v>1.3885811986483256</v>
      </c>
      <c r="M379" s="337">
        <f t="shared" si="143"/>
        <v>1.034884338569434</v>
      </c>
      <c r="N379" s="340">
        <f t="shared" si="144"/>
        <v>0.26038256215547184</v>
      </c>
      <c r="O379" s="341">
        <f t="shared" si="145"/>
        <v>1.0041216371117447</v>
      </c>
      <c r="P379" s="342">
        <f t="shared" si="146"/>
        <v>0.42348596242711112</v>
      </c>
      <c r="Q379" s="343">
        <f t="shared" si="147"/>
        <v>5.1538223665230012</v>
      </c>
      <c r="R379" s="344">
        <f t="shared" si="148"/>
        <v>-128.9909814091059</v>
      </c>
      <c r="S379" s="346">
        <f t="shared" si="149"/>
        <v>51.009018590894101</v>
      </c>
      <c r="U379" s="319">
        <f t="shared" si="155"/>
        <v>1000000000</v>
      </c>
      <c r="V379" s="319">
        <f t="shared" si="156"/>
        <v>1023424081</v>
      </c>
      <c r="X379" s="345">
        <f t="shared" si="150"/>
        <v>24.950579349723832</v>
      </c>
      <c r="Y379" s="346">
        <f t="shared" si="151"/>
        <v>-25.356505927686658</v>
      </c>
      <c r="AA379" s="345">
        <f t="shared" si="152"/>
        <v>42.444746639246198</v>
      </c>
      <c r="AB379" s="346">
        <f t="shared" si="153"/>
        <v>-103.63447548141924</v>
      </c>
      <c r="AD379">
        <f t="shared" si="157"/>
        <v>0</v>
      </c>
      <c r="AE379">
        <f t="shared" si="160"/>
        <v>0</v>
      </c>
    </row>
    <row r="380" spans="1:31" x14ac:dyDescent="0.25">
      <c r="A380" s="347">
        <v>32175</v>
      </c>
      <c r="B380" s="364">
        <f t="shared" si="154"/>
        <v>32.174999999999997</v>
      </c>
      <c r="C380" s="337">
        <f t="shared" si="135"/>
        <v>7.346665489020717</v>
      </c>
      <c r="D380" s="338">
        <f t="shared" si="136"/>
        <v>1.4342562910502332</v>
      </c>
      <c r="E380" s="338">
        <f t="shared" si="137"/>
        <v>1.0011763429934912</v>
      </c>
      <c r="F380" s="339">
        <f t="shared" si="138"/>
        <v>4.8480738391465765E-2</v>
      </c>
      <c r="G380" s="338">
        <f t="shared" si="139"/>
        <v>1</v>
      </c>
      <c r="H380" s="339">
        <f t="shared" si="140"/>
        <v>0</v>
      </c>
      <c r="I380" s="337">
        <f t="shared" si="141"/>
        <v>23294.46168718208</v>
      </c>
      <c r="J380" s="340">
        <f t="shared" si="142"/>
        <v>1.5707533981359847</v>
      </c>
      <c r="K380" s="348">
        <f t="shared" si="158"/>
        <v>5.5492067473015432</v>
      </c>
      <c r="L380" s="349">
        <f t="shared" si="159"/>
        <v>1.389600515310683</v>
      </c>
      <c r="M380" s="337">
        <f t="shared" si="143"/>
        <v>1.0352799169743112</v>
      </c>
      <c r="N380" s="340">
        <f t="shared" si="144"/>
        <v>0.26181285729355874</v>
      </c>
      <c r="O380" s="341">
        <f t="shared" si="145"/>
        <v>1.0042106534014423</v>
      </c>
      <c r="P380" s="342">
        <f t="shared" si="146"/>
        <v>0.42603984918043514</v>
      </c>
      <c r="Q380" s="343">
        <f t="shared" si="147"/>
        <v>5.0993358837897933</v>
      </c>
      <c r="R380" s="344">
        <f t="shared" si="148"/>
        <v>-129.18944330750557</v>
      </c>
      <c r="S380" s="346">
        <f t="shared" si="149"/>
        <v>50.81055669249443</v>
      </c>
      <c r="U380" s="319">
        <f t="shared" si="155"/>
        <v>1000000000</v>
      </c>
      <c r="V380" s="319">
        <f t="shared" si="156"/>
        <v>1035230625</v>
      </c>
      <c r="X380" s="345">
        <f t="shared" si="150"/>
        <v>24.945633151171268</v>
      </c>
      <c r="Y380" s="346">
        <f t="shared" si="151"/>
        <v>-25.380067406700508</v>
      </c>
      <c r="AA380" s="345">
        <f t="shared" si="152"/>
        <v>42.395206355065547</v>
      </c>
      <c r="AB380" s="346">
        <f t="shared" si="153"/>
        <v>-103.80937590080509</v>
      </c>
      <c r="AD380">
        <f t="shared" si="157"/>
        <v>0</v>
      </c>
      <c r="AE380">
        <f t="shared" si="160"/>
        <v>0</v>
      </c>
    </row>
    <row r="381" spans="1:31" x14ac:dyDescent="0.25">
      <c r="A381" s="347">
        <v>32359</v>
      </c>
      <c r="B381" s="364">
        <f t="shared" si="154"/>
        <v>32.359000000000002</v>
      </c>
      <c r="C381" s="337">
        <f t="shared" si="135"/>
        <v>7.3879028151617012</v>
      </c>
      <c r="D381" s="338">
        <f t="shared" si="136"/>
        <v>1.4350231529814992</v>
      </c>
      <c r="E381" s="338">
        <f t="shared" si="137"/>
        <v>1.0011898278126765</v>
      </c>
      <c r="F381" s="339">
        <f t="shared" si="138"/>
        <v>4.8757548490446077E-2</v>
      </c>
      <c r="G381" s="338">
        <f t="shared" si="139"/>
        <v>1</v>
      </c>
      <c r="H381" s="339">
        <f t="shared" si="140"/>
        <v>0</v>
      </c>
      <c r="I381" s="337">
        <f t="shared" si="141"/>
        <v>23427.676324091637</v>
      </c>
      <c r="J381" s="340">
        <f t="shared" si="142"/>
        <v>1.5707536422372619</v>
      </c>
      <c r="K381" s="348">
        <f t="shared" si="158"/>
        <v>5.5799134256517346</v>
      </c>
      <c r="L381" s="349">
        <f t="shared" si="159"/>
        <v>1.3906086142601544</v>
      </c>
      <c r="M381" s="337">
        <f t="shared" si="143"/>
        <v>1.035677611676646</v>
      </c>
      <c r="N381" s="340">
        <f t="shared" si="144"/>
        <v>0.26324205690208263</v>
      </c>
      <c r="O381" s="341">
        <f t="shared" si="145"/>
        <v>1.0043011284296794</v>
      </c>
      <c r="P381" s="342">
        <f t="shared" si="146"/>
        <v>0.42859558225936484</v>
      </c>
      <c r="Q381" s="343">
        <f t="shared" si="147"/>
        <v>5.0451165845047488</v>
      </c>
      <c r="R381" s="344">
        <f t="shared" si="148"/>
        <v>-129.38809520493669</v>
      </c>
      <c r="S381" s="346">
        <f t="shared" si="149"/>
        <v>50.61190479506331</v>
      </c>
      <c r="U381" s="319">
        <f t="shared" si="155"/>
        <v>1000000000</v>
      </c>
      <c r="V381" s="319">
        <f t="shared" si="156"/>
        <v>1047104881</v>
      </c>
      <c r="X381" s="345">
        <f t="shared" si="150"/>
        <v>24.940697548318838</v>
      </c>
      <c r="Y381" s="346">
        <f t="shared" si="151"/>
        <v>-25.404208683214932</v>
      </c>
      <c r="AA381" s="345">
        <f t="shared" si="152"/>
        <v>42.345922658632929</v>
      </c>
      <c r="AB381" s="346">
        <f t="shared" si="153"/>
        <v>-103.98388652172177</v>
      </c>
      <c r="AD381">
        <f t="shared" si="157"/>
        <v>0</v>
      </c>
      <c r="AE381">
        <f t="shared" si="160"/>
        <v>0</v>
      </c>
    </row>
    <row r="382" spans="1:31" x14ac:dyDescent="0.25">
      <c r="A382" s="347">
        <v>32547.5</v>
      </c>
      <c r="B382" s="364">
        <f t="shared" si="154"/>
        <v>32.547499999999999</v>
      </c>
      <c r="C382" s="337">
        <f t="shared" si="135"/>
        <v>7.4301531175830551</v>
      </c>
      <c r="D382" s="338">
        <f t="shared" si="136"/>
        <v>1.4357999422441896</v>
      </c>
      <c r="E382" s="338">
        <f t="shared" si="137"/>
        <v>1.001203721973678</v>
      </c>
      <c r="F382" s="339">
        <f t="shared" si="138"/>
        <v>4.9041120647014651E-2</v>
      </c>
      <c r="G382" s="338">
        <f t="shared" si="139"/>
        <v>1</v>
      </c>
      <c r="H382" s="339">
        <f t="shared" si="140"/>
        <v>0</v>
      </c>
      <c r="I382" s="337">
        <f t="shared" si="141"/>
        <v>23564.148927666178</v>
      </c>
      <c r="J382" s="340">
        <f t="shared" si="142"/>
        <v>1.5707538894463902</v>
      </c>
      <c r="K382" s="348">
        <f t="shared" si="158"/>
        <v>5.6113768977856688</v>
      </c>
      <c r="L382" s="349">
        <f t="shared" si="159"/>
        <v>1.3916299256176037</v>
      </c>
      <c r="M382" s="337">
        <f t="shared" si="143"/>
        <v>1.0360872246265951</v>
      </c>
      <c r="N382" s="340">
        <f t="shared" si="144"/>
        <v>0.26470506893410883</v>
      </c>
      <c r="O382" s="341">
        <f t="shared" si="145"/>
        <v>1.0043953455872465</v>
      </c>
      <c r="P382" s="342">
        <f t="shared" si="146"/>
        <v>0.43121573951170822</v>
      </c>
      <c r="Q382" s="343">
        <f t="shared" si="147"/>
        <v>4.9898446084227306</v>
      </c>
      <c r="R382" s="344">
        <f t="shared" si="148"/>
        <v>-129.59180016445484</v>
      </c>
      <c r="S382" s="346">
        <f t="shared" si="149"/>
        <v>50.408199835545162</v>
      </c>
      <c r="U382" s="319">
        <f t="shared" si="155"/>
        <v>1000000000</v>
      </c>
      <c r="V382" s="319">
        <f t="shared" si="156"/>
        <v>1059339756.25</v>
      </c>
      <c r="X382" s="345">
        <f t="shared" si="150"/>
        <v>24.935651645718501</v>
      </c>
      <c r="Y382" s="346">
        <f t="shared" si="151"/>
        <v>-25.429530431744915</v>
      </c>
      <c r="AA382" s="345">
        <f t="shared" si="152"/>
        <v>42.295696585151255</v>
      </c>
      <c r="AB382" s="346">
        <f t="shared" si="153"/>
        <v>-104.16226973270992</v>
      </c>
      <c r="AD382">
        <f t="shared" si="157"/>
        <v>0</v>
      </c>
      <c r="AE382">
        <f t="shared" si="160"/>
        <v>0</v>
      </c>
    </row>
    <row r="383" spans="1:31" x14ac:dyDescent="0.25">
      <c r="A383" s="347">
        <v>32736</v>
      </c>
      <c r="B383" s="364">
        <f t="shared" si="154"/>
        <v>32.735999999999997</v>
      </c>
      <c r="C383" s="337">
        <f t="shared" si="135"/>
        <v>7.4724078526693418</v>
      </c>
      <c r="D383" s="338">
        <f t="shared" si="136"/>
        <v>1.4365679468393335</v>
      </c>
      <c r="E383" s="338">
        <f t="shared" si="137"/>
        <v>1.0012176966424042</v>
      </c>
      <c r="F383" s="339">
        <f t="shared" si="138"/>
        <v>4.9324684910370405E-2</v>
      </c>
      <c r="G383" s="338">
        <f t="shared" si="139"/>
        <v>1</v>
      </c>
      <c r="H383" s="339">
        <f t="shared" si="140"/>
        <v>0</v>
      </c>
      <c r="I383" s="337">
        <f t="shared" si="141"/>
        <v>23700.621531242141</v>
      </c>
      <c r="J383" s="340">
        <f t="shared" si="142"/>
        <v>1.570754133808566</v>
      </c>
      <c r="K383" s="348">
        <f t="shared" si="158"/>
        <v>5.6428461577420315</v>
      </c>
      <c r="L383" s="349">
        <f t="shared" si="159"/>
        <v>1.3926398466351042</v>
      </c>
      <c r="M383" s="337">
        <f t="shared" si="143"/>
        <v>1.0364990534664522</v>
      </c>
      <c r="N383" s="340">
        <f t="shared" si="144"/>
        <v>0.26616692150528026</v>
      </c>
      <c r="O383" s="341">
        <f t="shared" si="145"/>
        <v>1.0044911278092996</v>
      </c>
      <c r="P383" s="342">
        <f t="shared" si="146"/>
        <v>0.43383784500520539</v>
      </c>
      <c r="Q383" s="343">
        <f t="shared" si="147"/>
        <v>4.9348455367647714</v>
      </c>
      <c r="R383" s="344">
        <f t="shared" si="148"/>
        <v>-129.79569990091613</v>
      </c>
      <c r="S383" s="346">
        <f t="shared" si="149"/>
        <v>50.204300099083866</v>
      </c>
      <c r="U383" s="319">
        <f t="shared" si="155"/>
        <v>1000000000</v>
      </c>
      <c r="V383" s="319">
        <f t="shared" si="156"/>
        <v>1071645696</v>
      </c>
      <c r="X383" s="345">
        <f t="shared" si="150"/>
        <v>24.930615702947392</v>
      </c>
      <c r="Y383" s="346">
        <f t="shared" si="151"/>
        <v>-25.455438203349996</v>
      </c>
      <c r="AA383" s="345">
        <f t="shared" si="152"/>
        <v>42.245733456264404</v>
      </c>
      <c r="AB383" s="346">
        <f t="shared" si="153"/>
        <v>-104.34026169756613</v>
      </c>
      <c r="AD383">
        <f t="shared" si="157"/>
        <v>0</v>
      </c>
      <c r="AE383">
        <f t="shared" si="160"/>
        <v>0</v>
      </c>
    </row>
    <row r="384" spans="1:31" x14ac:dyDescent="0.25">
      <c r="A384" s="347">
        <v>32924.5</v>
      </c>
      <c r="B384" s="364">
        <f t="shared" si="154"/>
        <v>32.924500000000002</v>
      </c>
      <c r="C384" s="337">
        <f t="shared" si="135"/>
        <v>7.5146669456463542</v>
      </c>
      <c r="D384" s="338">
        <f t="shared" si="136"/>
        <v>1.4373273140562244</v>
      </c>
      <c r="E384" s="338">
        <f t="shared" si="137"/>
        <v>1.0012317518154843</v>
      </c>
      <c r="F384" s="339">
        <f t="shared" si="138"/>
        <v>4.9608241235242739E-2</v>
      </c>
      <c r="G384" s="338">
        <f t="shared" si="139"/>
        <v>1</v>
      </c>
      <c r="H384" s="339">
        <f t="shared" si="140"/>
        <v>0</v>
      </c>
      <c r="I384" s="337">
        <f t="shared" si="141"/>
        <v>23837.094134819501</v>
      </c>
      <c r="J384" s="340">
        <f t="shared" si="142"/>
        <v>1.5707543753726874</v>
      </c>
      <c r="K384" s="348">
        <f t="shared" si="158"/>
        <v>5.6743211092246399</v>
      </c>
      <c r="L384" s="349">
        <f t="shared" si="159"/>
        <v>1.3936385647787999</v>
      </c>
      <c r="M384" s="337">
        <f t="shared" si="143"/>
        <v>1.0369130955559742</v>
      </c>
      <c r="N384" s="340">
        <f t="shared" si="144"/>
        <v>0.26762760975283989</v>
      </c>
      <c r="O384" s="341">
        <f t="shared" si="145"/>
        <v>1.0045884924855053</v>
      </c>
      <c r="P384" s="342">
        <f t="shared" si="146"/>
        <v>0.436461903885005</v>
      </c>
      <c r="Q384" s="343">
        <f t="shared" si="147"/>
        <v>4.8801156679971402</v>
      </c>
      <c r="R384" s="344">
        <f t="shared" si="148"/>
        <v>-129.99979213393198</v>
      </c>
      <c r="S384" s="346">
        <f t="shared" si="149"/>
        <v>50.000207866068024</v>
      </c>
      <c r="U384" s="319">
        <f t="shared" si="155"/>
        <v>1000000000</v>
      </c>
      <c r="V384" s="319">
        <f t="shared" si="156"/>
        <v>1084022700.25</v>
      </c>
      <c r="X384" s="345">
        <f t="shared" si="150"/>
        <v>24.925589158787069</v>
      </c>
      <c r="Y384" s="346">
        <f t="shared" si="151"/>
        <v>-25.481920981197515</v>
      </c>
      <c r="AA384" s="345">
        <f t="shared" si="152"/>
        <v>42.196030131657096</v>
      </c>
      <c r="AB384" s="346">
        <f t="shared" si="153"/>
        <v>-104.51787115273444</v>
      </c>
      <c r="AD384">
        <f t="shared" si="157"/>
        <v>0</v>
      </c>
      <c r="AE384">
        <f t="shared" si="160"/>
        <v>0</v>
      </c>
    </row>
    <row r="385" spans="1:31" x14ac:dyDescent="0.25">
      <c r="A385" s="347">
        <v>33113</v>
      </c>
      <c r="B385" s="364">
        <f t="shared" si="154"/>
        <v>33.113</v>
      </c>
      <c r="C385" s="337">
        <f t="shared" si="135"/>
        <v>7.5569303234048419</v>
      </c>
      <c r="D385" s="338">
        <f t="shared" si="136"/>
        <v>1.4380781879295552</v>
      </c>
      <c r="E385" s="338">
        <f t="shared" si="137"/>
        <v>1.0012458874895278</v>
      </c>
      <c r="F385" s="339">
        <f t="shared" si="138"/>
        <v>4.9891789576368709E-2</v>
      </c>
      <c r="G385" s="338">
        <f t="shared" si="139"/>
        <v>1</v>
      </c>
      <c r="H385" s="339">
        <f t="shared" si="140"/>
        <v>0</v>
      </c>
      <c r="I385" s="337">
        <f t="shared" si="141"/>
        <v>23973.56673839824</v>
      </c>
      <c r="J385" s="340">
        <f t="shared" si="142"/>
        <v>1.5707546141865392</v>
      </c>
      <c r="K385" s="348">
        <f t="shared" si="158"/>
        <v>5.7058016580448809</v>
      </c>
      <c r="L385" s="349">
        <f t="shared" si="159"/>
        <v>1.3946262634681355</v>
      </c>
      <c r="M385" s="337">
        <f t="shared" si="143"/>
        <v>1.0373293482449562</v>
      </c>
      <c r="N385" s="340">
        <f t="shared" si="144"/>
        <v>0.26908712884164721</v>
      </c>
      <c r="O385" s="341">
        <f t="shared" si="145"/>
        <v>1.0046874570943629</v>
      </c>
      <c r="P385" s="342">
        <f t="shared" si="146"/>
        <v>0.43908792118131174</v>
      </c>
      <c r="Q385" s="343">
        <f t="shared" si="147"/>
        <v>4.8256513641867542</v>
      </c>
      <c r="R385" s="344">
        <f t="shared" si="148"/>
        <v>-130.20407462342985</v>
      </c>
      <c r="S385" s="346">
        <f t="shared" si="149"/>
        <v>49.795925376570153</v>
      </c>
      <c r="U385" s="319">
        <f t="shared" si="155"/>
        <v>1000000000</v>
      </c>
      <c r="V385" s="319">
        <f t="shared" si="156"/>
        <v>1096470769</v>
      </c>
      <c r="X385" s="345">
        <f t="shared" si="150"/>
        <v>24.920571468778387</v>
      </c>
      <c r="Y385" s="346">
        <f t="shared" si="151"/>
        <v>-25.508967981832132</v>
      </c>
      <c r="AA385" s="345">
        <f t="shared" si="152"/>
        <v>42.14658351785539</v>
      </c>
      <c r="AB385" s="346">
        <f t="shared" si="153"/>
        <v>-104.69510664159775</v>
      </c>
      <c r="AD385">
        <f t="shared" si="157"/>
        <v>0</v>
      </c>
      <c r="AE385">
        <f t="shared" si="160"/>
        <v>0</v>
      </c>
    </row>
    <row r="386" spans="1:31" x14ac:dyDescent="0.25">
      <c r="A386" s="347">
        <v>33305.75</v>
      </c>
      <c r="B386" s="364">
        <f t="shared" si="154"/>
        <v>33.305750000000003</v>
      </c>
      <c r="C386" s="337">
        <f t="shared" si="135"/>
        <v>7.6001509452986209</v>
      </c>
      <c r="D386" s="338">
        <f t="shared" si="136"/>
        <v>1.4388373553213516</v>
      </c>
      <c r="E386" s="338">
        <f t="shared" si="137"/>
        <v>1.0012604251127872</v>
      </c>
      <c r="F386" s="339">
        <f t="shared" si="138"/>
        <v>5.0181722614296397E-2</v>
      </c>
      <c r="G386" s="338">
        <f t="shared" si="139"/>
        <v>1</v>
      </c>
      <c r="H386" s="339">
        <f t="shared" si="140"/>
        <v>0</v>
      </c>
      <c r="I386" s="337">
        <f t="shared" si="141"/>
        <v>24113.116310494075</v>
      </c>
      <c r="J386" s="340">
        <f t="shared" si="142"/>
        <v>1.5707548555894577</v>
      </c>
      <c r="K386" s="348">
        <f t="shared" si="158"/>
        <v>5.7379976725907706</v>
      </c>
      <c r="L386" s="349">
        <f t="shared" si="159"/>
        <v>1.3956250232649212</v>
      </c>
      <c r="M386" s="337">
        <f t="shared" si="143"/>
        <v>1.0377572690930355</v>
      </c>
      <c r="N386" s="340">
        <f t="shared" si="144"/>
        <v>0.27057834085459259</v>
      </c>
      <c r="O386" s="341">
        <f t="shared" si="145"/>
        <v>1.0047903257518322</v>
      </c>
      <c r="P386" s="342">
        <f t="shared" si="146"/>
        <v>0.44177517603073646</v>
      </c>
      <c r="Q386" s="343">
        <f t="shared" si="147"/>
        <v>4.7702299739988492</v>
      </c>
      <c r="R386" s="344">
        <f t="shared" si="148"/>
        <v>-130.41315739806231</v>
      </c>
      <c r="S386" s="346">
        <f t="shared" si="149"/>
        <v>49.58684260193769</v>
      </c>
      <c r="U386" s="319">
        <f t="shared" si="155"/>
        <v>1000000000</v>
      </c>
      <c r="V386" s="319">
        <f t="shared" si="156"/>
        <v>1109272983.0625</v>
      </c>
      <c r="X386" s="345">
        <f t="shared" si="150"/>
        <v>24.915449253417719</v>
      </c>
      <c r="Y386" s="346">
        <f t="shared" si="151"/>
        <v>-25.537197246830591</v>
      </c>
      <c r="AA386" s="345">
        <f t="shared" si="152"/>
        <v>42.096284343028152</v>
      </c>
      <c r="AB386" s="346">
        <f t="shared" si="153"/>
        <v>-104.87596015123172</v>
      </c>
      <c r="AD386">
        <f t="shared" si="157"/>
        <v>0</v>
      </c>
      <c r="AE386">
        <f t="shared" si="160"/>
        <v>0</v>
      </c>
    </row>
    <row r="387" spans="1:31" x14ac:dyDescent="0.25">
      <c r="A387" s="347">
        <v>33498.5</v>
      </c>
      <c r="B387" s="364">
        <f t="shared" si="154"/>
        <v>33.4985</v>
      </c>
      <c r="C387" s="337">
        <f t="shared" si="135"/>
        <v>7.6433758978875233</v>
      </c>
      <c r="D387" s="338">
        <f t="shared" si="136"/>
        <v>1.4395879366283364</v>
      </c>
      <c r="E387" s="338">
        <f t="shared" si="137"/>
        <v>1.0012750469007179</v>
      </c>
      <c r="F387" s="339">
        <f t="shared" si="138"/>
        <v>5.0471647208713048E-2</v>
      </c>
      <c r="G387" s="338">
        <f t="shared" si="139"/>
        <v>1</v>
      </c>
      <c r="H387" s="339">
        <f t="shared" si="140"/>
        <v>0</v>
      </c>
      <c r="I387" s="337">
        <f t="shared" si="141"/>
        <v>24252.665882591304</v>
      </c>
      <c r="J387" s="340">
        <f t="shared" si="142"/>
        <v>1.5707550942143167</v>
      </c>
      <c r="K387" s="348">
        <f t="shared" si="158"/>
        <v>5.7701993470333335</v>
      </c>
      <c r="L387" s="349">
        <f t="shared" si="159"/>
        <v>1.3966126365068088</v>
      </c>
      <c r="M387" s="337">
        <f t="shared" si="143"/>
        <v>1.0381874957103727</v>
      </c>
      <c r="N387" s="340">
        <f t="shared" si="144"/>
        <v>0.2720683202570876</v>
      </c>
      <c r="O387" s="341">
        <f t="shared" si="145"/>
        <v>1.0048949045467814</v>
      </c>
      <c r="P387" s="342">
        <f t="shared" si="146"/>
        <v>0.44446448886917012</v>
      </c>
      <c r="Q387" s="343">
        <f t="shared" si="147"/>
        <v>4.7150787624871739</v>
      </c>
      <c r="R387" s="344">
        <f t="shared" si="148"/>
        <v>-130.62243449213884</v>
      </c>
      <c r="S387" s="346">
        <f t="shared" si="149"/>
        <v>49.377565507861163</v>
      </c>
      <c r="U387" s="319">
        <f t="shared" si="155"/>
        <v>1000000000</v>
      </c>
      <c r="V387" s="319">
        <f t="shared" si="156"/>
        <v>1122149502.25</v>
      </c>
      <c r="X387" s="345">
        <f t="shared" si="150"/>
        <v>24.910335195870161</v>
      </c>
      <c r="Y387" s="346">
        <f t="shared" si="151"/>
        <v>-25.565994379833811</v>
      </c>
      <c r="AA387" s="345">
        <f t="shared" si="152"/>
        <v>42.046247189064047</v>
      </c>
      <c r="AB387" s="346">
        <f t="shared" si="153"/>
        <v>-105.05644011230508</v>
      </c>
      <c r="AD387">
        <f t="shared" si="157"/>
        <v>0</v>
      </c>
      <c r="AE387">
        <f t="shared" si="160"/>
        <v>0</v>
      </c>
    </row>
    <row r="388" spans="1:31" x14ac:dyDescent="0.25">
      <c r="A388" s="347">
        <v>33691.25</v>
      </c>
      <c r="B388" s="364">
        <f t="shared" si="154"/>
        <v>33.691249999999997</v>
      </c>
      <c r="C388" s="337">
        <f t="shared" si="135"/>
        <v>7.6866051081116922</v>
      </c>
      <c r="D388" s="338">
        <f t="shared" si="136"/>
        <v>1.4403300758611433</v>
      </c>
      <c r="E388" s="338">
        <f t="shared" si="137"/>
        <v>1.0012897528496325</v>
      </c>
      <c r="F388" s="339">
        <f t="shared" si="138"/>
        <v>5.0761563311249681E-2</v>
      </c>
      <c r="G388" s="338">
        <f t="shared" si="139"/>
        <v>1</v>
      </c>
      <c r="H388" s="339">
        <f t="shared" si="140"/>
        <v>0</v>
      </c>
      <c r="I388" s="337">
        <f t="shared" si="141"/>
        <v>24392.215454689893</v>
      </c>
      <c r="J388" s="340">
        <f t="shared" si="142"/>
        <v>1.5707553301087966</v>
      </c>
      <c r="K388" s="348">
        <f t="shared" si="158"/>
        <v>5.8024065871402142</v>
      </c>
      <c r="L388" s="349">
        <f t="shared" si="159"/>
        <v>1.3975892868635056</v>
      </c>
      <c r="M388" s="337">
        <f t="shared" si="143"/>
        <v>1.0386200252316176</v>
      </c>
      <c r="N388" s="340">
        <f t="shared" si="144"/>
        <v>0.27355706196938334</v>
      </c>
      <c r="O388" s="341">
        <f t="shared" si="145"/>
        <v>1.005001212452828</v>
      </c>
      <c r="P388" s="342">
        <f t="shared" si="146"/>
        <v>0.44715586469654767</v>
      </c>
      <c r="Q388" s="343">
        <f t="shared" si="147"/>
        <v>4.6601940366407764</v>
      </c>
      <c r="R388" s="344">
        <f t="shared" si="148"/>
        <v>-130.83190363429222</v>
      </c>
      <c r="S388" s="346">
        <f t="shared" si="149"/>
        <v>49.168096365707783</v>
      </c>
      <c r="U388" s="319">
        <f t="shared" si="155"/>
        <v>1000000000</v>
      </c>
      <c r="V388" s="319">
        <f t="shared" si="156"/>
        <v>1135100326.5625</v>
      </c>
      <c r="X388" s="345">
        <f t="shared" si="150"/>
        <v>24.905228764898496</v>
      </c>
      <c r="Y388" s="346">
        <f t="shared" si="151"/>
        <v>-25.595348569026413</v>
      </c>
      <c r="AA388" s="345">
        <f t="shared" si="152"/>
        <v>41.996468894189306</v>
      </c>
      <c r="AB388" s="346">
        <f t="shared" si="153"/>
        <v>-105.23655506526582</v>
      </c>
      <c r="AD388">
        <f t="shared" si="157"/>
        <v>0</v>
      </c>
      <c r="AE388">
        <f t="shared" si="160"/>
        <v>0</v>
      </c>
    </row>
    <row r="389" spans="1:31" x14ac:dyDescent="0.25">
      <c r="A389" s="347">
        <v>33884</v>
      </c>
      <c r="B389" s="364">
        <f t="shared" si="154"/>
        <v>33.884</v>
      </c>
      <c r="C389" s="337">
        <f t="shared" si="135"/>
        <v>7.7298385045385061</v>
      </c>
      <c r="D389" s="338">
        <f t="shared" si="136"/>
        <v>1.4410639138462444</v>
      </c>
      <c r="E389" s="338">
        <f t="shared" si="137"/>
        <v>1.0013045429558227</v>
      </c>
      <c r="F389" s="339">
        <f t="shared" si="138"/>
        <v>5.1051470873545848E-2</v>
      </c>
      <c r="G389" s="338">
        <f t="shared" si="139"/>
        <v>1</v>
      </c>
      <c r="H389" s="339">
        <f t="shared" si="140"/>
        <v>0</v>
      </c>
      <c r="I389" s="337">
        <f t="shared" si="141"/>
        <v>24531.765026789828</v>
      </c>
      <c r="J389" s="340">
        <f t="shared" si="142"/>
        <v>1.570755563319493</v>
      </c>
      <c r="K389" s="348">
        <f t="shared" si="158"/>
        <v>5.8346193007436078</v>
      </c>
      <c r="L389" s="349">
        <f t="shared" si="159"/>
        <v>1.3985551540332968</v>
      </c>
      <c r="M389" s="337">
        <f t="shared" si="143"/>
        <v>1.0390548547808667</v>
      </c>
      <c r="N389" s="340">
        <f t="shared" si="144"/>
        <v>0.27504456094211188</v>
      </c>
      <c r="O389" s="341">
        <f t="shared" si="145"/>
        <v>1.0051092685392615</v>
      </c>
      <c r="P389" s="342">
        <f t="shared" si="146"/>
        <v>0.44984930838349746</v>
      </c>
      <c r="Q389" s="343">
        <f t="shared" si="147"/>
        <v>4.6055721665778222</v>
      </c>
      <c r="R389" s="344">
        <f t="shared" si="148"/>
        <v>-131.04156259253111</v>
      </c>
      <c r="S389" s="346">
        <f t="shared" si="149"/>
        <v>48.958437407468892</v>
      </c>
      <c r="U389" s="319">
        <f t="shared" si="155"/>
        <v>1000000000</v>
      </c>
      <c r="V389" s="319">
        <f t="shared" si="156"/>
        <v>1148125456</v>
      </c>
      <c r="X389" s="345">
        <f t="shared" si="150"/>
        <v>24.900129445313368</v>
      </c>
      <c r="Y389" s="346">
        <f t="shared" si="151"/>
        <v>-25.625249231817325</v>
      </c>
      <c r="AA389" s="345">
        <f t="shared" si="152"/>
        <v>41.946946343711488</v>
      </c>
      <c r="AB389" s="346">
        <f t="shared" si="153"/>
        <v>-105.4163133607138</v>
      </c>
      <c r="AD389">
        <f t="shared" si="157"/>
        <v>0</v>
      </c>
      <c r="AE389">
        <f t="shared" si="160"/>
        <v>0</v>
      </c>
    </row>
    <row r="390" spans="1:31" x14ac:dyDescent="0.25">
      <c r="A390" s="347">
        <v>34081.5</v>
      </c>
      <c r="B390" s="364">
        <f t="shared" si="154"/>
        <v>34.081499999999998</v>
      </c>
      <c r="C390" s="337">
        <f t="shared" si="135"/>
        <v>7.7741415845818587</v>
      </c>
      <c r="D390" s="338">
        <f t="shared" si="136"/>
        <v>1.4418073694284164</v>
      </c>
      <c r="E390" s="338">
        <f t="shared" si="137"/>
        <v>1.00131978482914</v>
      </c>
      <c r="F390" s="339">
        <f t="shared" si="138"/>
        <v>5.1348513811686092E-2</v>
      </c>
      <c r="G390" s="338">
        <f t="shared" si="139"/>
        <v>1</v>
      </c>
      <c r="H390" s="339">
        <f t="shared" si="140"/>
        <v>0</v>
      </c>
      <c r="I390" s="337">
        <f t="shared" si="141"/>
        <v>24674.753563702929</v>
      </c>
      <c r="J390" s="340">
        <f t="shared" si="142"/>
        <v>1.5707557995410908</v>
      </c>
      <c r="K390" s="348">
        <f t="shared" si="158"/>
        <v>5.8676314257796012</v>
      </c>
      <c r="L390" s="349">
        <f t="shared" si="159"/>
        <v>1.3995338221750346</v>
      </c>
      <c r="M390" s="337">
        <f t="shared" si="143"/>
        <v>1.039502782702288</v>
      </c>
      <c r="N390" s="340">
        <f t="shared" si="144"/>
        <v>0.27656742252523958</v>
      </c>
      <c r="O390" s="341">
        <f t="shared" si="145"/>
        <v>1.005221820861844</v>
      </c>
      <c r="P390" s="342">
        <f t="shared" si="146"/>
        <v>0.45261127734858425</v>
      </c>
      <c r="Q390" s="343">
        <f t="shared" si="147"/>
        <v>4.5498731530780674</v>
      </c>
      <c r="R390" s="344">
        <f t="shared" si="148"/>
        <v>-131.2565828399776</v>
      </c>
      <c r="S390" s="346">
        <f t="shared" si="149"/>
        <v>48.743417160022403</v>
      </c>
      <c r="U390" s="319">
        <f t="shared" si="155"/>
        <v>1000000000</v>
      </c>
      <c r="V390" s="319">
        <f t="shared" si="156"/>
        <v>1161548642.25</v>
      </c>
      <c r="X390" s="345">
        <f t="shared" si="150"/>
        <v>24.894911315534983</v>
      </c>
      <c r="Y390" s="346">
        <f t="shared" si="151"/>
        <v>-25.656442753783896</v>
      </c>
      <c r="AA390" s="345">
        <f t="shared" si="152"/>
        <v>41.896465459990111</v>
      </c>
      <c r="AB390" s="346">
        <f t="shared" si="153"/>
        <v>-105.60014008619372</v>
      </c>
      <c r="AD390">
        <f t="shared" si="157"/>
        <v>0</v>
      </c>
      <c r="AE390">
        <f t="shared" si="160"/>
        <v>0</v>
      </c>
    </row>
    <row r="391" spans="1:31" x14ac:dyDescent="0.25">
      <c r="A391" s="347">
        <v>34279</v>
      </c>
      <c r="B391" s="364">
        <f t="shared" si="154"/>
        <v>34.279000000000003</v>
      </c>
      <c r="C391" s="337">
        <f t="shared" si="135"/>
        <v>7.8184489128981882</v>
      </c>
      <c r="D391" s="338">
        <f t="shared" si="136"/>
        <v>1.4425423990535473</v>
      </c>
      <c r="E391" s="338">
        <f t="shared" si="137"/>
        <v>1.0013351150507208</v>
      </c>
      <c r="F391" s="339">
        <f t="shared" si="138"/>
        <v>5.1645547680709489E-2</v>
      </c>
      <c r="G391" s="338">
        <f t="shared" si="139"/>
        <v>1</v>
      </c>
      <c r="H391" s="339">
        <f t="shared" si="140"/>
        <v>0</v>
      </c>
      <c r="I391" s="337">
        <f t="shared" si="141"/>
        <v>24817.742100617386</v>
      </c>
      <c r="J391" s="340">
        <f t="shared" si="142"/>
        <v>1.5707560330406858</v>
      </c>
      <c r="K391" s="348">
        <f t="shared" si="158"/>
        <v>5.9006491078953909</v>
      </c>
      <c r="L391" s="349">
        <f t="shared" si="159"/>
        <v>1.4005015387608049</v>
      </c>
      <c r="M391" s="337">
        <f t="shared" si="143"/>
        <v>1.0399531192623606</v>
      </c>
      <c r="N391" s="340">
        <f t="shared" si="144"/>
        <v>0.27808896872837452</v>
      </c>
      <c r="O391" s="341">
        <f t="shared" si="145"/>
        <v>1.0053362494295692</v>
      </c>
      <c r="P391" s="342">
        <f t="shared" si="146"/>
        <v>0.45537542727998359</v>
      </c>
      <c r="Q391" s="343">
        <f t="shared" si="147"/>
        <v>4.4944425911460986</v>
      </c>
      <c r="R391" s="344">
        <f t="shared" si="148"/>
        <v>-131.47179775168934</v>
      </c>
      <c r="S391" s="346">
        <f t="shared" si="149"/>
        <v>48.528202248310663</v>
      </c>
      <c r="U391" s="319">
        <f t="shared" si="155"/>
        <v>1000000000</v>
      </c>
      <c r="V391" s="319">
        <f t="shared" si="156"/>
        <v>1175049841</v>
      </c>
      <c r="X391" s="345">
        <f t="shared" si="150"/>
        <v>24.889699606263349</v>
      </c>
      <c r="Y391" s="346">
        <f t="shared" si="151"/>
        <v>-25.688188232005817</v>
      </c>
      <c r="AA391" s="345">
        <f t="shared" si="152"/>
        <v>41.846246607329775</v>
      </c>
      <c r="AB391" s="346">
        <f t="shared" si="153"/>
        <v>-105.78360951968354</v>
      </c>
      <c r="AD391">
        <f t="shared" si="157"/>
        <v>0</v>
      </c>
      <c r="AE391">
        <f t="shared" si="160"/>
        <v>0</v>
      </c>
    </row>
    <row r="392" spans="1:31" x14ac:dyDescent="0.25">
      <c r="A392" s="347">
        <v>34476.5</v>
      </c>
      <c r="B392" s="364">
        <f t="shared" si="154"/>
        <v>34.476500000000001</v>
      </c>
      <c r="C392" s="337">
        <f t="shared" si="135"/>
        <v>7.8627604176693477</v>
      </c>
      <c r="D392" s="338">
        <f t="shared" si="136"/>
        <v>1.443269144377016</v>
      </c>
      <c r="E392" s="338">
        <f t="shared" si="137"/>
        <v>1.0013505336165069</v>
      </c>
      <c r="F392" s="339">
        <f t="shared" si="138"/>
        <v>5.1942572428619702E-2</v>
      </c>
      <c r="G392" s="338">
        <f t="shared" si="139"/>
        <v>1</v>
      </c>
      <c r="H392" s="339">
        <f t="shared" si="140"/>
        <v>0</v>
      </c>
      <c r="I392" s="337">
        <f t="shared" si="141"/>
        <v>24960.730637533186</v>
      </c>
      <c r="J392" s="340">
        <f t="shared" si="142"/>
        <v>1.5707562638650574</v>
      </c>
      <c r="K392" s="348">
        <f t="shared" si="158"/>
        <v>5.9336722543245282</v>
      </c>
      <c r="L392" s="349">
        <f t="shared" si="159"/>
        <v>1.4014584848115674</v>
      </c>
      <c r="M392" s="337">
        <f t="shared" si="143"/>
        <v>1.0404058613333682</v>
      </c>
      <c r="N392" s="340">
        <f t="shared" si="144"/>
        <v>0.27960919421911024</v>
      </c>
      <c r="O392" s="341">
        <f t="shared" si="145"/>
        <v>1.0054525750665733</v>
      </c>
      <c r="P392" s="342">
        <f t="shared" si="146"/>
        <v>0.45814176298885168</v>
      </c>
      <c r="Q392" s="343">
        <f t="shared" si="147"/>
        <v>4.4392767724123692</v>
      </c>
      <c r="R392" s="344">
        <f t="shared" si="148"/>
        <v>-131.68720504797864</v>
      </c>
      <c r="S392" s="346">
        <f t="shared" si="149"/>
        <v>48.312794952021363</v>
      </c>
      <c r="U392" s="319">
        <f t="shared" si="155"/>
        <v>1000000000</v>
      </c>
      <c r="V392" s="319">
        <f t="shared" si="156"/>
        <v>1188629052.25</v>
      </c>
      <c r="X392" s="345">
        <f t="shared" si="150"/>
        <v>24.884493812346207</v>
      </c>
      <c r="Y392" s="346">
        <f t="shared" si="151"/>
        <v>-25.720474991901959</v>
      </c>
      <c r="AA392" s="345">
        <f t="shared" si="152"/>
        <v>41.796286582513183</v>
      </c>
      <c r="AB392" s="346">
        <f t="shared" si="153"/>
        <v>-105.96673005607667</v>
      </c>
      <c r="AD392">
        <f t="shared" si="157"/>
        <v>0</v>
      </c>
      <c r="AE392">
        <f t="shared" si="160"/>
        <v>0</v>
      </c>
    </row>
    <row r="393" spans="1:31" x14ac:dyDescent="0.25">
      <c r="A393" s="347">
        <v>34674</v>
      </c>
      <c r="B393" s="364">
        <f t="shared" si="154"/>
        <v>34.673999999999999</v>
      </c>
      <c r="C393" s="337">
        <f t="shared" si="135"/>
        <v>7.9070760286803834</v>
      </c>
      <c r="D393" s="338">
        <f t="shared" si="136"/>
        <v>1.4439877439139965</v>
      </c>
      <c r="E393" s="338">
        <f t="shared" si="137"/>
        <v>1.0013660405224183</v>
      </c>
      <c r="F393" s="339">
        <f t="shared" si="138"/>
        <v>5.2239588003430044E-2</v>
      </c>
      <c r="G393" s="338">
        <f t="shared" si="139"/>
        <v>1</v>
      </c>
      <c r="H393" s="339">
        <f t="shared" si="140"/>
        <v>0</v>
      </c>
      <c r="I393" s="337">
        <f t="shared" si="141"/>
        <v>25103.719174450303</v>
      </c>
      <c r="J393" s="340">
        <f t="shared" si="142"/>
        <v>1.5707564920599191</v>
      </c>
      <c r="K393" s="348">
        <f t="shared" si="158"/>
        <v>5.9667007743390794</v>
      </c>
      <c r="L393" s="349">
        <f t="shared" si="159"/>
        <v>1.4024048374200384</v>
      </c>
      <c r="M393" s="337">
        <f t="shared" si="143"/>
        <v>1.0408610057763446</v>
      </c>
      <c r="N393" s="340">
        <f t="shared" si="144"/>
        <v>0.2811280936987115</v>
      </c>
      <c r="O393" s="341">
        <f t="shared" si="145"/>
        <v>1.00557081870071</v>
      </c>
      <c r="P393" s="342">
        <f t="shared" si="146"/>
        <v>0.46091028913972726</v>
      </c>
      <c r="Q393" s="343">
        <f t="shared" si="147"/>
        <v>4.3843720516890166</v>
      </c>
      <c r="R393" s="344">
        <f t="shared" si="148"/>
        <v>-131.9028024877762</v>
      </c>
      <c r="S393" s="346">
        <f t="shared" si="149"/>
        <v>48.097197512223801</v>
      </c>
      <c r="U393" s="319">
        <f t="shared" si="155"/>
        <v>1000000000</v>
      </c>
      <c r="V393" s="319">
        <f t="shared" si="156"/>
        <v>1202286276</v>
      </c>
      <c r="X393" s="345">
        <f t="shared" si="150"/>
        <v>24.879293444120847</v>
      </c>
      <c r="Y393" s="346">
        <f t="shared" si="151"/>
        <v>-25.753292585831133</v>
      </c>
      <c r="AA393" s="345">
        <f t="shared" si="152"/>
        <v>41.746582230015186</v>
      </c>
      <c r="AB393" s="346">
        <f t="shared" si="153"/>
        <v>-106.14950990194505</v>
      </c>
      <c r="AD393">
        <f t="shared" si="157"/>
        <v>0</v>
      </c>
      <c r="AE393">
        <f t="shared" si="160"/>
        <v>0</v>
      </c>
    </row>
    <row r="394" spans="1:31" x14ac:dyDescent="0.25">
      <c r="A394" s="347">
        <v>34875.75</v>
      </c>
      <c r="B394" s="364">
        <f t="shared" si="154"/>
        <v>34.875749999999996</v>
      </c>
      <c r="C394" s="337">
        <f t="shared" si="135"/>
        <v>7.9523494351095669</v>
      </c>
      <c r="D394" s="338">
        <f t="shared" si="136"/>
        <v>1.4447135372305937</v>
      </c>
      <c r="E394" s="338">
        <f t="shared" si="137"/>
        <v>1.0013819723290374</v>
      </c>
      <c r="F394" s="339">
        <f t="shared" si="138"/>
        <v>5.2542985527265856E-2</v>
      </c>
      <c r="G394" s="338">
        <f t="shared" si="139"/>
        <v>1</v>
      </c>
      <c r="H394" s="339">
        <f t="shared" si="140"/>
        <v>0</v>
      </c>
      <c r="I394" s="337">
        <f t="shared" si="141"/>
        <v>25249.784679884691</v>
      </c>
      <c r="J394" s="340">
        <f t="shared" si="142"/>
        <v>1.5707567224967633</v>
      </c>
      <c r="K394" s="348">
        <f t="shared" si="158"/>
        <v>6.0004454906622815</v>
      </c>
      <c r="L394" s="349">
        <f t="shared" si="159"/>
        <v>1.4033607969077506</v>
      </c>
      <c r="M394" s="337">
        <f t="shared" si="143"/>
        <v>1.0413284216640204</v>
      </c>
      <c r="N394" s="340">
        <f t="shared" si="144"/>
        <v>0.28267830376221875</v>
      </c>
      <c r="O394" s="341">
        <f t="shared" si="145"/>
        <v>1.0056936090405337</v>
      </c>
      <c r="P394" s="342">
        <f t="shared" si="146"/>
        <v>0.46374065751946647</v>
      </c>
      <c r="Q394" s="343">
        <f t="shared" si="147"/>
        <v>4.3285516970757341</v>
      </c>
      <c r="R394" s="344">
        <f t="shared" si="148"/>
        <v>-132.12323339988862</v>
      </c>
      <c r="S394" s="346">
        <f t="shared" si="149"/>
        <v>47.876766600111381</v>
      </c>
      <c r="U394" s="319">
        <f t="shared" si="155"/>
        <v>1000000000</v>
      </c>
      <c r="V394" s="319">
        <f t="shared" si="156"/>
        <v>1216317938.0625</v>
      </c>
      <c r="X394" s="345">
        <f t="shared" si="150"/>
        <v>24.873986277774559</v>
      </c>
      <c r="Y394" s="346">
        <f t="shared" si="151"/>
        <v>-25.787353838894948</v>
      </c>
      <c r="AA394" s="345">
        <f t="shared" si="152"/>
        <v>41.696069041748203</v>
      </c>
      <c r="AB394" s="346">
        <f t="shared" si="153"/>
        <v>-106.33587956099366</v>
      </c>
      <c r="AD394">
        <f t="shared" si="157"/>
        <v>0</v>
      </c>
      <c r="AE394">
        <f t="shared" si="160"/>
        <v>0</v>
      </c>
    </row>
    <row r="395" spans="1:31" x14ac:dyDescent="0.25">
      <c r="A395" s="347">
        <v>35077.5</v>
      </c>
      <c r="B395" s="364">
        <f t="shared" si="154"/>
        <v>35.077500000000001</v>
      </c>
      <c r="C395" s="337">
        <f t="shared" si="135"/>
        <v>7.9976269832159623</v>
      </c>
      <c r="D395" s="338">
        <f t="shared" si="136"/>
        <v>1.4454311129485087</v>
      </c>
      <c r="E395" s="338">
        <f t="shared" si="137"/>
        <v>1.0013979963099864</v>
      </c>
      <c r="F395" s="339">
        <f t="shared" si="138"/>
        <v>5.2846373369329645E-2</v>
      </c>
      <c r="G395" s="338">
        <f t="shared" si="139"/>
        <v>1</v>
      </c>
      <c r="H395" s="339">
        <f t="shared" si="140"/>
        <v>0</v>
      </c>
      <c r="I395" s="337">
        <f t="shared" si="141"/>
        <v>25395.850185320403</v>
      </c>
      <c r="J395" s="340">
        <f t="shared" si="142"/>
        <v>1.5707569502828695</v>
      </c>
      <c r="K395" s="348">
        <f t="shared" si="158"/>
        <v>6.0341956292101173</v>
      </c>
      <c r="L395" s="349">
        <f t="shared" si="159"/>
        <v>1.4043060636088551</v>
      </c>
      <c r="M395" s="337">
        <f t="shared" si="143"/>
        <v>1.0417983377723501</v>
      </c>
      <c r="N395" s="340">
        <f t="shared" si="144"/>
        <v>0.28422711906188086</v>
      </c>
      <c r="O395" s="341">
        <f t="shared" si="145"/>
        <v>1.0058184452877403</v>
      </c>
      <c r="P395" s="342">
        <f t="shared" si="146"/>
        <v>0.46657332099515364</v>
      </c>
      <c r="Q395" s="343">
        <f t="shared" si="147"/>
        <v>4.2729963043458916</v>
      </c>
      <c r="R395" s="344">
        <f t="shared" si="148"/>
        <v>-132.34385811790108</v>
      </c>
      <c r="S395" s="346">
        <f t="shared" si="149"/>
        <v>47.656141882098922</v>
      </c>
      <c r="U395" s="319">
        <f t="shared" si="155"/>
        <v>1000000000</v>
      </c>
      <c r="V395" s="319">
        <f t="shared" si="156"/>
        <v>1230431006.25</v>
      </c>
      <c r="X395" s="345">
        <f t="shared" si="150"/>
        <v>24.868683787500046</v>
      </c>
      <c r="Y395" s="346">
        <f t="shared" si="151"/>
        <v>-25.821947677545378</v>
      </c>
      <c r="AA395" s="345">
        <f t="shared" si="152"/>
        <v>41.645816139292869</v>
      </c>
      <c r="AB395" s="346">
        <f t="shared" si="153"/>
        <v>-106.52191044035574</v>
      </c>
      <c r="AD395">
        <f t="shared" si="157"/>
        <v>0</v>
      </c>
      <c r="AE395">
        <f t="shared" si="160"/>
        <v>0</v>
      </c>
    </row>
    <row r="396" spans="1:31" x14ac:dyDescent="0.25">
      <c r="A396" s="347">
        <v>35279.25</v>
      </c>
      <c r="B396" s="364">
        <f t="shared" si="154"/>
        <v>35.279249999999998</v>
      </c>
      <c r="C396" s="337">
        <f t="shared" si="135"/>
        <v>8.0429086030528598</v>
      </c>
      <c r="D396" s="338">
        <f t="shared" si="136"/>
        <v>1.446140609117827</v>
      </c>
      <c r="E396" s="338">
        <f t="shared" si="137"/>
        <v>1.0014141124608409</v>
      </c>
      <c r="F396" s="339">
        <f t="shared" si="138"/>
        <v>5.3149751474237325E-2</v>
      </c>
      <c r="G396" s="338">
        <f t="shared" si="139"/>
        <v>1</v>
      </c>
      <c r="H396" s="339">
        <f t="shared" si="140"/>
        <v>0</v>
      </c>
      <c r="I396" s="337">
        <f t="shared" si="141"/>
        <v>25541.915690757418</v>
      </c>
      <c r="J396" s="340">
        <f t="shared" si="142"/>
        <v>1.5707571754637137</v>
      </c>
      <c r="K396" s="348">
        <f t="shared" si="158"/>
        <v>6.0679510995068213</v>
      </c>
      <c r="L396" s="349">
        <f t="shared" si="159"/>
        <v>1.405240814268907</v>
      </c>
      <c r="M396" s="337">
        <f t="shared" si="143"/>
        <v>1.0422707507195998</v>
      </c>
      <c r="N396" s="340">
        <f t="shared" si="144"/>
        <v>0.28577453405857656</v>
      </c>
      <c r="O396" s="341">
        <f t="shared" si="145"/>
        <v>1.0059453500827384</v>
      </c>
      <c r="P396" s="342">
        <f t="shared" si="146"/>
        <v>0.46940828405837148</v>
      </c>
      <c r="Q396" s="343">
        <f t="shared" si="147"/>
        <v>4.2177021825060912</v>
      </c>
      <c r="R396" s="344">
        <f t="shared" si="148"/>
        <v>-132.5646743704859</v>
      </c>
      <c r="S396" s="346">
        <f t="shared" si="149"/>
        <v>47.435325629514097</v>
      </c>
      <c r="U396" s="319">
        <f t="shared" si="155"/>
        <v>1000000000</v>
      </c>
      <c r="V396" s="319">
        <f t="shared" si="156"/>
        <v>1244625480.5625</v>
      </c>
      <c r="X396" s="345">
        <f t="shared" si="150"/>
        <v>24.863385498193637</v>
      </c>
      <c r="Y396" s="346">
        <f t="shared" si="151"/>
        <v>-25.857063660245373</v>
      </c>
      <c r="AA396" s="345">
        <f t="shared" si="152"/>
        <v>41.595820306759478</v>
      </c>
      <c r="AB396" s="346">
        <f t="shared" si="153"/>
        <v>-106.70761071024054</v>
      </c>
      <c r="AD396">
        <f t="shared" si="157"/>
        <v>0</v>
      </c>
      <c r="AE396">
        <f t="shared" si="160"/>
        <v>0</v>
      </c>
    </row>
    <row r="397" spans="1:31" x14ac:dyDescent="0.25">
      <c r="A397" s="347">
        <v>35481</v>
      </c>
      <c r="B397" s="364">
        <f t="shared" si="154"/>
        <v>35.481000000000002</v>
      </c>
      <c r="C397" s="337">
        <f t="shared" ref="C397:C460" si="161">SQRT(1+(A397/pole1)^2)</f>
        <v>8.0881942262337194</v>
      </c>
      <c r="D397" s="338">
        <f t="shared" ref="D397:D460" si="162">ATAN(A397/pole1)</f>
        <v>1.4468421607298323</v>
      </c>
      <c r="E397" s="338">
        <f t="shared" ref="E397:E460" si="163">SQRT(1+(A397/Zero1)^2)</f>
        <v>1.0014303207771511</v>
      </c>
      <c r="F397" s="339">
        <f t="shared" ref="F397:F460" si="164">ATAN(A397/Zero1)</f>
        <v>5.3453119786615579E-2</v>
      </c>
      <c r="G397" s="338">
        <f t="shared" ref="G397:G460" si="165">IF(VIN_nom&gt;Vout, 1, SQRT(1+(A397/z_RHP)^2))</f>
        <v>1</v>
      </c>
      <c r="H397" s="339">
        <f t="shared" ref="H397:H460" si="166">IF(VIN_nom&gt;Vout, 0, -ATAN(A397/z_RHP))</f>
        <v>0</v>
      </c>
      <c r="I397" s="337">
        <f t="shared" ref="I397:I460" si="167">SQRT(1+(A397/Pole2)^2)</f>
        <v>25687.981196195713</v>
      </c>
      <c r="J397" s="340">
        <f t="shared" ref="J397:J460" si="168">ATAN(A397/Pole2)</f>
        <v>1.5707573980837373</v>
      </c>
      <c r="K397" s="348">
        <f t="shared" si="158"/>
        <v>6.1017118130645933</v>
      </c>
      <c r="L397" s="349">
        <f t="shared" si="159"/>
        <v>1.4061652217961738</v>
      </c>
      <c r="M397" s="337">
        <f t="shared" ref="M397:M460" si="169">SQRT(1+(A397/pole4)^2)</f>
        <v>1.0427456571122131</v>
      </c>
      <c r="N397" s="340">
        <f t="shared" ref="N397:N460" si="170">ATAN(A397/pole4)</f>
        <v>0.28732054325001993</v>
      </c>
      <c r="O397" s="341">
        <f t="shared" ref="O397:O460" si="171">SQRT((1-(V397/pterm2))^2+(A397/pterm1)^2)</f>
        <v>1.006074346176816</v>
      </c>
      <c r="P397" s="342">
        <f t="shared" ref="P397:P460" si="172">IF((ATAN((A397/pterm1)/(1-A397^2/pterm2))&gt;0),ATAN((A397/pterm1)/(1-A397^2/pterm2)),PI()+ATAN((A397/pterm1)/(1-A397^2/pterm2)))</f>
        <v>0.47224555103653676</v>
      </c>
      <c r="Q397" s="343">
        <f t="shared" ref="Q397:Q460" si="173">20*LOG10(((E397*K397*G397)/(C397*I397*O397*M397))*Adc)</f>
        <v>4.1626657030384138</v>
      </c>
      <c r="R397" s="344">
        <f t="shared" ref="R397:R460" si="174">((F397+L397+H397)-(D397+J397+P397+N397))*radconv</f>
        <v>-132.78567992356378</v>
      </c>
      <c r="S397" s="346">
        <f t="shared" ref="S397:S460" si="175">IF(R397&gt;0,R397,R397+180)</f>
        <v>47.214320076436223</v>
      </c>
      <c r="U397" s="319">
        <f t="shared" si="155"/>
        <v>1000000000</v>
      </c>
      <c r="V397" s="319">
        <f t="shared" si="156"/>
        <v>1258901361</v>
      </c>
      <c r="X397" s="345">
        <f t="shared" ref="X397:X460" si="176">20*LOG10((K397/(I397*M397))*AEA)</f>
        <v>24.858090949518484</v>
      </c>
      <c r="Y397" s="346">
        <f t="shared" ref="Y397:Y460" si="177">(L397-(J397+N397))*radconv</f>
        <v>-25.8926915673695</v>
      </c>
      <c r="AA397" s="345">
        <f t="shared" ref="AA397:AA460" si="178">20*LOG10((E397*G397/(C397*O397))*Acs*Am)</f>
        <v>41.546078375966957</v>
      </c>
      <c r="AB397" s="346">
        <f t="shared" ref="AB397:AB460" si="179">(F397+H397-(D397+P397))*radconv</f>
        <v>-106.89298835619431</v>
      </c>
      <c r="AD397">
        <f t="shared" si="157"/>
        <v>0</v>
      </c>
      <c r="AE397">
        <f t="shared" si="160"/>
        <v>0</v>
      </c>
    </row>
    <row r="398" spans="1:31" x14ac:dyDescent="0.25">
      <c r="A398" s="347">
        <v>35687.75</v>
      </c>
      <c r="B398" s="364">
        <f t="shared" ref="B398:B461" si="180">A398/1000</f>
        <v>35.687750000000001</v>
      </c>
      <c r="C398" s="337">
        <f t="shared" si="161"/>
        <v>8.1346062531489007</v>
      </c>
      <c r="D398" s="338">
        <f t="shared" si="162"/>
        <v>1.4475529947421921</v>
      </c>
      <c r="E398" s="338">
        <f t="shared" si="163"/>
        <v>1.0014470264018578</v>
      </c>
      <c r="F398" s="339">
        <f t="shared" si="164"/>
        <v>5.3763996303130744E-2</v>
      </c>
      <c r="G398" s="338">
        <f t="shared" si="165"/>
        <v>1</v>
      </c>
      <c r="H398" s="339">
        <f t="shared" si="166"/>
        <v>0</v>
      </c>
      <c r="I398" s="337">
        <f t="shared" si="167"/>
        <v>25837.66666459537</v>
      </c>
      <c r="J398" s="340">
        <f t="shared" si="168"/>
        <v>1.5707576236096117</v>
      </c>
      <c r="K398" s="348">
        <f t="shared" si="158"/>
        <v>6.1363145726253432</v>
      </c>
      <c r="L398" s="349">
        <f t="shared" si="159"/>
        <v>1.4071019851799682</v>
      </c>
      <c r="M398" s="337">
        <f t="shared" si="169"/>
        <v>1.0432349165220556</v>
      </c>
      <c r="N398" s="340">
        <f t="shared" si="170"/>
        <v>0.28890340320096314</v>
      </c>
      <c r="O398" s="341">
        <f t="shared" si="171"/>
        <v>1.0062087328000717</v>
      </c>
      <c r="P398" s="342">
        <f t="shared" si="172"/>
        <v>0.47515552904319985</v>
      </c>
      <c r="Q398" s="343">
        <f t="shared" si="173"/>
        <v>4.1065288142334202</v>
      </c>
      <c r="R398" s="344">
        <f t="shared" si="174"/>
        <v>-133.01235678671333</v>
      </c>
      <c r="S398" s="346">
        <f t="shared" si="175"/>
        <v>46.987643213286674</v>
      </c>
      <c r="U398" s="319">
        <f t="shared" ref="U398:U461" si="181">IF(Q398&lt;0,A398,1000000000)</f>
        <v>1000000000</v>
      </c>
      <c r="V398" s="319">
        <f t="shared" ref="V398:V461" si="182">A398^2</f>
        <v>1273615500.0625</v>
      </c>
      <c r="X398" s="345">
        <f t="shared" si="176"/>
        <v>24.852668599596623</v>
      </c>
      <c r="Y398" s="346">
        <f t="shared" si="177"/>
        <v>-25.929723095548109</v>
      </c>
      <c r="AA398" s="345">
        <f t="shared" si="178"/>
        <v>41.495363837083815</v>
      </c>
      <c r="AB398" s="346">
        <f t="shared" si="179"/>
        <v>-107.08263369116521</v>
      </c>
      <c r="AD398">
        <f t="shared" ref="AD398:AD461" si="183">SUM((Q399&lt;0)*(Q398&gt;0))*A398</f>
        <v>0</v>
      </c>
      <c r="AE398">
        <f t="shared" si="160"/>
        <v>0</v>
      </c>
    </row>
    <row r="399" spans="1:31" x14ac:dyDescent="0.25">
      <c r="A399" s="347">
        <v>35894.5</v>
      </c>
      <c r="B399" s="364">
        <f t="shared" si="180"/>
        <v>35.894500000000001</v>
      </c>
      <c r="C399" s="337">
        <f t="shared" si="161"/>
        <v>8.1810223437208478</v>
      </c>
      <c r="D399" s="338">
        <f t="shared" si="162"/>
        <v>1.4482557630885058</v>
      </c>
      <c r="E399" s="338">
        <f t="shared" si="163"/>
        <v>1.0014638288073854</v>
      </c>
      <c r="F399" s="339">
        <f t="shared" si="164"/>
        <v>5.4074862418012078E-2</v>
      </c>
      <c r="G399" s="338">
        <f t="shared" si="165"/>
        <v>1</v>
      </c>
      <c r="H399" s="339">
        <f t="shared" si="166"/>
        <v>0</v>
      </c>
      <c r="I399" s="337">
        <f t="shared" si="167"/>
        <v>25987.352132996326</v>
      </c>
      <c r="J399" s="340">
        <f t="shared" si="168"/>
        <v>1.5707578465374572</v>
      </c>
      <c r="K399" s="348">
        <f t="shared" si="158"/>
        <v>6.1709226565676802</v>
      </c>
      <c r="L399" s="349">
        <f t="shared" si="159"/>
        <v>1.4080282421603914</v>
      </c>
      <c r="M399" s="337">
        <f t="shared" si="169"/>
        <v>1.0437267872459666</v>
      </c>
      <c r="N399" s="340">
        <f t="shared" si="170"/>
        <v>0.2904847752214349</v>
      </c>
      <c r="O399" s="341">
        <f t="shared" si="171"/>
        <v>1.0063453643976199</v>
      </c>
      <c r="P399" s="342">
        <f t="shared" si="172"/>
        <v>0.47806793524460689</v>
      </c>
      <c r="Q399" s="343">
        <f t="shared" si="173"/>
        <v>4.0506549756182277</v>
      </c>
      <c r="R399" s="344">
        <f t="shared" si="174"/>
        <v>-133.23922781409877</v>
      </c>
      <c r="S399" s="346">
        <f t="shared" si="175"/>
        <v>46.760772185901232</v>
      </c>
      <c r="U399" s="319">
        <f t="shared" si="181"/>
        <v>1000000000</v>
      </c>
      <c r="V399" s="319">
        <f t="shared" si="182"/>
        <v>1288415130.25</v>
      </c>
      <c r="X399" s="345">
        <f t="shared" si="176"/>
        <v>24.847249244648872</v>
      </c>
      <c r="Y399" s="346">
        <f t="shared" si="177"/>
        <v>-25.967271195306033</v>
      </c>
      <c r="AA399" s="345">
        <f t="shared" si="178"/>
        <v>41.444909353416378</v>
      </c>
      <c r="AB399" s="346">
        <f t="shared" si="179"/>
        <v>-107.27195661879273</v>
      </c>
      <c r="AD399">
        <f t="shared" si="183"/>
        <v>0</v>
      </c>
      <c r="AE399">
        <f t="shared" si="160"/>
        <v>0</v>
      </c>
    </row>
    <row r="400" spans="1:31" x14ac:dyDescent="0.25">
      <c r="A400" s="347">
        <v>36101.25</v>
      </c>
      <c r="B400" s="364">
        <f t="shared" si="180"/>
        <v>36.10125</v>
      </c>
      <c r="C400" s="337">
        <f t="shared" si="161"/>
        <v>8.2274424291727613</v>
      </c>
      <c r="D400" s="338">
        <f t="shared" si="162"/>
        <v>1.4489506015906397</v>
      </c>
      <c r="E400" s="338">
        <f t="shared" si="163"/>
        <v>1.0014807279888625</v>
      </c>
      <c r="F400" s="339">
        <f t="shared" si="164"/>
        <v>5.4385718071701832E-2</v>
      </c>
      <c r="G400" s="338">
        <f t="shared" si="165"/>
        <v>1</v>
      </c>
      <c r="H400" s="339">
        <f t="shared" si="166"/>
        <v>0</v>
      </c>
      <c r="I400" s="337">
        <f t="shared" si="167"/>
        <v>26137.037601398566</v>
      </c>
      <c r="J400" s="340">
        <f t="shared" si="168"/>
        <v>1.5707580669119101</v>
      </c>
      <c r="K400" s="348">
        <f t="shared" si="158"/>
        <v>6.205535975809866</v>
      </c>
      <c r="L400" s="349">
        <f t="shared" si="159"/>
        <v>1.408944166942891</v>
      </c>
      <c r="M400" s="337">
        <f t="shared" si="169"/>
        <v>1.0442212655938403</v>
      </c>
      <c r="N400" s="340">
        <f t="shared" si="170"/>
        <v>0.29206465351047806</v>
      </c>
      <c r="O400" s="341">
        <f t="shared" si="171"/>
        <v>1.0064842658133801</v>
      </c>
      <c r="P400" s="342">
        <f t="shared" si="172"/>
        <v>0.48098277375388265</v>
      </c>
      <c r="Q400" s="343">
        <f t="shared" si="173"/>
        <v>3.9950404767785686</v>
      </c>
      <c r="R400" s="344">
        <f t="shared" si="174"/>
        <v>-133.46629071576709</v>
      </c>
      <c r="S400" s="346">
        <f t="shared" si="175"/>
        <v>46.533709284232913</v>
      </c>
      <c r="U400" s="319">
        <f t="shared" si="181"/>
        <v>1000000000</v>
      </c>
      <c r="V400" s="319">
        <f t="shared" si="182"/>
        <v>1303300251.5625</v>
      </c>
      <c r="X400" s="345">
        <f t="shared" si="176"/>
        <v>24.84183243442579</v>
      </c>
      <c r="Y400" s="346">
        <f t="shared" si="177"/>
        <v>-26.005325555593426</v>
      </c>
      <c r="AA400" s="345">
        <f t="shared" si="178"/>
        <v>41.3947116647998</v>
      </c>
      <c r="AB400" s="346">
        <f t="shared" si="179"/>
        <v>-107.46096516017366</v>
      </c>
      <c r="AD400">
        <f t="shared" si="183"/>
        <v>0</v>
      </c>
      <c r="AE400">
        <f t="shared" si="160"/>
        <v>0</v>
      </c>
    </row>
    <row r="401" spans="1:31" x14ac:dyDescent="0.25">
      <c r="A401" s="347">
        <v>36308</v>
      </c>
      <c r="B401" s="364">
        <f t="shared" si="180"/>
        <v>36.308</v>
      </c>
      <c r="C401" s="337">
        <f t="shared" si="161"/>
        <v>8.2738664422654598</v>
      </c>
      <c r="D401" s="338">
        <f t="shared" si="162"/>
        <v>1.4496376430531401</v>
      </c>
      <c r="E401" s="338">
        <f t="shared" si="163"/>
        <v>1.0014977239413902</v>
      </c>
      <c r="F401" s="339">
        <f t="shared" si="164"/>
        <v>5.469656320465438E-2</v>
      </c>
      <c r="G401" s="338">
        <f t="shared" si="165"/>
        <v>1</v>
      </c>
      <c r="H401" s="339">
        <f t="shared" si="166"/>
        <v>0</v>
      </c>
      <c r="I401" s="337">
        <f t="shared" si="167"/>
        <v>26286.72306980205</v>
      </c>
      <c r="J401" s="340">
        <f t="shared" si="168"/>
        <v>1.57075828477659</v>
      </c>
      <c r="K401" s="348">
        <f t="shared" si="158"/>
        <v>6.2401544432333331</v>
      </c>
      <c r="L401" s="349">
        <f t="shared" si="159"/>
        <v>1.4098499299373837</v>
      </c>
      <c r="M401" s="337">
        <f t="shared" si="169"/>
        <v>1.0447183478630129</v>
      </c>
      <c r="N401" s="340">
        <f t="shared" si="170"/>
        <v>0.29364303230791577</v>
      </c>
      <c r="O401" s="341">
        <f t="shared" si="171"/>
        <v>1.0066254620110904</v>
      </c>
      <c r="P401" s="342">
        <f t="shared" si="172"/>
        <v>0.48390004849805651</v>
      </c>
      <c r="Q401" s="343">
        <f t="shared" si="173"/>
        <v>3.9396816698804171</v>
      </c>
      <c r="R401" s="344">
        <f t="shared" si="174"/>
        <v>-133.69354323796867</v>
      </c>
      <c r="S401" s="346">
        <f t="shared" si="175"/>
        <v>46.306456762031331</v>
      </c>
      <c r="U401" s="319">
        <f t="shared" si="181"/>
        <v>1000000000</v>
      </c>
      <c r="V401" s="319">
        <f t="shared" si="182"/>
        <v>1318270864</v>
      </c>
      <c r="X401" s="345">
        <f t="shared" si="176"/>
        <v>24.836417732934098</v>
      </c>
      <c r="Y401" s="346">
        <f t="shared" si="177"/>
        <v>-26.043876085106692</v>
      </c>
      <c r="AA401" s="345">
        <f t="shared" si="178"/>
        <v>41.344767559393347</v>
      </c>
      <c r="AB401" s="346">
        <f t="shared" si="179"/>
        <v>-107.64966715286197</v>
      </c>
      <c r="AD401">
        <f t="shared" si="183"/>
        <v>0</v>
      </c>
      <c r="AE401">
        <f t="shared" si="160"/>
        <v>0</v>
      </c>
    </row>
    <row r="402" spans="1:31" x14ac:dyDescent="0.25">
      <c r="A402" s="347">
        <v>36519.5</v>
      </c>
      <c r="B402" s="364">
        <f t="shared" si="180"/>
        <v>36.519500000000001</v>
      </c>
      <c r="C402" s="337">
        <f t="shared" si="161"/>
        <v>8.3213610243069365</v>
      </c>
      <c r="D402" s="338">
        <f t="shared" si="162"/>
        <v>1.4503325366168633</v>
      </c>
      <c r="E402" s="338">
        <f t="shared" si="163"/>
        <v>1.0015152104956166</v>
      </c>
      <c r="F402" s="339">
        <f t="shared" si="164"/>
        <v>5.5014538934227475E-2</v>
      </c>
      <c r="G402" s="338">
        <f t="shared" si="165"/>
        <v>1</v>
      </c>
      <c r="H402" s="339">
        <f t="shared" si="166"/>
        <v>0</v>
      </c>
      <c r="I402" s="337">
        <f t="shared" si="167"/>
        <v>26439.847503018987</v>
      </c>
      <c r="J402" s="340">
        <f t="shared" si="168"/>
        <v>1.5707585050941426</v>
      </c>
      <c r="K402" s="348">
        <f t="shared" si="158"/>
        <v>6.2755734944656032</v>
      </c>
      <c r="L402" s="349">
        <f t="shared" si="159"/>
        <v>1.4107661616212663</v>
      </c>
      <c r="M402" s="337">
        <f t="shared" si="169"/>
        <v>1.0452295408729695</v>
      </c>
      <c r="N402" s="340">
        <f t="shared" si="170"/>
        <v>0.29525611621220266</v>
      </c>
      <c r="O402" s="341">
        <f t="shared" si="171"/>
        <v>1.006772302759507</v>
      </c>
      <c r="P402" s="342">
        <f t="shared" si="172"/>
        <v>0.4868868712162342</v>
      </c>
      <c r="Q402" s="343">
        <f t="shared" si="173"/>
        <v>3.8833118478523088</v>
      </c>
      <c r="R402" s="344">
        <f t="shared" si="174"/>
        <v>-133.9262106896993</v>
      </c>
      <c r="S402" s="346">
        <f t="shared" si="175"/>
        <v>46.073789310300697</v>
      </c>
      <c r="U402" s="319">
        <f t="shared" si="181"/>
        <v>1000000000</v>
      </c>
      <c r="V402" s="319">
        <f t="shared" si="182"/>
        <v>1333673880.25</v>
      </c>
      <c r="X402" s="345">
        <f t="shared" si="176"/>
        <v>24.830880372632599</v>
      </c>
      <c r="Y402" s="346">
        <f t="shared" si="177"/>
        <v>-26.083815399591735</v>
      </c>
      <c r="AA402" s="345">
        <f t="shared" si="178"/>
        <v>41.293935097666733</v>
      </c>
      <c r="AB402" s="346">
        <f t="shared" si="179"/>
        <v>-107.84239529010756</v>
      </c>
      <c r="AD402">
        <f t="shared" si="183"/>
        <v>0</v>
      </c>
      <c r="AE402">
        <f t="shared" si="160"/>
        <v>0</v>
      </c>
    </row>
    <row r="403" spans="1:31" x14ac:dyDescent="0.25">
      <c r="A403" s="347">
        <v>36731</v>
      </c>
      <c r="B403" s="364">
        <f t="shared" si="180"/>
        <v>36.731000000000002</v>
      </c>
      <c r="C403" s="337">
        <f t="shared" si="161"/>
        <v>8.3688595789339182</v>
      </c>
      <c r="D403" s="338">
        <f t="shared" si="162"/>
        <v>1.4510195425909946</v>
      </c>
      <c r="E403" s="338">
        <f t="shared" si="163"/>
        <v>1.0015327983080662</v>
      </c>
      <c r="F403" s="339">
        <f t="shared" si="164"/>
        <v>5.5332503528071696E-2</v>
      </c>
      <c r="G403" s="338">
        <f t="shared" si="165"/>
        <v>1</v>
      </c>
      <c r="H403" s="339">
        <f t="shared" si="166"/>
        <v>0</v>
      </c>
      <c r="I403" s="337">
        <f t="shared" si="167"/>
        <v>26592.971936237194</v>
      </c>
      <c r="J403" s="340">
        <f t="shared" si="168"/>
        <v>1.5707587228744837</v>
      </c>
      <c r="K403" s="348">
        <f t="shared" si="158"/>
        <v>6.3109977547834664</v>
      </c>
      <c r="L403" s="349">
        <f t="shared" si="159"/>
        <v>1.411672108258788</v>
      </c>
      <c r="M403" s="337">
        <f t="shared" si="169"/>
        <v>1.045743450948561</v>
      </c>
      <c r="N403" s="340">
        <f t="shared" si="170"/>
        <v>0.29686761886946561</v>
      </c>
      <c r="O403" s="341">
        <f t="shared" si="171"/>
        <v>1.0069215981737838</v>
      </c>
      <c r="P403" s="342">
        <f t="shared" si="172"/>
        <v>0.48987625111015637</v>
      </c>
      <c r="Q403" s="343">
        <f t="shared" si="173"/>
        <v>3.8272020732850165</v>
      </c>
      <c r="R403" s="344">
        <f t="shared" si="174"/>
        <v>-134.15907191484015</v>
      </c>
      <c r="S403" s="346">
        <f t="shared" si="175"/>
        <v>45.840928085159845</v>
      </c>
      <c r="U403" s="319">
        <f t="shared" si="181"/>
        <v>1000000000</v>
      </c>
      <c r="V403" s="319">
        <f t="shared" si="182"/>
        <v>1349166361</v>
      </c>
      <c r="X403" s="345">
        <f t="shared" si="176"/>
        <v>24.825344339762552</v>
      </c>
      <c r="Y403" s="346">
        <f t="shared" si="177"/>
        <v>-26.124253259673573</v>
      </c>
      <c r="AA403" s="345">
        <f t="shared" si="178"/>
        <v>41.24336135596949</v>
      </c>
      <c r="AB403" s="346">
        <f t="shared" si="179"/>
        <v>-108.03481865516659</v>
      </c>
      <c r="AD403">
        <f t="shared" si="183"/>
        <v>0</v>
      </c>
      <c r="AE403">
        <f t="shared" si="160"/>
        <v>0</v>
      </c>
    </row>
    <row r="404" spans="1:31" x14ac:dyDescent="0.25">
      <c r="A404" s="347">
        <v>36942.5</v>
      </c>
      <c r="B404" s="364">
        <f t="shared" si="180"/>
        <v>36.942500000000003</v>
      </c>
      <c r="C404" s="337">
        <f t="shared" si="161"/>
        <v>8.4163620388873888</v>
      </c>
      <c r="D404" s="338">
        <f t="shared" si="162"/>
        <v>1.4516987938755865</v>
      </c>
      <c r="E404" s="338">
        <f t="shared" si="163"/>
        <v>1.0015504873734049</v>
      </c>
      <c r="F404" s="339">
        <f t="shared" si="164"/>
        <v>5.5650456922481994E-2</v>
      </c>
      <c r="G404" s="338">
        <f t="shared" si="165"/>
        <v>1</v>
      </c>
      <c r="H404" s="339">
        <f t="shared" si="166"/>
        <v>0</v>
      </c>
      <c r="I404" s="337">
        <f t="shared" si="167"/>
        <v>26746.096369456645</v>
      </c>
      <c r="J404" s="340">
        <f t="shared" si="168"/>
        <v>1.5707589381611902</v>
      </c>
      <c r="K404" s="348">
        <f t="shared" si="158"/>
        <v>6.3464271369592575</v>
      </c>
      <c r="L404" s="349">
        <f t="shared" si="159"/>
        <v>1.4125679406012808</v>
      </c>
      <c r="M404" s="337">
        <f t="shared" si="169"/>
        <v>1.04626007408602</v>
      </c>
      <c r="N404" s="340">
        <f t="shared" si="170"/>
        <v>0.2984775342460057</v>
      </c>
      <c r="O404" s="341">
        <f t="shared" si="171"/>
        <v>1.0070733753630106</v>
      </c>
      <c r="P404" s="342">
        <f t="shared" si="172"/>
        <v>0.49286819177098684</v>
      </c>
      <c r="Q404" s="343">
        <f t="shared" si="173"/>
        <v>3.7713486348558742</v>
      </c>
      <c r="R404" s="344">
        <f t="shared" si="174"/>
        <v>-134.39212461087249</v>
      </c>
      <c r="S404" s="346">
        <f t="shared" si="175"/>
        <v>45.607875389127514</v>
      </c>
      <c r="U404" s="319">
        <f t="shared" si="181"/>
        <v>1000000000</v>
      </c>
      <c r="V404" s="319">
        <f t="shared" si="182"/>
        <v>1364748306.25</v>
      </c>
      <c r="X404" s="345">
        <f t="shared" si="176"/>
        <v>24.819809210915732</v>
      </c>
      <c r="Y404" s="346">
        <f t="shared" si="177"/>
        <v>-26.165179538812811</v>
      </c>
      <c r="AA404" s="345">
        <f t="shared" si="178"/>
        <v>41.193043046387167</v>
      </c>
      <c r="AB404" s="346">
        <f t="shared" si="179"/>
        <v>-108.22694507205966</v>
      </c>
      <c r="AD404">
        <f t="shared" si="183"/>
        <v>0</v>
      </c>
      <c r="AE404">
        <f t="shared" si="160"/>
        <v>0</v>
      </c>
    </row>
    <row r="405" spans="1:31" x14ac:dyDescent="0.25">
      <c r="A405" s="347">
        <v>37154</v>
      </c>
      <c r="B405" s="364">
        <f t="shared" si="180"/>
        <v>37.154000000000003</v>
      </c>
      <c r="C405" s="337">
        <f t="shared" si="161"/>
        <v>8.4638683384128051</v>
      </c>
      <c r="D405" s="338">
        <f t="shared" si="162"/>
        <v>1.4523704204159007</v>
      </c>
      <c r="E405" s="338">
        <f t="shared" si="163"/>
        <v>1.0015682776862675</v>
      </c>
      <c r="F405" s="339">
        <f t="shared" si="164"/>
        <v>5.5968399053766896E-2</v>
      </c>
      <c r="G405" s="338">
        <f t="shared" si="165"/>
        <v>1</v>
      </c>
      <c r="H405" s="339">
        <f t="shared" si="166"/>
        <v>0</v>
      </c>
      <c r="I405" s="337">
        <f t="shared" si="167"/>
        <v>26899.220802677326</v>
      </c>
      <c r="J405" s="340">
        <f t="shared" si="168"/>
        <v>1.5707591509968479</v>
      </c>
      <c r="K405" s="348">
        <f t="shared" si="158"/>
        <v>6.3818615556898459</v>
      </c>
      <c r="L405" s="349">
        <f t="shared" si="159"/>
        <v>1.4134538256735438</v>
      </c>
      <c r="M405" s="337">
        <f t="shared" si="169"/>
        <v>1.0467794062683664</v>
      </c>
      <c r="N405" s="340">
        <f t="shared" si="170"/>
        <v>0.30008585635291557</v>
      </c>
      <c r="O405" s="341">
        <f t="shared" si="171"/>
        <v>1.0072276615645515</v>
      </c>
      <c r="P405" s="342">
        <f t="shared" si="172"/>
        <v>0.49586269658052262</v>
      </c>
      <c r="Q405" s="343">
        <f t="shared" si="173"/>
        <v>3.7157478834928637</v>
      </c>
      <c r="R405" s="344">
        <f t="shared" si="174"/>
        <v>-134.62536651000809</v>
      </c>
      <c r="S405" s="346">
        <f t="shared" si="175"/>
        <v>45.374633489991908</v>
      </c>
      <c r="U405" s="319">
        <f t="shared" si="181"/>
        <v>1000000000</v>
      </c>
      <c r="V405" s="319">
        <f t="shared" si="182"/>
        <v>1380419716</v>
      </c>
      <c r="X405" s="345">
        <f t="shared" si="176"/>
        <v>24.814274576346484</v>
      </c>
      <c r="Y405" s="346">
        <f t="shared" si="177"/>
        <v>-26.206584326494252</v>
      </c>
      <c r="AA405" s="345">
        <f t="shared" si="178"/>
        <v>41.142976929593402</v>
      </c>
      <c r="AB405" s="346">
        <f t="shared" si="179"/>
        <v>-108.41878218351387</v>
      </c>
      <c r="AD405">
        <f t="shared" si="183"/>
        <v>0</v>
      </c>
      <c r="AE405">
        <f t="shared" si="160"/>
        <v>0</v>
      </c>
    </row>
    <row r="406" spans="1:31" x14ac:dyDescent="0.25">
      <c r="A406" s="347">
        <v>37370.25</v>
      </c>
      <c r="B406" s="364">
        <f t="shared" si="180"/>
        <v>37.370249999999999</v>
      </c>
      <c r="C406" s="337">
        <f t="shared" si="161"/>
        <v>8.5124454672113341</v>
      </c>
      <c r="D406" s="338">
        <f t="shared" si="162"/>
        <v>1.4530493795899599</v>
      </c>
      <c r="E406" s="338">
        <f t="shared" si="163"/>
        <v>1.0015865722234227</v>
      </c>
      <c r="F406" s="339">
        <f t="shared" si="164"/>
        <v>5.6293470017642087E-2</v>
      </c>
      <c r="G406" s="338">
        <f t="shared" si="165"/>
        <v>1</v>
      </c>
      <c r="H406" s="339">
        <f t="shared" si="166"/>
        <v>0</v>
      </c>
      <c r="I406" s="337">
        <f t="shared" si="167"/>
        <v>27055.784200711532</v>
      </c>
      <c r="J406" s="340">
        <f t="shared" si="168"/>
        <v>1.5707593661216148</v>
      </c>
      <c r="K406" s="348">
        <f t="shared" si="158"/>
        <v>6.4180969034773003</v>
      </c>
      <c r="L406" s="349">
        <f t="shared" si="159"/>
        <v>1.4143494918161343</v>
      </c>
      <c r="M406" s="337">
        <f t="shared" si="169"/>
        <v>1.047313198731582</v>
      </c>
      <c r="N406" s="340">
        <f t="shared" si="170"/>
        <v>0.30172864563208157</v>
      </c>
      <c r="O406" s="341">
        <f t="shared" si="171"/>
        <v>1.0073880354973552</v>
      </c>
      <c r="P406" s="342">
        <f t="shared" si="172"/>
        <v>0.49892710834037474</v>
      </c>
      <c r="Q406" s="343">
        <f t="shared" si="173"/>
        <v>3.6591559412853467</v>
      </c>
      <c r="R406" s="344">
        <f t="shared" si="174"/>
        <v>-134.86403999991717</v>
      </c>
      <c r="S406" s="346">
        <f t="shared" si="175"/>
        <v>45.135960000082832</v>
      </c>
      <c r="U406" s="319">
        <f t="shared" si="181"/>
        <v>1000000000</v>
      </c>
      <c r="V406" s="319">
        <f t="shared" si="182"/>
        <v>1396535585.0625</v>
      </c>
      <c r="X406" s="345">
        <f t="shared" si="176"/>
        <v>24.808615739544511</v>
      </c>
      <c r="Y406" s="346">
        <f t="shared" si="177"/>
        <v>-26.24940365478674</v>
      </c>
      <c r="AA406" s="345">
        <f t="shared" si="178"/>
        <v>41.092043824187868</v>
      </c>
      <c r="AB406" s="346">
        <f t="shared" si="179"/>
        <v>-108.61463634513044</v>
      </c>
      <c r="AD406">
        <f t="shared" si="183"/>
        <v>0</v>
      </c>
      <c r="AE406">
        <f t="shared" si="160"/>
        <v>0</v>
      </c>
    </row>
    <row r="407" spans="1:31" x14ac:dyDescent="0.25">
      <c r="A407" s="347">
        <v>37586.5</v>
      </c>
      <c r="B407" s="364">
        <f t="shared" si="180"/>
        <v>37.586500000000001</v>
      </c>
      <c r="C407" s="337">
        <f t="shared" si="161"/>
        <v>8.561026475590694</v>
      </c>
      <c r="D407" s="338">
        <f t="shared" si="162"/>
        <v>1.4537206333307136</v>
      </c>
      <c r="E407" s="338">
        <f t="shared" si="163"/>
        <v>1.0016049725954916</v>
      </c>
      <c r="F407" s="339">
        <f t="shared" si="164"/>
        <v>5.6618529072181505E-2</v>
      </c>
      <c r="G407" s="338">
        <f t="shared" si="165"/>
        <v>1</v>
      </c>
      <c r="H407" s="339">
        <f t="shared" si="166"/>
        <v>0</v>
      </c>
      <c r="I407" s="337">
        <f t="shared" si="167"/>
        <v>27212.347598746979</v>
      </c>
      <c r="J407" s="340">
        <f t="shared" si="168"/>
        <v>1.5707595787709858</v>
      </c>
      <c r="K407" s="348">
        <f t="shared" ref="K407:K470" si="184">SQRT(1+(A407/Zero2)^2)</f>
        <v>6.4543373421633392</v>
      </c>
      <c r="L407" s="349">
        <f t="shared" ref="L407:L470" si="185">ATAN(A407/Zero2)</f>
        <v>1.4152351005164612</v>
      </c>
      <c r="M407" s="337">
        <f t="shared" si="169"/>
        <v>1.0478498147540982</v>
      </c>
      <c r="N407" s="340">
        <f t="shared" si="170"/>
        <v>0.30336975675361533</v>
      </c>
      <c r="O407" s="341">
        <f t="shared" si="171"/>
        <v>1.0075510904015514</v>
      </c>
      <c r="P407" s="342">
        <f t="shared" si="172"/>
        <v>0.50199420719121757</v>
      </c>
      <c r="Q407" s="343">
        <f t="shared" si="173"/>
        <v>3.6028206411682762</v>
      </c>
      <c r="R407" s="344">
        <f t="shared" si="174"/>
        <v>-135.10290659816133</v>
      </c>
      <c r="S407" s="346">
        <f t="shared" si="175"/>
        <v>44.897093401838674</v>
      </c>
      <c r="U407" s="319">
        <f t="shared" si="181"/>
        <v>1000000000</v>
      </c>
      <c r="V407" s="319">
        <f t="shared" si="182"/>
        <v>1412744982.25</v>
      </c>
      <c r="X407" s="345">
        <f t="shared" si="176"/>
        <v>24.802956594943279</v>
      </c>
      <c r="Y407" s="346">
        <f t="shared" si="177"/>
        <v>-26.292702938894763</v>
      </c>
      <c r="AA407" s="345">
        <f t="shared" si="178"/>
        <v>41.041367668672024</v>
      </c>
      <c r="AB407" s="346">
        <f t="shared" si="179"/>
        <v>-108.81020365926655</v>
      </c>
      <c r="AD407">
        <f t="shared" si="183"/>
        <v>0</v>
      </c>
      <c r="AE407">
        <f t="shared" si="160"/>
        <v>0</v>
      </c>
    </row>
    <row r="408" spans="1:31" x14ac:dyDescent="0.25">
      <c r="A408" s="347">
        <v>37802.75</v>
      </c>
      <c r="B408" s="364">
        <f t="shared" si="180"/>
        <v>37.802750000000003</v>
      </c>
      <c r="C408" s="337">
        <f t="shared" si="161"/>
        <v>8.6096112978775583</v>
      </c>
      <c r="D408" s="338">
        <f t="shared" si="162"/>
        <v>1.4543843114754638</v>
      </c>
      <c r="E408" s="338">
        <f t="shared" si="163"/>
        <v>1.0016234787966412</v>
      </c>
      <c r="F408" s="339">
        <f t="shared" si="164"/>
        <v>5.6943576149349716E-2</v>
      </c>
      <c r="G408" s="338">
        <f t="shared" si="165"/>
        <v>1</v>
      </c>
      <c r="H408" s="339">
        <f t="shared" si="166"/>
        <v>0</v>
      </c>
      <c r="I408" s="337">
        <f t="shared" si="167"/>
        <v>27368.910996783641</v>
      </c>
      <c r="J408" s="340">
        <f t="shared" si="168"/>
        <v>1.5707597889874427</v>
      </c>
      <c r="K408" s="348">
        <f t="shared" si="184"/>
        <v>6.4905827864722321</v>
      </c>
      <c r="L408" s="349">
        <f t="shared" si="185"/>
        <v>1.416110818865298</v>
      </c>
      <c r="M408" s="337">
        <f t="shared" si="169"/>
        <v>1.0483892500002145</v>
      </c>
      <c r="N408" s="340">
        <f t="shared" si="170"/>
        <v>0.30500918346138084</v>
      </c>
      <c r="O408" s="341">
        <f t="shared" si="171"/>
        <v>1.0077168558020233</v>
      </c>
      <c r="P408" s="342">
        <f t="shared" si="172"/>
        <v>0.50506399605984853</v>
      </c>
      <c r="Q408" s="343">
        <f t="shared" si="173"/>
        <v>3.5467382750635386</v>
      </c>
      <c r="R408" s="344">
        <f t="shared" si="174"/>
        <v>-135.34196398584899</v>
      </c>
      <c r="S408" s="346">
        <f t="shared" si="175"/>
        <v>44.658036014151008</v>
      </c>
      <c r="U408" s="319">
        <f t="shared" si="181"/>
        <v>1000000000</v>
      </c>
      <c r="V408" s="319">
        <f t="shared" si="182"/>
        <v>1429047907.5625</v>
      </c>
      <c r="X408" s="345">
        <f t="shared" si="176"/>
        <v>24.797296746016304</v>
      </c>
      <c r="Y408" s="346">
        <f t="shared" si="177"/>
        <v>-26.336472249206018</v>
      </c>
      <c r="AA408" s="345">
        <f t="shared" si="178"/>
        <v>40.990945151494259</v>
      </c>
      <c r="AB408" s="346">
        <f t="shared" si="179"/>
        <v>-109.00549173664295</v>
      </c>
      <c r="AD408">
        <f t="shared" si="183"/>
        <v>0</v>
      </c>
      <c r="AE408">
        <f t="shared" si="160"/>
        <v>0</v>
      </c>
    </row>
    <row r="409" spans="1:31" x14ac:dyDescent="0.25">
      <c r="A409" s="347">
        <v>38019</v>
      </c>
      <c r="B409" s="364">
        <f t="shared" si="180"/>
        <v>38.018999999999998</v>
      </c>
      <c r="C409" s="337">
        <f t="shared" si="161"/>
        <v>8.6581998698675786</v>
      </c>
      <c r="D409" s="338">
        <f t="shared" si="162"/>
        <v>1.4550405409740388</v>
      </c>
      <c r="E409" s="338">
        <f t="shared" si="163"/>
        <v>1.0016420908210057</v>
      </c>
      <c r="F409" s="339">
        <f t="shared" si="164"/>
        <v>5.726861118112641E-2</v>
      </c>
      <c r="G409" s="338">
        <f t="shared" si="165"/>
        <v>1</v>
      </c>
      <c r="H409" s="339">
        <f t="shared" si="166"/>
        <v>0</v>
      </c>
      <c r="I409" s="337">
        <f t="shared" si="167"/>
        <v>27525.4743948215</v>
      </c>
      <c r="J409" s="340">
        <f t="shared" si="168"/>
        <v>1.5707599968125001</v>
      </c>
      <c r="K409" s="348">
        <f t="shared" si="184"/>
        <v>6.5268331530108457</v>
      </c>
      <c r="L409" s="349">
        <f t="shared" si="185"/>
        <v>1.4169768103027456</v>
      </c>
      <c r="M409" s="337">
        <f t="shared" si="169"/>
        <v>1.0489315001203947</v>
      </c>
      <c r="N409" s="340">
        <f t="shared" si="170"/>
        <v>0.30664691954829543</v>
      </c>
      <c r="O409" s="341">
        <f t="shared" si="171"/>
        <v>1.0078853613603593</v>
      </c>
      <c r="P409" s="342">
        <f t="shared" si="172"/>
        <v>0.50813647763813341</v>
      </c>
      <c r="Q409" s="343">
        <f t="shared" si="173"/>
        <v>3.4909051967063114</v>
      </c>
      <c r="R409" s="344">
        <f t="shared" si="174"/>
        <v>-135.58120987711033</v>
      </c>
      <c r="S409" s="346">
        <f t="shared" si="175"/>
        <v>44.418790122889675</v>
      </c>
      <c r="U409" s="319">
        <f t="shared" si="181"/>
        <v>1000000000</v>
      </c>
      <c r="V409" s="319">
        <f t="shared" si="182"/>
        <v>1445444361</v>
      </c>
      <c r="X409" s="345">
        <f t="shared" si="176"/>
        <v>24.791635809302711</v>
      </c>
      <c r="Y409" s="346">
        <f t="shared" si="177"/>
        <v>-26.380701868031487</v>
      </c>
      <c r="AA409" s="345">
        <f t="shared" si="178"/>
        <v>40.940773009850624</v>
      </c>
      <c r="AB409" s="346">
        <f t="shared" si="179"/>
        <v>-109.20050800907883</v>
      </c>
      <c r="AD409">
        <f t="shared" si="183"/>
        <v>0</v>
      </c>
      <c r="AE409">
        <f t="shared" si="160"/>
        <v>0</v>
      </c>
    </row>
    <row r="410" spans="1:31" x14ac:dyDescent="0.25">
      <c r="A410" s="347">
        <v>38240.5</v>
      </c>
      <c r="B410" s="364">
        <f t="shared" si="180"/>
        <v>38.240499999999997</v>
      </c>
      <c r="C410" s="337">
        <f t="shared" si="161"/>
        <v>8.7079718705672775</v>
      </c>
      <c r="D410" s="338">
        <f t="shared" si="162"/>
        <v>1.4557051096865137</v>
      </c>
      <c r="E410" s="338">
        <f t="shared" si="163"/>
        <v>1.0016612643998983</v>
      </c>
      <c r="F410" s="339">
        <f t="shared" si="164"/>
        <v>5.7601524678135452E-2</v>
      </c>
      <c r="G410" s="338">
        <f t="shared" si="165"/>
        <v>1</v>
      </c>
      <c r="H410" s="339">
        <f t="shared" si="166"/>
        <v>0</v>
      </c>
      <c r="I410" s="337">
        <f t="shared" si="167"/>
        <v>27685.838753969008</v>
      </c>
      <c r="J410" s="340">
        <f t="shared" si="168"/>
        <v>1.5707602072462312</v>
      </c>
      <c r="K410" s="348">
        <f t="shared" si="184"/>
        <v>6.563968603951662</v>
      </c>
      <c r="L410" s="349">
        <f t="shared" si="185"/>
        <v>1.4178539088916016</v>
      </c>
      <c r="M410" s="337">
        <f t="shared" si="169"/>
        <v>1.0494898283448446</v>
      </c>
      <c r="N410" s="340">
        <f t="shared" si="170"/>
        <v>0.30832265658159691</v>
      </c>
      <c r="O410" s="341">
        <f t="shared" si="171"/>
        <v>1.0080608296986693</v>
      </c>
      <c r="P410" s="342">
        <f t="shared" si="172"/>
        <v>0.51128634538077944</v>
      </c>
      <c r="Q410" s="343">
        <f t="shared" si="173"/>
        <v>3.433971325270945</v>
      </c>
      <c r="R410" s="344">
        <f t="shared" si="174"/>
        <v>-135.82645711835653</v>
      </c>
      <c r="S410" s="346">
        <f t="shared" si="175"/>
        <v>44.173542881643471</v>
      </c>
      <c r="U410" s="319">
        <f t="shared" si="181"/>
        <v>1000000000</v>
      </c>
      <c r="V410" s="319">
        <f t="shared" si="182"/>
        <v>1462335840.25</v>
      </c>
      <c r="X410" s="345">
        <f t="shared" si="176"/>
        <v>24.78583592425376</v>
      </c>
      <c r="Y410" s="346">
        <f t="shared" si="177"/>
        <v>-26.426472537272062</v>
      </c>
      <c r="AA410" s="345">
        <f t="shared" si="178"/>
        <v>40.889639023464213</v>
      </c>
      <c r="AB410" s="346">
        <f t="shared" si="179"/>
        <v>-109.39998458108448</v>
      </c>
      <c r="AD410">
        <f t="shared" si="183"/>
        <v>0</v>
      </c>
      <c r="AE410">
        <f t="shared" ref="AE410:AE473" si="186">IF(AD410&gt;0,S410,0)</f>
        <v>0</v>
      </c>
    </row>
    <row r="411" spans="1:31" x14ac:dyDescent="0.25">
      <c r="A411" s="347">
        <v>38462</v>
      </c>
      <c r="B411" s="364">
        <f t="shared" si="180"/>
        <v>38.462000000000003</v>
      </c>
      <c r="C411" s="337">
        <f t="shared" si="161"/>
        <v>8.7577476734415818</v>
      </c>
      <c r="D411" s="338">
        <f t="shared" si="162"/>
        <v>1.4563621243602456</v>
      </c>
      <c r="E411" s="338">
        <f t="shared" si="163"/>
        <v>1.0016805489900504</v>
      </c>
      <c r="F411" s="339">
        <f t="shared" si="164"/>
        <v>5.7934425393380846E-2</v>
      </c>
      <c r="G411" s="338">
        <f t="shared" si="165"/>
        <v>1</v>
      </c>
      <c r="H411" s="339">
        <f t="shared" si="166"/>
        <v>0</v>
      </c>
      <c r="I411" s="337">
        <f t="shared" si="167"/>
        <v>27846.203113117728</v>
      </c>
      <c r="J411" s="340">
        <f t="shared" si="168"/>
        <v>1.5707604152562156</v>
      </c>
      <c r="K411" s="348">
        <f t="shared" si="184"/>
        <v>6.6011090477486976</v>
      </c>
      <c r="L411" s="349">
        <f t="shared" si="185"/>
        <v>1.418721138335983</v>
      </c>
      <c r="M411" s="337">
        <f t="shared" si="169"/>
        <v>1.0500511004971942</v>
      </c>
      <c r="N411" s="340">
        <f t="shared" si="170"/>
        <v>0.30999660688512276</v>
      </c>
      <c r="O411" s="341">
        <f t="shared" si="171"/>
        <v>1.0082392362877113</v>
      </c>
      <c r="P411" s="342">
        <f t="shared" si="172"/>
        <v>0.51443904311925914</v>
      </c>
      <c r="Q411" s="343">
        <f t="shared" si="173"/>
        <v>3.3772914413932402</v>
      </c>
      <c r="R411" s="344">
        <f t="shared" si="174"/>
        <v>-136.07189737360326</v>
      </c>
      <c r="S411" s="346">
        <f t="shared" si="175"/>
        <v>43.928102626396736</v>
      </c>
      <c r="U411" s="319">
        <f t="shared" si="181"/>
        <v>1000000000</v>
      </c>
      <c r="V411" s="319">
        <f t="shared" si="182"/>
        <v>1479325444</v>
      </c>
      <c r="X411" s="345">
        <f t="shared" si="176"/>
        <v>24.78003412376518</v>
      </c>
      <c r="Y411" s="346">
        <f t="shared" si="177"/>
        <v>-26.472706155893238</v>
      </c>
      <c r="AA411" s="345">
        <f t="shared" si="178"/>
        <v>40.838760940075083</v>
      </c>
      <c r="AB411" s="346">
        <f t="shared" si="179"/>
        <v>-109.59919121770999</v>
      </c>
      <c r="AD411">
        <f t="shared" si="183"/>
        <v>0</v>
      </c>
      <c r="AE411">
        <f t="shared" si="186"/>
        <v>0</v>
      </c>
    </row>
    <row r="412" spans="1:31" x14ac:dyDescent="0.25">
      <c r="A412" s="347">
        <v>38683.5</v>
      </c>
      <c r="B412" s="364">
        <f t="shared" si="180"/>
        <v>38.683500000000002</v>
      </c>
      <c r="C412" s="337">
        <f t="shared" si="161"/>
        <v>8.8075272140264378</v>
      </c>
      <c r="D412" s="338">
        <f t="shared" si="162"/>
        <v>1.457011712507875</v>
      </c>
      <c r="E412" s="338">
        <f t="shared" si="163"/>
        <v>1.0016999445850507</v>
      </c>
      <c r="F412" s="339">
        <f t="shared" si="164"/>
        <v>5.8267313253816934E-2</v>
      </c>
      <c r="G412" s="338">
        <f t="shared" si="165"/>
        <v>1</v>
      </c>
      <c r="H412" s="339">
        <f t="shared" si="166"/>
        <v>0</v>
      </c>
      <c r="I412" s="337">
        <f t="shared" si="167"/>
        <v>28006.567472267641</v>
      </c>
      <c r="J412" s="340">
        <f t="shared" si="168"/>
        <v>1.5707606208840883</v>
      </c>
      <c r="K412" s="348">
        <f t="shared" si="184"/>
        <v>6.6382544005981918</v>
      </c>
      <c r="L412" s="349">
        <f t="shared" si="185"/>
        <v>1.4195786629932103</v>
      </c>
      <c r="M412" s="337">
        <f t="shared" si="169"/>
        <v>1.0506153118592227</v>
      </c>
      <c r="N412" s="340">
        <f t="shared" si="170"/>
        <v>0.31166876394881454</v>
      </c>
      <c r="O412" s="341">
        <f t="shared" si="171"/>
        <v>1.0084206134422431</v>
      </c>
      <c r="P412" s="342">
        <f t="shared" si="172"/>
        <v>0.51759457296970879</v>
      </c>
      <c r="Q412" s="343">
        <f t="shared" si="173"/>
        <v>3.3208618190230608</v>
      </c>
      <c r="R412" s="344">
        <f t="shared" si="174"/>
        <v>-136.31752828662323</v>
      </c>
      <c r="S412" s="346">
        <f t="shared" si="175"/>
        <v>43.682471713376771</v>
      </c>
      <c r="U412" s="319">
        <f t="shared" si="181"/>
        <v>1000000000</v>
      </c>
      <c r="V412" s="319">
        <f t="shared" si="182"/>
        <v>1496413172.25</v>
      </c>
      <c r="X412" s="345">
        <f t="shared" si="176"/>
        <v>24.774230035647587</v>
      </c>
      <c r="Y412" s="346">
        <f t="shared" si="177"/>
        <v>-26.519392936300839</v>
      </c>
      <c r="AA412" s="345">
        <f t="shared" si="178"/>
        <v>40.788135405822501</v>
      </c>
      <c r="AB412" s="346">
        <f t="shared" si="179"/>
        <v>-109.7981353503224</v>
      </c>
      <c r="AD412">
        <f t="shared" si="183"/>
        <v>0</v>
      </c>
      <c r="AE412">
        <f t="shared" si="186"/>
        <v>0</v>
      </c>
    </row>
    <row r="413" spans="1:31" x14ac:dyDescent="0.25">
      <c r="A413" s="347">
        <v>38905</v>
      </c>
      <c r="B413" s="364">
        <f t="shared" si="180"/>
        <v>38.905000000000001</v>
      </c>
      <c r="C413" s="337">
        <f t="shared" si="161"/>
        <v>8.8573104293022062</v>
      </c>
      <c r="D413" s="338">
        <f t="shared" si="162"/>
        <v>1.4576539988006567</v>
      </c>
      <c r="E413" s="338">
        <f t="shared" si="163"/>
        <v>1.0017194511784511</v>
      </c>
      <c r="F413" s="339">
        <f t="shared" si="164"/>
        <v>5.8600188186415061E-2</v>
      </c>
      <c r="G413" s="338">
        <f t="shared" si="165"/>
        <v>1</v>
      </c>
      <c r="H413" s="339">
        <f t="shared" si="166"/>
        <v>0</v>
      </c>
      <c r="I413" s="337">
        <f t="shared" si="167"/>
        <v>28166.931831418726</v>
      </c>
      <c r="J413" s="340">
        <f t="shared" si="168"/>
        <v>1.5707608241705358</v>
      </c>
      <c r="K413" s="348">
        <f t="shared" si="184"/>
        <v>6.6754045805507367</v>
      </c>
      <c r="L413" s="349">
        <f t="shared" si="185"/>
        <v>1.4204266436196771</v>
      </c>
      <c r="M413" s="337">
        <f t="shared" si="169"/>
        <v>1.0511824576981594</v>
      </c>
      <c r="N413" s="340">
        <f t="shared" si="170"/>
        <v>0.31333912131666702</v>
      </c>
      <c r="O413" s="341">
        <f t="shared" si="171"/>
        <v>1.0086049936233279</v>
      </c>
      <c r="P413" s="342">
        <f t="shared" si="172"/>
        <v>0.52075293678294643</v>
      </c>
      <c r="Q413" s="343">
        <f t="shared" si="173"/>
        <v>3.2646787939407194</v>
      </c>
      <c r="R413" s="344">
        <f t="shared" si="174"/>
        <v>-136.56334753254797</v>
      </c>
      <c r="S413" s="346">
        <f t="shared" si="175"/>
        <v>43.436652467452035</v>
      </c>
      <c r="U413" s="319">
        <f t="shared" si="181"/>
        <v>1000000000</v>
      </c>
      <c r="V413" s="319">
        <f t="shared" si="182"/>
        <v>1513599025</v>
      </c>
      <c r="X413" s="345">
        <f t="shared" si="176"/>
        <v>24.768423300292536</v>
      </c>
      <c r="Y413" s="346">
        <f t="shared" si="177"/>
        <v>-26.566523300261288</v>
      </c>
      <c r="AA413" s="345">
        <f t="shared" si="178"/>
        <v>40.737759116095205</v>
      </c>
      <c r="AB413" s="346">
        <f t="shared" si="179"/>
        <v>-109.9968242322867</v>
      </c>
      <c r="AD413">
        <f t="shared" si="183"/>
        <v>0</v>
      </c>
      <c r="AE413">
        <f t="shared" si="186"/>
        <v>0</v>
      </c>
    </row>
    <row r="414" spans="1:31" x14ac:dyDescent="0.25">
      <c r="A414" s="347">
        <v>39131.5</v>
      </c>
      <c r="B414" s="364">
        <f t="shared" si="180"/>
        <v>39.131500000000003</v>
      </c>
      <c r="C414" s="337">
        <f t="shared" si="161"/>
        <v>8.9082211550528108</v>
      </c>
      <c r="D414" s="338">
        <f t="shared" si="162"/>
        <v>1.4583033596988222</v>
      </c>
      <c r="E414" s="338">
        <f t="shared" si="163"/>
        <v>1.0017395128796083</v>
      </c>
      <c r="F414" s="339">
        <f t="shared" si="164"/>
        <v>5.8940563780904696E-2</v>
      </c>
      <c r="G414" s="338">
        <f t="shared" si="165"/>
        <v>1</v>
      </c>
      <c r="H414" s="339">
        <f t="shared" si="166"/>
        <v>0</v>
      </c>
      <c r="I414" s="337">
        <f t="shared" si="167"/>
        <v>28330.916153531518</v>
      </c>
      <c r="J414" s="340">
        <f t="shared" si="168"/>
        <v>1.5707610296659655</v>
      </c>
      <c r="K414" s="348">
        <f t="shared" si="184"/>
        <v>6.7133982733025208</v>
      </c>
      <c r="L414" s="349">
        <f t="shared" si="185"/>
        <v>1.4212840602181855</v>
      </c>
      <c r="M414" s="337">
        <f t="shared" si="169"/>
        <v>1.0517654355661838</v>
      </c>
      <c r="N414" s="340">
        <f t="shared" si="170"/>
        <v>0.3150453165064549</v>
      </c>
      <c r="O414" s="341">
        <f t="shared" si="171"/>
        <v>1.0087966753327191</v>
      </c>
      <c r="P414" s="342">
        <f t="shared" si="172"/>
        <v>0.52398552778191987</v>
      </c>
      <c r="Q414" s="343">
        <f t="shared" si="173"/>
        <v>3.2074787844423702</v>
      </c>
      <c r="R414" s="344">
        <f t="shared" si="174"/>
        <v>-136.81490811284303</v>
      </c>
      <c r="S414" s="346">
        <f t="shared" si="175"/>
        <v>43.185091887156972</v>
      </c>
      <c r="U414" s="319">
        <f t="shared" si="181"/>
        <v>1000000000</v>
      </c>
      <c r="V414" s="319">
        <f t="shared" si="182"/>
        <v>1531274292.25</v>
      </c>
      <c r="X414" s="345">
        <f t="shared" si="176"/>
        <v>24.762482387915092</v>
      </c>
      <c r="Y414" s="346">
        <f t="shared" si="177"/>
        <v>-26.615166505359078</v>
      </c>
      <c r="AA414" s="345">
        <f t="shared" si="178"/>
        <v>40.686500018974307</v>
      </c>
      <c r="AB414" s="346">
        <f t="shared" si="179"/>
        <v>-110.19974160748393</v>
      </c>
      <c r="AD414">
        <f t="shared" si="183"/>
        <v>0</v>
      </c>
      <c r="AE414">
        <f t="shared" si="186"/>
        <v>0</v>
      </c>
    </row>
    <row r="415" spans="1:31" x14ac:dyDescent="0.25">
      <c r="A415" s="347">
        <v>39358</v>
      </c>
      <c r="B415" s="364">
        <f t="shared" si="180"/>
        <v>39.357999999999997</v>
      </c>
      <c r="C415" s="337">
        <f t="shared" si="161"/>
        <v>8.9591355944373241</v>
      </c>
      <c r="D415" s="338">
        <f t="shared" si="162"/>
        <v>1.4589453402767405</v>
      </c>
      <c r="E415" s="338">
        <f t="shared" si="163"/>
        <v>1.0017596906331869</v>
      </c>
      <c r="F415" s="339">
        <f t="shared" si="164"/>
        <v>5.9280925702924779E-2</v>
      </c>
      <c r="G415" s="338">
        <f t="shared" si="165"/>
        <v>1</v>
      </c>
      <c r="H415" s="339">
        <f t="shared" si="166"/>
        <v>0</v>
      </c>
      <c r="I415" s="337">
        <f t="shared" si="167"/>
        <v>28494.9004756455</v>
      </c>
      <c r="J415" s="340">
        <f t="shared" si="168"/>
        <v>1.5707612327961982</v>
      </c>
      <c r="K415" s="348">
        <f t="shared" si="184"/>
        <v>6.7513968459469993</v>
      </c>
      <c r="L415" s="349">
        <f t="shared" si="185"/>
        <v>1.4221318259182365</v>
      </c>
      <c r="M415" s="337">
        <f t="shared" si="169"/>
        <v>1.0523514718331763</v>
      </c>
      <c r="N415" s="340">
        <f t="shared" si="170"/>
        <v>0.31674961635207349</v>
      </c>
      <c r="O415" s="341">
        <f t="shared" si="171"/>
        <v>1.0089915662916285</v>
      </c>
      <c r="P415" s="342">
        <f t="shared" si="172"/>
        <v>0.52722108518995592</v>
      </c>
      <c r="Q415" s="343">
        <f t="shared" si="173"/>
        <v>3.1505290730928777</v>
      </c>
      <c r="R415" s="344">
        <f t="shared" si="174"/>
        <v>-137.06666080304367</v>
      </c>
      <c r="S415" s="346">
        <f t="shared" si="175"/>
        <v>42.933339196956325</v>
      </c>
      <c r="U415" s="319">
        <f t="shared" si="181"/>
        <v>1000000000</v>
      </c>
      <c r="V415" s="319">
        <f t="shared" si="182"/>
        <v>1549052164</v>
      </c>
      <c r="X415" s="345">
        <f t="shared" si="176"/>
        <v>24.756537985398705</v>
      </c>
      <c r="Y415" s="346">
        <f t="shared" si="177"/>
        <v>-26.664253935470065</v>
      </c>
      <c r="AA415" s="345">
        <f t="shared" si="178"/>
        <v>40.635494710141195</v>
      </c>
      <c r="AB415" s="346">
        <f t="shared" si="179"/>
        <v>-110.40240686757363</v>
      </c>
      <c r="AD415">
        <f t="shared" si="183"/>
        <v>0</v>
      </c>
      <c r="AE415">
        <f t="shared" si="186"/>
        <v>0</v>
      </c>
    </row>
    <row r="416" spans="1:31" x14ac:dyDescent="0.25">
      <c r="A416" s="347">
        <v>39584.5</v>
      </c>
      <c r="B416" s="364">
        <f t="shared" si="180"/>
        <v>39.584499999999998</v>
      </c>
      <c r="C416" s="337">
        <f t="shared" si="161"/>
        <v>9.0100536845002104</v>
      </c>
      <c r="D416" s="338">
        <f t="shared" si="162"/>
        <v>1.4595800651248678</v>
      </c>
      <c r="E416" s="338">
        <f t="shared" si="163"/>
        <v>1.0017799844321742</v>
      </c>
      <c r="F416" s="339">
        <f t="shared" si="164"/>
        <v>5.9621273874444596E-2</v>
      </c>
      <c r="G416" s="338">
        <f t="shared" si="165"/>
        <v>1</v>
      </c>
      <c r="H416" s="339">
        <f t="shared" si="166"/>
        <v>0</v>
      </c>
      <c r="I416" s="337">
        <f t="shared" si="167"/>
        <v>28658.884797760635</v>
      </c>
      <c r="J416" s="340">
        <f t="shared" si="168"/>
        <v>1.5707614336018341</v>
      </c>
      <c r="K416" s="348">
        <f t="shared" si="184"/>
        <v>6.7894002165495575</v>
      </c>
      <c r="L416" s="349">
        <f t="shared" si="185"/>
        <v>1.4229701015523399</v>
      </c>
      <c r="M416" s="337">
        <f t="shared" si="169"/>
        <v>1.0529405613924876</v>
      </c>
      <c r="N416" s="340">
        <f t="shared" si="170"/>
        <v>0.31845201412574836</v>
      </c>
      <c r="O416" s="341">
        <f t="shared" si="171"/>
        <v>1.0091897016767655</v>
      </c>
      <c r="P416" s="342">
        <f t="shared" si="172"/>
        <v>0.53045961011446441</v>
      </c>
      <c r="Q416" s="343">
        <f t="shared" si="173"/>
        <v>3.093825933124295</v>
      </c>
      <c r="R416" s="344">
        <f t="shared" si="174"/>
        <v>-137.31860321140721</v>
      </c>
      <c r="S416" s="346">
        <f t="shared" si="175"/>
        <v>42.681396788592792</v>
      </c>
      <c r="U416" s="319">
        <f t="shared" si="181"/>
        <v>1000000000</v>
      </c>
      <c r="V416" s="319">
        <f t="shared" si="182"/>
        <v>1566932640.25</v>
      </c>
      <c r="X416" s="345">
        <f t="shared" si="176"/>
        <v>24.750589746403616</v>
      </c>
      <c r="Y416" s="346">
        <f t="shared" si="177"/>
        <v>-26.713775992423344</v>
      </c>
      <c r="AA416" s="345">
        <f t="shared" si="178"/>
        <v>40.584739809167701</v>
      </c>
      <c r="AB416" s="346">
        <f t="shared" si="179"/>
        <v>-110.6048272189839</v>
      </c>
      <c r="AD416">
        <f t="shared" si="183"/>
        <v>0</v>
      </c>
      <c r="AE416">
        <f t="shared" si="186"/>
        <v>0</v>
      </c>
    </row>
    <row r="417" spans="1:31" x14ac:dyDescent="0.25">
      <c r="A417" s="347">
        <v>39811</v>
      </c>
      <c r="B417" s="364">
        <f t="shared" si="180"/>
        <v>39.811</v>
      </c>
      <c r="C417" s="337">
        <f t="shared" si="161"/>
        <v>9.0609753636965866</v>
      </c>
      <c r="D417" s="338">
        <f t="shared" si="162"/>
        <v>1.4602076560566104</v>
      </c>
      <c r="E417" s="338">
        <f t="shared" si="163"/>
        <v>1.0018003942695177</v>
      </c>
      <c r="F417" s="339">
        <f t="shared" si="164"/>
        <v>5.9961608217452445E-2</v>
      </c>
      <c r="G417" s="338">
        <f t="shared" si="165"/>
        <v>1</v>
      </c>
      <c r="H417" s="339">
        <f t="shared" si="166"/>
        <v>0</v>
      </c>
      <c r="I417" s="337">
        <f t="shared" si="167"/>
        <v>28822.869119876919</v>
      </c>
      <c r="J417" s="340">
        <f t="shared" si="168"/>
        <v>1.5707616321225502</v>
      </c>
      <c r="K417" s="348">
        <f t="shared" si="184"/>
        <v>6.8274083049896426</v>
      </c>
      <c r="L417" s="349">
        <f t="shared" si="185"/>
        <v>1.423799044425627</v>
      </c>
      <c r="M417" s="337">
        <f t="shared" si="169"/>
        <v>1.0535326991223137</v>
      </c>
      <c r="N417" s="340">
        <f t="shared" si="170"/>
        <v>0.32015250315881338</v>
      </c>
      <c r="O417" s="341">
        <f t="shared" si="171"/>
        <v>1.0093911168198688</v>
      </c>
      <c r="P417" s="342">
        <f t="shared" si="172"/>
        <v>0.53370110336543874</v>
      </c>
      <c r="Q417" s="343">
        <f t="shared" si="173"/>
        <v>3.0373656992216396</v>
      </c>
      <c r="R417" s="344">
        <f t="shared" si="174"/>
        <v>-137.57073297547342</v>
      </c>
      <c r="S417" s="346">
        <f t="shared" si="175"/>
        <v>42.429267024526581</v>
      </c>
      <c r="U417" s="319">
        <f t="shared" si="181"/>
        <v>1000000000</v>
      </c>
      <c r="V417" s="319">
        <f t="shared" si="182"/>
        <v>1584915721</v>
      </c>
      <c r="X417" s="345">
        <f t="shared" si="176"/>
        <v>24.744637336620809</v>
      </c>
      <c r="Y417" s="346">
        <f t="shared" si="177"/>
        <v>-26.763723283485703</v>
      </c>
      <c r="AA417" s="345">
        <f t="shared" si="178"/>
        <v>40.534231985047853</v>
      </c>
      <c r="AB417" s="346">
        <f t="shared" si="179"/>
        <v>-110.80700969198772</v>
      </c>
      <c r="AD417">
        <f t="shared" si="183"/>
        <v>0</v>
      </c>
      <c r="AE417">
        <f t="shared" si="186"/>
        <v>0</v>
      </c>
    </row>
    <row r="418" spans="1:31" x14ac:dyDescent="0.25">
      <c r="A418" s="347">
        <v>40042.75</v>
      </c>
      <c r="B418" s="364">
        <f t="shared" si="180"/>
        <v>40.042749999999998</v>
      </c>
      <c r="C418" s="337">
        <f t="shared" si="161"/>
        <v>9.1130809988459802</v>
      </c>
      <c r="D418" s="338">
        <f t="shared" si="162"/>
        <v>1.4608425341546576</v>
      </c>
      <c r="E418" s="338">
        <f t="shared" si="163"/>
        <v>1.0018213972791379</v>
      </c>
      <c r="F418" s="339">
        <f t="shared" si="164"/>
        <v>6.0309816710466591E-2</v>
      </c>
      <c r="G418" s="338">
        <f t="shared" si="165"/>
        <v>1</v>
      </c>
      <c r="H418" s="339">
        <f t="shared" si="166"/>
        <v>0</v>
      </c>
      <c r="I418" s="337">
        <f t="shared" si="167"/>
        <v>28990.654403103017</v>
      </c>
      <c r="J418" s="340">
        <f t="shared" si="168"/>
        <v>1.5707618329202053</v>
      </c>
      <c r="K418" s="348">
        <f t="shared" si="184"/>
        <v>6.8663021770300796</v>
      </c>
      <c r="L418" s="349">
        <f t="shared" si="185"/>
        <v>1.4246377019299581</v>
      </c>
      <c r="M418" s="337">
        <f t="shared" si="169"/>
        <v>1.0541417115097247</v>
      </c>
      <c r="N418" s="340">
        <f t="shared" si="170"/>
        <v>0.32189042499009846</v>
      </c>
      <c r="O418" s="341">
        <f t="shared" si="171"/>
        <v>1.009600632209688</v>
      </c>
      <c r="P418" s="342">
        <f t="shared" si="172"/>
        <v>0.53702080342411396</v>
      </c>
      <c r="Q418" s="343">
        <f t="shared" si="173"/>
        <v>2.9798444410305986</v>
      </c>
      <c r="R418" s="344">
        <f t="shared" si="174"/>
        <v>-137.82889829232224</v>
      </c>
      <c r="S418" s="346">
        <f t="shared" si="175"/>
        <v>42.171101707677764</v>
      </c>
      <c r="U418" s="319">
        <f t="shared" si="181"/>
        <v>1000000000</v>
      </c>
      <c r="V418" s="319">
        <f t="shared" si="182"/>
        <v>1603421827.5625</v>
      </c>
      <c r="X418" s="345">
        <f t="shared" si="176"/>
        <v>24.73854230366458</v>
      </c>
      <c r="Y418" s="346">
        <f t="shared" si="177"/>
        <v>-26.81525883900391</v>
      </c>
      <c r="AA418" s="345">
        <f t="shared" si="178"/>
        <v>40.482805759813033</v>
      </c>
      <c r="AB418" s="346">
        <f t="shared" si="179"/>
        <v>-111.01363945331832</v>
      </c>
      <c r="AD418">
        <f t="shared" si="183"/>
        <v>0</v>
      </c>
      <c r="AE418">
        <f t="shared" si="186"/>
        <v>0</v>
      </c>
    </row>
    <row r="419" spans="1:31" x14ac:dyDescent="0.25">
      <c r="A419" s="347">
        <v>40274.5</v>
      </c>
      <c r="B419" s="364">
        <f t="shared" si="180"/>
        <v>40.274500000000003</v>
      </c>
      <c r="C419" s="337">
        <f t="shared" si="161"/>
        <v>9.1651902654402537</v>
      </c>
      <c r="D419" s="338">
        <f t="shared" si="162"/>
        <v>1.4614701932244654</v>
      </c>
      <c r="E419" s="338">
        <f t="shared" si="163"/>
        <v>1.0018425217536535</v>
      </c>
      <c r="F419" s="339">
        <f t="shared" si="164"/>
        <v>6.0658010561310892E-2</v>
      </c>
      <c r="G419" s="338">
        <f t="shared" si="165"/>
        <v>1</v>
      </c>
      <c r="H419" s="339">
        <f t="shared" si="166"/>
        <v>0</v>
      </c>
      <c r="I419" s="337">
        <f t="shared" si="167"/>
        <v>29158.439686330272</v>
      </c>
      <c r="J419" s="340">
        <f t="shared" si="168"/>
        <v>1.5707620314069761</v>
      </c>
      <c r="K419" s="348">
        <f t="shared" si="184"/>
        <v>6.9052008240540044</v>
      </c>
      <c r="L419" s="349">
        <f t="shared" si="185"/>
        <v>1.4254669112956189</v>
      </c>
      <c r="M419" s="337">
        <f t="shared" si="169"/>
        <v>1.0547539041151934</v>
      </c>
      <c r="N419" s="340">
        <f t="shared" si="170"/>
        <v>0.32362633463546764</v>
      </c>
      <c r="O419" s="341">
        <f t="shared" si="171"/>
        <v>1.0098136564872819</v>
      </c>
      <c r="P419" s="342">
        <f t="shared" si="172"/>
        <v>0.54034361176294277</v>
      </c>
      <c r="Q419" s="343">
        <f t="shared" si="173"/>
        <v>2.9225699074575715</v>
      </c>
      <c r="R419" s="344">
        <f t="shared" si="174"/>
        <v>-138.08725483589541</v>
      </c>
      <c r="S419" s="346">
        <f t="shared" si="175"/>
        <v>41.912745164104592</v>
      </c>
      <c r="U419" s="319">
        <f t="shared" si="181"/>
        <v>1000000000</v>
      </c>
      <c r="V419" s="319">
        <f t="shared" si="182"/>
        <v>1622035350.25</v>
      </c>
      <c r="X419" s="345">
        <f t="shared" si="176"/>
        <v>24.732442233127362</v>
      </c>
      <c r="Y419" s="346">
        <f t="shared" si="177"/>
        <v>-26.867220310828156</v>
      </c>
      <c r="AA419" s="345">
        <f t="shared" si="178"/>
        <v>40.431631296777233</v>
      </c>
      <c r="AB419" s="346">
        <f t="shared" si="179"/>
        <v>-111.22003452506723</v>
      </c>
      <c r="AD419">
        <f t="shared" si="183"/>
        <v>0</v>
      </c>
      <c r="AE419">
        <f t="shared" si="186"/>
        <v>0</v>
      </c>
    </row>
    <row r="420" spans="1:31" x14ac:dyDescent="0.25">
      <c r="A420" s="347">
        <v>40506.25</v>
      </c>
      <c r="B420" s="364">
        <f t="shared" si="180"/>
        <v>40.506250000000001</v>
      </c>
      <c r="C420" s="337">
        <f t="shared" si="161"/>
        <v>9.2173031018891791</v>
      </c>
      <c r="D420" s="338">
        <f t="shared" si="162"/>
        <v>1.4620907552121905</v>
      </c>
      <c r="E420" s="338">
        <f t="shared" si="163"/>
        <v>1.0018637676853819</v>
      </c>
      <c r="F420" s="339">
        <f t="shared" si="164"/>
        <v>6.100618968648492E-2</v>
      </c>
      <c r="G420" s="338">
        <f t="shared" si="165"/>
        <v>1</v>
      </c>
      <c r="H420" s="339">
        <f t="shared" si="166"/>
        <v>0</v>
      </c>
      <c r="I420" s="337">
        <f t="shared" si="167"/>
        <v>29326.224969558665</v>
      </c>
      <c r="J420" s="340">
        <f t="shared" si="168"/>
        <v>1.5707622276225268</v>
      </c>
      <c r="K420" s="348">
        <f t="shared" si="184"/>
        <v>6.9441041658176346</v>
      </c>
      <c r="L420" s="349">
        <f t="shared" si="185"/>
        <v>1.426286830168112</v>
      </c>
      <c r="M420" s="337">
        <f t="shared" si="169"/>
        <v>1.0553692714044318</v>
      </c>
      <c r="N420" s="340">
        <f t="shared" si="170"/>
        <v>0.32536022514378599</v>
      </c>
      <c r="O420" s="341">
        <f t="shared" si="171"/>
        <v>1.010030227994003</v>
      </c>
      <c r="P420" s="342">
        <f t="shared" si="172"/>
        <v>0.5436695282709213</v>
      </c>
      <c r="Q420" s="343">
        <f t="shared" si="173"/>
        <v>2.8655383628585844</v>
      </c>
      <c r="R420" s="344">
        <f t="shared" si="174"/>
        <v>-138.34580016319714</v>
      </c>
      <c r="S420" s="346">
        <f t="shared" si="175"/>
        <v>41.65419983680286</v>
      </c>
      <c r="U420" s="319">
        <f t="shared" si="181"/>
        <v>1000000000</v>
      </c>
      <c r="V420" s="319">
        <f t="shared" si="182"/>
        <v>1640756289.0625</v>
      </c>
      <c r="X420" s="345">
        <f t="shared" si="176"/>
        <v>24.72633680348828</v>
      </c>
      <c r="Y420" s="346">
        <f t="shared" si="177"/>
        <v>-26.919598270538394</v>
      </c>
      <c r="AA420" s="345">
        <f t="shared" si="178"/>
        <v>40.380705181817326</v>
      </c>
      <c r="AB420" s="346">
        <f t="shared" si="179"/>
        <v>-111.42620189265874</v>
      </c>
      <c r="AD420">
        <f t="shared" si="183"/>
        <v>0</v>
      </c>
      <c r="AE420">
        <f t="shared" si="186"/>
        <v>0</v>
      </c>
    </row>
    <row r="421" spans="1:31" x14ac:dyDescent="0.25">
      <c r="A421" s="347">
        <v>40738</v>
      </c>
      <c r="B421" s="364">
        <f t="shared" si="180"/>
        <v>40.738</v>
      </c>
      <c r="C421" s="337">
        <f t="shared" si="161"/>
        <v>9.2694194479834024</v>
      </c>
      <c r="D421" s="338">
        <f t="shared" si="162"/>
        <v>1.462704339343619</v>
      </c>
      <c r="E421" s="338">
        <f t="shared" si="163"/>
        <v>1.0018851350665958</v>
      </c>
      <c r="F421" s="339">
        <f t="shared" si="164"/>
        <v>6.1354354002509569E-2</v>
      </c>
      <c r="G421" s="338">
        <f t="shared" si="165"/>
        <v>1</v>
      </c>
      <c r="H421" s="339">
        <f t="shared" si="166"/>
        <v>0</v>
      </c>
      <c r="I421" s="337">
        <f t="shared" si="167"/>
        <v>29494.010252788172</v>
      </c>
      <c r="J421" s="340">
        <f t="shared" si="168"/>
        <v>1.5707624216056184</v>
      </c>
      <c r="K421" s="348">
        <f t="shared" si="184"/>
        <v>6.9830121238558061</v>
      </c>
      <c r="L421" s="349">
        <f t="shared" si="185"/>
        <v>1.4270976127300663</v>
      </c>
      <c r="M421" s="337">
        <f t="shared" si="169"/>
        <v>1.0559878078273854</v>
      </c>
      <c r="N421" s="340">
        <f t="shared" si="170"/>
        <v>0.32709208962864161</v>
      </c>
      <c r="O421" s="341">
        <f t="shared" si="171"/>
        <v>1.0102503852352529</v>
      </c>
      <c r="P421" s="342">
        <f t="shared" si="172"/>
        <v>0.54699855250316087</v>
      </c>
      <c r="Q421" s="343">
        <f t="shared" si="173"/>
        <v>2.8087461328342163</v>
      </c>
      <c r="R421" s="344">
        <f t="shared" si="174"/>
        <v>-138.60453185829917</v>
      </c>
      <c r="S421" s="346">
        <f t="shared" si="175"/>
        <v>41.395468141700832</v>
      </c>
      <c r="U421" s="319">
        <f t="shared" si="181"/>
        <v>1000000000</v>
      </c>
      <c r="V421" s="319">
        <f t="shared" si="182"/>
        <v>1659584644</v>
      </c>
      <c r="X421" s="345">
        <f t="shared" si="176"/>
        <v>24.720225704755819</v>
      </c>
      <c r="Y421" s="346">
        <f t="shared" si="177"/>
        <v>-26.972383491779194</v>
      </c>
      <c r="AA421" s="345">
        <f t="shared" si="178"/>
        <v>40.330024050525424</v>
      </c>
      <c r="AB421" s="346">
        <f t="shared" si="179"/>
        <v>-111.63214836651996</v>
      </c>
      <c r="AD421">
        <f t="shared" si="183"/>
        <v>0</v>
      </c>
      <c r="AE421">
        <f t="shared" si="186"/>
        <v>0</v>
      </c>
    </row>
    <row r="422" spans="1:31" x14ac:dyDescent="0.25">
      <c r="A422" s="347">
        <v>40975.25</v>
      </c>
      <c r="B422" s="364">
        <f t="shared" si="180"/>
        <v>40.975250000000003</v>
      </c>
      <c r="C422" s="337">
        <f t="shared" si="161"/>
        <v>9.3227762178344662</v>
      </c>
      <c r="D422" s="338">
        <f t="shared" si="162"/>
        <v>1.4633253788210414</v>
      </c>
      <c r="E422" s="338">
        <f t="shared" si="163"/>
        <v>1.0019071353475695</v>
      </c>
      <c r="F422" s="339">
        <f t="shared" si="164"/>
        <v>6.171076569019348E-2</v>
      </c>
      <c r="G422" s="338">
        <f t="shared" si="165"/>
        <v>1</v>
      </c>
      <c r="H422" s="339">
        <f t="shared" si="166"/>
        <v>0</v>
      </c>
      <c r="I422" s="337">
        <f t="shared" si="167"/>
        <v>29665.777495275608</v>
      </c>
      <c r="J422" s="340">
        <f t="shared" si="168"/>
        <v>1.570762617919397</v>
      </c>
      <c r="K422" s="348">
        <f t="shared" si="184"/>
        <v>7.0228481656549242</v>
      </c>
      <c r="L422" s="349">
        <f t="shared" si="185"/>
        <v>1.4279183304811554</v>
      </c>
      <c r="M422" s="337">
        <f t="shared" si="169"/>
        <v>1.0566243006798897</v>
      </c>
      <c r="N422" s="340">
        <f t="shared" si="170"/>
        <v>0.32886294969619262</v>
      </c>
      <c r="O422" s="341">
        <f t="shared" si="171"/>
        <v>1.0104795221167342</v>
      </c>
      <c r="P422" s="342">
        <f t="shared" si="172"/>
        <v>0.55040980111741045</v>
      </c>
      <c r="Q422" s="343">
        <f t="shared" si="173"/>
        <v>2.7508502106190629</v>
      </c>
      <c r="R422" s="344">
        <f t="shared" si="174"/>
        <v>-138.86959445518332</v>
      </c>
      <c r="S422" s="346">
        <f t="shared" si="175"/>
        <v>41.130405544816682</v>
      </c>
      <c r="U422" s="319">
        <f t="shared" si="181"/>
        <v>1000000000</v>
      </c>
      <c r="V422" s="319">
        <f t="shared" si="182"/>
        <v>1678971112.5625</v>
      </c>
      <c r="X422" s="345">
        <f t="shared" si="176"/>
        <v>24.713963390105377</v>
      </c>
      <c r="Y422" s="346">
        <f t="shared" si="177"/>
        <v>-27.026833884462437</v>
      </c>
      <c r="AA422" s="345">
        <f t="shared" si="178"/>
        <v>40.278390442960713</v>
      </c>
      <c r="AB422" s="346">
        <f t="shared" si="179"/>
        <v>-111.84276057072086</v>
      </c>
      <c r="AD422">
        <f t="shared" si="183"/>
        <v>0</v>
      </c>
      <c r="AE422">
        <f t="shared" si="186"/>
        <v>0</v>
      </c>
    </row>
    <row r="423" spans="1:31" x14ac:dyDescent="0.25">
      <c r="A423" s="347">
        <v>41212.5</v>
      </c>
      <c r="B423" s="364">
        <f t="shared" si="180"/>
        <v>41.212499999999999</v>
      </c>
      <c r="C423" s="337">
        <f t="shared" si="161"/>
        <v>9.3761365424624756</v>
      </c>
      <c r="D423" s="338">
        <f t="shared" si="162"/>
        <v>1.4639393497647812</v>
      </c>
      <c r="E423" s="338">
        <f t="shared" si="163"/>
        <v>1.0019292628944976</v>
      </c>
      <c r="F423" s="339">
        <f t="shared" si="164"/>
        <v>6.2067161680487502E-2</v>
      </c>
      <c r="G423" s="338">
        <f t="shared" si="165"/>
        <v>1</v>
      </c>
      <c r="H423" s="339">
        <f t="shared" si="166"/>
        <v>0</v>
      </c>
      <c r="I423" s="337">
        <f t="shared" si="167"/>
        <v>29837.544737764176</v>
      </c>
      <c r="J423" s="340">
        <f t="shared" si="168"/>
        <v>1.5707628119729173</v>
      </c>
      <c r="K423" s="348">
        <f t="shared" si="184"/>
        <v>7.0626888845229914</v>
      </c>
      <c r="L423" s="349">
        <f t="shared" si="185"/>
        <v>1.4287297894149111</v>
      </c>
      <c r="M423" s="337">
        <f t="shared" si="169"/>
        <v>1.0572641030528316</v>
      </c>
      <c r="N423" s="340">
        <f t="shared" si="170"/>
        <v>0.33063167203618732</v>
      </c>
      <c r="O423" s="341">
        <f t="shared" si="171"/>
        <v>1.0107124991362983</v>
      </c>
      <c r="P423" s="342">
        <f t="shared" si="172"/>
        <v>0.55382430469023203</v>
      </c>
      <c r="Q423" s="343">
        <f t="shared" si="173"/>
        <v>2.6931974941984596</v>
      </c>
      <c r="R423" s="344">
        <f t="shared" si="174"/>
        <v>-139.13484732858967</v>
      </c>
      <c r="S423" s="346">
        <f t="shared" si="175"/>
        <v>40.865152671410328</v>
      </c>
      <c r="U423" s="319">
        <f t="shared" si="181"/>
        <v>1000000000</v>
      </c>
      <c r="V423" s="319">
        <f t="shared" si="182"/>
        <v>1698470156.25</v>
      </c>
      <c r="X423" s="345">
        <f t="shared" si="176"/>
        <v>24.70769451201058</v>
      </c>
      <c r="Y423" s="346">
        <f t="shared" si="177"/>
        <v>-27.081692156032645</v>
      </c>
      <c r="AA423" s="345">
        <f t="shared" si="178"/>
        <v>40.227006604634909</v>
      </c>
      <c r="AB423" s="346">
        <f t="shared" si="179"/>
        <v>-112.05315517255701</v>
      </c>
      <c r="AD423">
        <f t="shared" si="183"/>
        <v>0</v>
      </c>
      <c r="AE423">
        <f t="shared" si="186"/>
        <v>0</v>
      </c>
    </row>
    <row r="424" spans="1:31" x14ac:dyDescent="0.25">
      <c r="A424" s="347">
        <v>41449.75</v>
      </c>
      <c r="B424" s="364">
        <f t="shared" si="180"/>
        <v>41.449750000000002</v>
      </c>
      <c r="C424" s="337">
        <f t="shared" si="161"/>
        <v>9.4295003615193611</v>
      </c>
      <c r="D424" s="338">
        <f t="shared" si="162"/>
        <v>1.4645463717155947</v>
      </c>
      <c r="E424" s="338">
        <f t="shared" si="163"/>
        <v>1.0019515176989484</v>
      </c>
      <c r="F424" s="339">
        <f t="shared" si="164"/>
        <v>6.242354188389717E-2</v>
      </c>
      <c r="G424" s="338">
        <f t="shared" si="165"/>
        <v>1</v>
      </c>
      <c r="H424" s="339">
        <f t="shared" si="166"/>
        <v>0</v>
      </c>
      <c r="I424" s="337">
        <f t="shared" si="167"/>
        <v>30009.311980253857</v>
      </c>
      <c r="J424" s="340">
        <f t="shared" si="168"/>
        <v>1.5707630038049913</v>
      </c>
      <c r="K424" s="348">
        <f t="shared" si="184"/>
        <v>7.1025342017538229</v>
      </c>
      <c r="L424" s="349">
        <f t="shared" si="185"/>
        <v>1.4295321442798929</v>
      </c>
      <c r="M424" s="337">
        <f t="shared" si="169"/>
        <v>1.0579072089416044</v>
      </c>
      <c r="N424" s="340">
        <f t="shared" si="170"/>
        <v>0.33239824947080143</v>
      </c>
      <c r="O424" s="341">
        <f t="shared" si="171"/>
        <v>1.0109493581305051</v>
      </c>
      <c r="P424" s="342">
        <f t="shared" si="172"/>
        <v>0.55724206164412649</v>
      </c>
      <c r="Q424" s="343">
        <f t="shared" si="173"/>
        <v>2.6357842315529751</v>
      </c>
      <c r="R424" s="344">
        <f t="shared" si="174"/>
        <v>-139.40028796696805</v>
      </c>
      <c r="S424" s="346">
        <f t="shared" si="175"/>
        <v>40.599712033031949</v>
      </c>
      <c r="U424" s="319">
        <f t="shared" si="181"/>
        <v>1000000000</v>
      </c>
      <c r="V424" s="319">
        <f t="shared" si="182"/>
        <v>1718081775.0625</v>
      </c>
      <c r="X424" s="345">
        <f t="shared" si="176"/>
        <v>24.701418772995684</v>
      </c>
      <c r="Y424" s="346">
        <f t="shared" si="177"/>
        <v>-27.136949031015188</v>
      </c>
      <c r="AA424" s="345">
        <f t="shared" si="178"/>
        <v>40.175869081004308</v>
      </c>
      <c r="AB424" s="346">
        <f t="shared" si="179"/>
        <v>-112.26333893595286</v>
      </c>
      <c r="AD424">
        <f t="shared" si="183"/>
        <v>0</v>
      </c>
      <c r="AE424">
        <f t="shared" si="186"/>
        <v>0</v>
      </c>
    </row>
    <row r="425" spans="1:31" x14ac:dyDescent="0.25">
      <c r="A425" s="347">
        <v>41687</v>
      </c>
      <c r="B425" s="364">
        <f t="shared" si="180"/>
        <v>41.686999999999998</v>
      </c>
      <c r="C425" s="337">
        <f t="shared" si="161"/>
        <v>9.4828676160115499</v>
      </c>
      <c r="D425" s="338">
        <f t="shared" si="162"/>
        <v>1.4651465615440031</v>
      </c>
      <c r="E425" s="338">
        <f t="shared" si="163"/>
        <v>1.0019738997524426</v>
      </c>
      <c r="F425" s="339">
        <f t="shared" si="164"/>
        <v>6.2779906210951975E-2</v>
      </c>
      <c r="G425" s="338">
        <f t="shared" si="165"/>
        <v>1</v>
      </c>
      <c r="H425" s="339">
        <f t="shared" si="166"/>
        <v>0</v>
      </c>
      <c r="I425" s="337">
        <f t="shared" si="167"/>
        <v>30181.079222744629</v>
      </c>
      <c r="J425" s="340">
        <f t="shared" si="168"/>
        <v>1.5707631934535471</v>
      </c>
      <c r="K425" s="348">
        <f t="shared" si="184"/>
        <v>7.1423840403885697</v>
      </c>
      <c r="L425" s="349">
        <f t="shared" si="185"/>
        <v>1.4303255464185645</v>
      </c>
      <c r="M425" s="337">
        <f t="shared" si="169"/>
        <v>1.0585536123252268</v>
      </c>
      <c r="N425" s="340">
        <f t="shared" si="170"/>
        <v>0.33416267489315921</v>
      </c>
      <c r="O425" s="341">
        <f t="shared" si="171"/>
        <v>1.0111901411091306</v>
      </c>
      <c r="P425" s="342">
        <f t="shared" si="172"/>
        <v>0.56066307002633686</v>
      </c>
      <c r="Q425" s="343">
        <f t="shared" si="173"/>
        <v>2.5786067318547894</v>
      </c>
      <c r="R425" s="344">
        <f t="shared" si="174"/>
        <v>-139.66591388344227</v>
      </c>
      <c r="S425" s="346">
        <f t="shared" si="175"/>
        <v>40.334086116557728</v>
      </c>
      <c r="U425" s="319">
        <f t="shared" si="181"/>
        <v>1000000000</v>
      </c>
      <c r="V425" s="319">
        <f t="shared" si="182"/>
        <v>1737805969</v>
      </c>
      <c r="X425" s="345">
        <f t="shared" si="176"/>
        <v>24.695135886654004</v>
      </c>
      <c r="Y425" s="346">
        <f t="shared" si="177"/>
        <v>-27.192595433104771</v>
      </c>
      <c r="AA425" s="345">
        <f t="shared" si="178"/>
        <v>40.124974467647803</v>
      </c>
      <c r="AB425" s="346">
        <f t="shared" si="179"/>
        <v>-112.47331845033753</v>
      </c>
      <c r="AD425">
        <f t="shared" si="183"/>
        <v>0</v>
      </c>
      <c r="AE425">
        <f t="shared" si="186"/>
        <v>0</v>
      </c>
    </row>
    <row r="426" spans="1:31" x14ac:dyDescent="0.25">
      <c r="A426" s="347">
        <v>41929.75</v>
      </c>
      <c r="B426" s="364">
        <f t="shared" si="180"/>
        <v>41.929749999999999</v>
      </c>
      <c r="C426" s="337">
        <f t="shared" si="161"/>
        <v>9.5374755417246835</v>
      </c>
      <c r="D426" s="338">
        <f t="shared" si="162"/>
        <v>1.4657537127938689</v>
      </c>
      <c r="E426" s="338">
        <f t="shared" si="163"/>
        <v>1.001996932372581</v>
      </c>
      <c r="F426" s="339">
        <f t="shared" si="164"/>
        <v>6.3144515355739381E-2</v>
      </c>
      <c r="G426" s="338">
        <f t="shared" si="165"/>
        <v>1</v>
      </c>
      <c r="H426" s="339">
        <f t="shared" si="166"/>
        <v>0</v>
      </c>
      <c r="I426" s="337">
        <f t="shared" si="167"/>
        <v>30356.828424493411</v>
      </c>
      <c r="J426" s="340">
        <f t="shared" si="168"/>
        <v>1.5707633852772189</v>
      </c>
      <c r="K426" s="348">
        <f t="shared" si="184"/>
        <v>7.1831622911791246</v>
      </c>
      <c r="L426" s="349">
        <f t="shared" si="185"/>
        <v>1.4311282293727923</v>
      </c>
      <c r="M426" s="337">
        <f t="shared" si="169"/>
        <v>1.0592184075732916</v>
      </c>
      <c r="N426" s="340">
        <f t="shared" si="170"/>
        <v>0.33596576898818442</v>
      </c>
      <c r="O426" s="341">
        <f t="shared" si="171"/>
        <v>1.0114406114772949</v>
      </c>
      <c r="P426" s="342">
        <f t="shared" si="172"/>
        <v>0.56416674817411783</v>
      </c>
      <c r="Q426" s="343">
        <f t="shared" si="173"/>
        <v>2.5203439639695553</v>
      </c>
      <c r="R426" s="344">
        <f t="shared" si="174"/>
        <v>-139.93788682020073</v>
      </c>
      <c r="S426" s="346">
        <f t="shared" si="175"/>
        <v>40.062113179799269</v>
      </c>
      <c r="U426" s="319">
        <f t="shared" si="181"/>
        <v>1000000000</v>
      </c>
      <c r="V426" s="319">
        <f t="shared" si="182"/>
        <v>1758103935.0625</v>
      </c>
      <c r="X426" s="345">
        <f t="shared" si="176"/>
        <v>24.688699663282797</v>
      </c>
      <c r="Y426" s="346">
        <f t="shared" si="177"/>
        <v>-27.249925760002654</v>
      </c>
      <c r="AA426" s="345">
        <f t="shared" si="178"/>
        <v>40.073147923133789</v>
      </c>
      <c r="AB426" s="346">
        <f t="shared" si="179"/>
        <v>-112.68796106019808</v>
      </c>
      <c r="AD426">
        <f t="shared" si="183"/>
        <v>0</v>
      </c>
      <c r="AE426">
        <f t="shared" si="186"/>
        <v>0</v>
      </c>
    </row>
    <row r="427" spans="1:31" x14ac:dyDescent="0.25">
      <c r="A427" s="347">
        <v>42172.5</v>
      </c>
      <c r="B427" s="364">
        <f t="shared" si="180"/>
        <v>42.172499999999999</v>
      </c>
      <c r="C427" s="337">
        <f t="shared" si="161"/>
        <v>9.5920869432305462</v>
      </c>
      <c r="D427" s="338">
        <f t="shared" si="162"/>
        <v>1.4663539507766394</v>
      </c>
      <c r="E427" s="338">
        <f t="shared" si="163"/>
        <v>1.0020200981918856</v>
      </c>
      <c r="F427" s="339">
        <f t="shared" si="164"/>
        <v>6.3509107690111227E-2</v>
      </c>
      <c r="G427" s="338">
        <f t="shared" si="165"/>
        <v>1</v>
      </c>
      <c r="H427" s="339">
        <f t="shared" si="166"/>
        <v>0</v>
      </c>
      <c r="I427" s="337">
        <f t="shared" si="167"/>
        <v>30532.577626243292</v>
      </c>
      <c r="J427" s="340">
        <f t="shared" si="168"/>
        <v>1.5707635748925706</v>
      </c>
      <c r="K427" s="348">
        <f t="shared" si="184"/>
        <v>7.2239451178286833</v>
      </c>
      <c r="L427" s="349">
        <f t="shared" si="185"/>
        <v>1.4319218497304271</v>
      </c>
      <c r="M427" s="337">
        <f t="shared" si="169"/>
        <v>1.0598866421710011</v>
      </c>
      <c r="N427" s="340">
        <f t="shared" si="170"/>
        <v>0.33776659531159364</v>
      </c>
      <c r="O427" s="341">
        <f t="shared" si="171"/>
        <v>1.0116952793998528</v>
      </c>
      <c r="P427" s="342">
        <f t="shared" si="172"/>
        <v>0.56767382490070439</v>
      </c>
      <c r="Q427" s="343">
        <f t="shared" si="173"/>
        <v>2.4623203894255772</v>
      </c>
      <c r="R427" s="344">
        <f t="shared" si="174"/>
        <v>-140.21004853158615</v>
      </c>
      <c r="S427" s="346">
        <f t="shared" si="175"/>
        <v>39.789951468413847</v>
      </c>
      <c r="U427" s="319">
        <f t="shared" si="181"/>
        <v>1000000000</v>
      </c>
      <c r="V427" s="319">
        <f t="shared" si="182"/>
        <v>1778519756.25</v>
      </c>
      <c r="X427" s="345">
        <f t="shared" si="176"/>
        <v>24.682255384655175</v>
      </c>
      <c r="Y427" s="346">
        <f t="shared" si="177"/>
        <v>-27.307645275167246</v>
      </c>
      <c r="AA427" s="345">
        <f t="shared" si="178"/>
        <v>40.021568627217434</v>
      </c>
      <c r="AB427" s="346">
        <f t="shared" si="179"/>
        <v>-112.90240325641894</v>
      </c>
      <c r="AD427">
        <f t="shared" si="183"/>
        <v>0</v>
      </c>
      <c r="AE427">
        <f t="shared" si="186"/>
        <v>0</v>
      </c>
    </row>
    <row r="428" spans="1:31" x14ac:dyDescent="0.25">
      <c r="A428" s="347">
        <v>42415.25</v>
      </c>
      <c r="B428" s="364">
        <f t="shared" si="180"/>
        <v>42.41525</v>
      </c>
      <c r="C428" s="337">
        <f t="shared" si="161"/>
        <v>9.6467017614982122</v>
      </c>
      <c r="D428" s="338">
        <f t="shared" si="162"/>
        <v>1.4669473924745051</v>
      </c>
      <c r="E428" s="338">
        <f t="shared" si="163"/>
        <v>1.0020433972011185</v>
      </c>
      <c r="F428" s="339">
        <f t="shared" si="164"/>
        <v>6.3873683118308058E-2</v>
      </c>
      <c r="G428" s="338">
        <f t="shared" si="165"/>
        <v>1</v>
      </c>
      <c r="H428" s="339">
        <f t="shared" si="166"/>
        <v>0</v>
      </c>
      <c r="I428" s="337">
        <f t="shared" si="167"/>
        <v>30708.326827994264</v>
      </c>
      <c r="J428" s="340">
        <f t="shared" si="168"/>
        <v>1.5707637623375175</v>
      </c>
      <c r="K428" s="348">
        <f t="shared" si="184"/>
        <v>7.264732443273239</v>
      </c>
      <c r="L428" s="349">
        <f t="shared" si="185"/>
        <v>1.432706559127177</v>
      </c>
      <c r="M428" s="337">
        <f t="shared" si="169"/>
        <v>1.0605583096171785</v>
      </c>
      <c r="N428" s="340">
        <f t="shared" si="170"/>
        <v>0.33956514648100805</v>
      </c>
      <c r="O428" s="341">
        <f t="shared" si="171"/>
        <v>1.011954190427484</v>
      </c>
      <c r="P428" s="342">
        <f t="shared" si="172"/>
        <v>0.57118429688087924</v>
      </c>
      <c r="Q428" s="343">
        <f t="shared" si="173"/>
        <v>2.404532244475686</v>
      </c>
      <c r="R428" s="344">
        <f t="shared" si="174"/>
        <v>-140.48239642625737</v>
      </c>
      <c r="S428" s="346">
        <f t="shared" si="175"/>
        <v>39.517603573742633</v>
      </c>
      <c r="U428" s="319">
        <f t="shared" si="181"/>
        <v>1000000000</v>
      </c>
      <c r="V428" s="319">
        <f t="shared" si="182"/>
        <v>1799053432.5625</v>
      </c>
      <c r="X428" s="345">
        <f t="shared" si="176"/>
        <v>24.675802777623097</v>
      </c>
      <c r="Y428" s="346">
        <f t="shared" si="177"/>
        <v>-27.365744869705729</v>
      </c>
      <c r="AA428" s="345">
        <f t="shared" si="178"/>
        <v>39.970233089299612</v>
      </c>
      <c r="AB428" s="346">
        <f t="shared" si="179"/>
        <v>-113.11665155655163</v>
      </c>
      <c r="AD428">
        <f t="shared" si="183"/>
        <v>0</v>
      </c>
      <c r="AE428">
        <f t="shared" si="186"/>
        <v>0</v>
      </c>
    </row>
    <row r="429" spans="1:31" x14ac:dyDescent="0.25">
      <c r="A429" s="347">
        <v>42658</v>
      </c>
      <c r="B429" s="364">
        <f t="shared" si="180"/>
        <v>42.658000000000001</v>
      </c>
      <c r="C429" s="337">
        <f t="shared" si="161"/>
        <v>9.7013199388223939</v>
      </c>
      <c r="D429" s="338">
        <f t="shared" si="162"/>
        <v>1.4675341522546259</v>
      </c>
      <c r="E429" s="338">
        <f t="shared" si="163"/>
        <v>1.0020668293909887</v>
      </c>
      <c r="F429" s="339">
        <f t="shared" si="164"/>
        <v>6.4238241544597244E-2</v>
      </c>
      <c r="G429" s="338">
        <f t="shared" si="165"/>
        <v>1</v>
      </c>
      <c r="H429" s="339">
        <f t="shared" si="166"/>
        <v>0</v>
      </c>
      <c r="I429" s="337">
        <f t="shared" si="167"/>
        <v>30884.076029746302</v>
      </c>
      <c r="J429" s="340">
        <f t="shared" si="168"/>
        <v>1.5707639476491124</v>
      </c>
      <c r="K429" s="348">
        <f t="shared" si="184"/>
        <v>7.3055241921613945</v>
      </c>
      <c r="L429" s="349">
        <f t="shared" si="185"/>
        <v>1.4334825058564657</v>
      </c>
      <c r="M429" s="337">
        <f t="shared" si="169"/>
        <v>1.0612334033937501</v>
      </c>
      <c r="N429" s="340">
        <f t="shared" si="170"/>
        <v>0.34136141519156743</v>
      </c>
      <c r="O429" s="341">
        <f t="shared" si="171"/>
        <v>1.0122173902924569</v>
      </c>
      <c r="P429" s="342">
        <f t="shared" si="172"/>
        <v>0.57469816036905852</v>
      </c>
      <c r="Q429" s="343">
        <f t="shared" si="173"/>
        <v>2.3469758264070997</v>
      </c>
      <c r="R429" s="344">
        <f t="shared" si="174"/>
        <v>-140.75492793484673</v>
      </c>
      <c r="S429" s="346">
        <f t="shared" si="175"/>
        <v>39.245072065153266</v>
      </c>
      <c r="U429" s="319">
        <f t="shared" si="181"/>
        <v>1000000000</v>
      </c>
      <c r="V429" s="319">
        <f t="shared" si="182"/>
        <v>1819704964</v>
      </c>
      <c r="X429" s="345">
        <f t="shared" si="176"/>
        <v>24.669341579638797</v>
      </c>
      <c r="Y429" s="346">
        <f t="shared" si="177"/>
        <v>-27.424215630616057</v>
      </c>
      <c r="AA429" s="345">
        <f t="shared" si="178"/>
        <v>39.919137869215326</v>
      </c>
      <c r="AB429" s="346">
        <f t="shared" si="179"/>
        <v>-113.33071230423069</v>
      </c>
      <c r="AD429">
        <f t="shared" si="183"/>
        <v>0</v>
      </c>
      <c r="AE429">
        <f t="shared" si="186"/>
        <v>0</v>
      </c>
    </row>
    <row r="430" spans="1:31" x14ac:dyDescent="0.25">
      <c r="A430" s="347">
        <v>42906.5</v>
      </c>
      <c r="B430" s="364">
        <f t="shared" si="180"/>
        <v>42.906500000000001</v>
      </c>
      <c r="C430" s="337">
        <f t="shared" si="161"/>
        <v>9.7572352730385603</v>
      </c>
      <c r="D430" s="338">
        <f t="shared" si="162"/>
        <v>1.4681280060920316</v>
      </c>
      <c r="E430" s="338">
        <f t="shared" si="163"/>
        <v>1.002090954557487</v>
      </c>
      <c r="F430" s="339">
        <f t="shared" si="164"/>
        <v>6.4611417526743584E-2</v>
      </c>
      <c r="G430" s="338">
        <f t="shared" si="165"/>
        <v>1</v>
      </c>
      <c r="H430" s="339">
        <f t="shared" si="166"/>
        <v>0</v>
      </c>
      <c r="I430" s="337">
        <f t="shared" si="167"/>
        <v>31063.988188904466</v>
      </c>
      <c r="J430" s="340">
        <f t="shared" si="168"/>
        <v>1.5707641351782216</v>
      </c>
      <c r="K430" s="348">
        <f t="shared" si="184"/>
        <v>7.3472866769046687</v>
      </c>
      <c r="L430" s="349">
        <f t="shared" si="185"/>
        <v>1.4342679073105449</v>
      </c>
      <c r="M430" s="337">
        <f t="shared" si="169"/>
        <v>1.0619280302712313</v>
      </c>
      <c r="N430" s="340">
        <f t="shared" si="170"/>
        <v>0.34319786023596593</v>
      </c>
      <c r="O430" s="341">
        <f t="shared" si="171"/>
        <v>1.0124913149087151</v>
      </c>
      <c r="P430" s="342">
        <f t="shared" si="172"/>
        <v>0.57829876506990818</v>
      </c>
      <c r="Q430" s="343">
        <f t="shared" si="173"/>
        <v>2.2882922962752081</v>
      </c>
      <c r="R430" s="344">
        <f t="shared" si="174"/>
        <v>-141.03410240439382</v>
      </c>
      <c r="S430" s="346">
        <f t="shared" si="175"/>
        <v>38.965897595606179</v>
      </c>
      <c r="U430" s="319">
        <f t="shared" si="181"/>
        <v>1000000000</v>
      </c>
      <c r="V430" s="319">
        <f t="shared" si="182"/>
        <v>1840967742.25</v>
      </c>
      <c r="X430" s="345">
        <f t="shared" si="176"/>
        <v>24.66271817383252</v>
      </c>
      <c r="Y430" s="346">
        <f t="shared" si="177"/>
        <v>-27.484446737120955</v>
      </c>
      <c r="AA430" s="345">
        <f t="shared" si="178"/>
        <v>39.867077744889706</v>
      </c>
      <c r="AB430" s="346">
        <f t="shared" si="179"/>
        <v>-113.54965566727287</v>
      </c>
      <c r="AD430">
        <f t="shared" si="183"/>
        <v>0</v>
      </c>
      <c r="AE430">
        <f t="shared" si="186"/>
        <v>0</v>
      </c>
    </row>
    <row r="431" spans="1:31" x14ac:dyDescent="0.25">
      <c r="A431" s="347">
        <v>43155</v>
      </c>
      <c r="B431" s="364">
        <f t="shared" si="180"/>
        <v>43.155000000000001</v>
      </c>
      <c r="C431" s="337">
        <f t="shared" si="161"/>
        <v>9.8131540090501037</v>
      </c>
      <c r="D431" s="338">
        <f t="shared" si="162"/>
        <v>1.4687150921665582</v>
      </c>
      <c r="E431" s="338">
        <f t="shared" si="163"/>
        <v>1.0021152192687552</v>
      </c>
      <c r="F431" s="339">
        <f t="shared" si="164"/>
        <v>6.4984575489064819E-2</v>
      </c>
      <c r="G431" s="338">
        <f t="shared" si="165"/>
        <v>1</v>
      </c>
      <c r="H431" s="339">
        <f t="shared" si="166"/>
        <v>0</v>
      </c>
      <c r="I431" s="337">
        <f t="shared" si="167"/>
        <v>31243.900348063711</v>
      </c>
      <c r="J431" s="340">
        <f t="shared" si="168"/>
        <v>1.5707643205476283</v>
      </c>
      <c r="K431" s="348">
        <f t="shared" si="184"/>
        <v>7.3890536426285109</v>
      </c>
      <c r="L431" s="349">
        <f t="shared" si="185"/>
        <v>1.4350444302034049</v>
      </c>
      <c r="M431" s="337">
        <f t="shared" si="169"/>
        <v>1.0626262338440158</v>
      </c>
      <c r="N431" s="340">
        <f t="shared" si="170"/>
        <v>0.34503189816922192</v>
      </c>
      <c r="O431" s="341">
        <f t="shared" si="171"/>
        <v>1.0127698315050324</v>
      </c>
      <c r="P431" s="342">
        <f t="shared" si="172"/>
        <v>0.58190291454815379</v>
      </c>
      <c r="Q431" s="343">
        <f t="shared" si="173"/>
        <v>2.229843938415728</v>
      </c>
      <c r="R431" s="344">
        <f t="shared" si="174"/>
        <v>-141.31346390597031</v>
      </c>
      <c r="S431" s="346">
        <f t="shared" si="175"/>
        <v>38.686536094029691</v>
      </c>
      <c r="U431" s="319">
        <f t="shared" si="181"/>
        <v>1000000000</v>
      </c>
      <c r="V431" s="319">
        <f t="shared" si="182"/>
        <v>1862354025</v>
      </c>
      <c r="X431" s="345">
        <f t="shared" si="176"/>
        <v>24.656085241014608</v>
      </c>
      <c r="Y431" s="346">
        <f t="shared" si="177"/>
        <v>-27.545048506661153</v>
      </c>
      <c r="AA431" s="345">
        <f t="shared" si="178"/>
        <v>39.815262319848145</v>
      </c>
      <c r="AB431" s="346">
        <f t="shared" si="179"/>
        <v>-113.76841539930915</v>
      </c>
      <c r="AD431">
        <f t="shared" si="183"/>
        <v>0</v>
      </c>
      <c r="AE431">
        <f t="shared" si="186"/>
        <v>0</v>
      </c>
    </row>
    <row r="432" spans="1:31" x14ac:dyDescent="0.25">
      <c r="A432" s="347">
        <v>43403.5</v>
      </c>
      <c r="B432" s="364">
        <f t="shared" si="180"/>
        <v>43.403500000000001</v>
      </c>
      <c r="C432" s="337">
        <f t="shared" si="161"/>
        <v>9.8690760890327365</v>
      </c>
      <c r="D432" s="338">
        <f t="shared" si="162"/>
        <v>1.4692955251164703</v>
      </c>
      <c r="E432" s="338">
        <f t="shared" si="163"/>
        <v>1.0021396235146574</v>
      </c>
      <c r="F432" s="339">
        <f t="shared" si="164"/>
        <v>6.5357715328951502E-2</v>
      </c>
      <c r="G432" s="338">
        <f t="shared" si="165"/>
        <v>1</v>
      </c>
      <c r="H432" s="339">
        <f t="shared" si="166"/>
        <v>0</v>
      </c>
      <c r="I432" s="337">
        <f t="shared" si="167"/>
        <v>31423.812507224018</v>
      </c>
      <c r="J432" s="340">
        <f t="shared" si="168"/>
        <v>1.5707645037944271</v>
      </c>
      <c r="K432" s="348">
        <f t="shared" si="184"/>
        <v>7.4308250137732257</v>
      </c>
      <c r="L432" s="349">
        <f t="shared" si="185"/>
        <v>1.4358122233194623</v>
      </c>
      <c r="M432" s="337">
        <f t="shared" si="169"/>
        <v>1.0633280070665037</v>
      </c>
      <c r="N432" s="340">
        <f t="shared" si="170"/>
        <v>0.34686352140691418</v>
      </c>
      <c r="O432" s="341">
        <f t="shared" si="171"/>
        <v>1.0130529897180236</v>
      </c>
      <c r="P432" s="342">
        <f t="shared" si="172"/>
        <v>0.58551060340243877</v>
      </c>
      <c r="Q432" s="343">
        <f t="shared" si="173"/>
        <v>2.1716269703682478</v>
      </c>
      <c r="R432" s="344">
        <f t="shared" si="174"/>
        <v>-141.59300974711999</v>
      </c>
      <c r="S432" s="346">
        <f t="shared" si="175"/>
        <v>38.406990252880007</v>
      </c>
      <c r="U432" s="319">
        <f t="shared" si="181"/>
        <v>1000000000</v>
      </c>
      <c r="V432" s="319">
        <f t="shared" si="182"/>
        <v>1883863812.25</v>
      </c>
      <c r="X432" s="345">
        <f t="shared" si="176"/>
        <v>24.649442531801853</v>
      </c>
      <c r="Y432" s="346">
        <f t="shared" si="177"/>
        <v>-27.606011982087558</v>
      </c>
      <c r="AA432" s="345">
        <f t="shared" si="178"/>
        <v>39.763688061013418</v>
      </c>
      <c r="AB432" s="346">
        <f t="shared" si="179"/>
        <v>-113.98699776503243</v>
      </c>
      <c r="AD432">
        <f t="shared" si="183"/>
        <v>0</v>
      </c>
      <c r="AE432">
        <f t="shared" si="186"/>
        <v>0</v>
      </c>
    </row>
    <row r="433" spans="1:31" x14ac:dyDescent="0.25">
      <c r="A433" s="347">
        <v>43652</v>
      </c>
      <c r="B433" s="364">
        <f t="shared" si="180"/>
        <v>43.652000000000001</v>
      </c>
      <c r="C433" s="337">
        <f t="shared" si="161"/>
        <v>9.9250014564619882</v>
      </c>
      <c r="D433" s="338">
        <f t="shared" si="162"/>
        <v>1.4698694170143438</v>
      </c>
      <c r="E433" s="338">
        <f t="shared" si="163"/>
        <v>1.0021641672849995</v>
      </c>
      <c r="F433" s="339">
        <f t="shared" si="164"/>
        <v>6.5730836943824367E-2</v>
      </c>
      <c r="G433" s="338">
        <f t="shared" si="165"/>
        <v>1</v>
      </c>
      <c r="H433" s="339">
        <f t="shared" si="166"/>
        <v>0</v>
      </c>
      <c r="I433" s="337">
        <f t="shared" si="167"/>
        <v>31603.724666385369</v>
      </c>
      <c r="J433" s="340">
        <f t="shared" si="168"/>
        <v>1.5707646849548691</v>
      </c>
      <c r="K433" s="348">
        <f t="shared" si="184"/>
        <v>7.4726007164607307</v>
      </c>
      <c r="L433" s="349">
        <f t="shared" si="185"/>
        <v>1.436571432157705</v>
      </c>
      <c r="M433" s="337">
        <f t="shared" si="169"/>
        <v>1.0640333428757072</v>
      </c>
      <c r="N433" s="340">
        <f t="shared" si="170"/>
        <v>0.34869272244938665</v>
      </c>
      <c r="O433" s="341">
        <f t="shared" si="171"/>
        <v>1.0133408393739254</v>
      </c>
      <c r="P433" s="342">
        <f t="shared" si="172"/>
        <v>0.58912182576019811</v>
      </c>
      <c r="Q433" s="343">
        <f t="shared" si="173"/>
        <v>2.1136376707027282</v>
      </c>
      <c r="R433" s="344">
        <f t="shared" si="174"/>
        <v>-141.8727372544331</v>
      </c>
      <c r="S433" s="346">
        <f t="shared" si="175"/>
        <v>38.127262745566895</v>
      </c>
      <c r="U433" s="319">
        <f t="shared" si="181"/>
        <v>1000000000</v>
      </c>
      <c r="V433" s="319">
        <f t="shared" si="182"/>
        <v>1905497104</v>
      </c>
      <c r="X433" s="345">
        <f t="shared" si="176"/>
        <v>24.64278980697793</v>
      </c>
      <c r="Y433" s="346">
        <f t="shared" si="177"/>
        <v>-27.667328399300622</v>
      </c>
      <c r="AA433" s="345">
        <f t="shared" si="178"/>
        <v>39.712351486171819</v>
      </c>
      <c r="AB433" s="346">
        <f t="shared" si="179"/>
        <v>-114.20540885513249</v>
      </c>
      <c r="AD433">
        <f t="shared" si="183"/>
        <v>0</v>
      </c>
      <c r="AE433">
        <f t="shared" si="186"/>
        <v>0</v>
      </c>
    </row>
    <row r="434" spans="1:31" x14ac:dyDescent="0.25">
      <c r="A434" s="347">
        <v>43906</v>
      </c>
      <c r="B434" s="364">
        <f t="shared" si="180"/>
        <v>43.905999999999999</v>
      </c>
      <c r="C434" s="337">
        <f t="shared" si="161"/>
        <v>9.9821679485525863</v>
      </c>
      <c r="D434" s="338">
        <f t="shared" si="162"/>
        <v>1.470449364997332</v>
      </c>
      <c r="E434" s="338">
        <f t="shared" si="163"/>
        <v>1.0021893984576637</v>
      </c>
      <c r="F434" s="339">
        <f t="shared" si="164"/>
        <v>6.6112197842279924E-2</v>
      </c>
      <c r="G434" s="338">
        <f t="shared" si="165"/>
        <v>1</v>
      </c>
      <c r="H434" s="339">
        <f t="shared" si="166"/>
        <v>0</v>
      </c>
      <c r="I434" s="337">
        <f t="shared" si="167"/>
        <v>31787.618784804872</v>
      </c>
      <c r="J434" s="340">
        <f t="shared" si="168"/>
        <v>1.570764868005645</v>
      </c>
      <c r="K434" s="348">
        <f t="shared" si="184"/>
        <v>7.5153054334931744</v>
      </c>
      <c r="L434" s="349">
        <f t="shared" si="185"/>
        <v>1.4373387211687454</v>
      </c>
      <c r="M434" s="337">
        <f t="shared" si="169"/>
        <v>1.0647579641024065</v>
      </c>
      <c r="N434" s="340">
        <f t="shared" si="170"/>
        <v>0.3505598979043496</v>
      </c>
      <c r="O434" s="341">
        <f t="shared" si="171"/>
        <v>1.0136399603602155</v>
      </c>
      <c r="P434" s="342">
        <f t="shared" si="172"/>
        <v>0.59281661963749099</v>
      </c>
      <c r="Q434" s="343">
        <f t="shared" si="173"/>
        <v>2.0545963763533539</v>
      </c>
      <c r="R434" s="344">
        <f t="shared" si="174"/>
        <v>-142.15884089112654</v>
      </c>
      <c r="S434" s="346">
        <f t="shared" si="175"/>
        <v>37.841159108873455</v>
      </c>
      <c r="U434" s="319">
        <f t="shared" si="181"/>
        <v>1000000000</v>
      </c>
      <c r="V434" s="319">
        <f t="shared" si="182"/>
        <v>1927736836</v>
      </c>
      <c r="X434" s="345">
        <f t="shared" si="176"/>
        <v>24.635979249419758</v>
      </c>
      <c r="Y434" s="346">
        <f t="shared" si="177"/>
        <v>-27.730357738589962</v>
      </c>
      <c r="AA434" s="345">
        <f t="shared" si="178"/>
        <v>39.660120749380624</v>
      </c>
      <c r="AB434" s="346">
        <f t="shared" si="179"/>
        <v>-114.42848315253657</v>
      </c>
      <c r="AD434">
        <f t="shared" si="183"/>
        <v>0</v>
      </c>
      <c r="AE434">
        <f t="shared" si="186"/>
        <v>0</v>
      </c>
    </row>
    <row r="435" spans="1:31" x14ac:dyDescent="0.25">
      <c r="A435" s="347">
        <v>44160</v>
      </c>
      <c r="B435" s="364">
        <f t="shared" si="180"/>
        <v>44.16</v>
      </c>
      <c r="C435" s="337">
        <f t="shared" si="161"/>
        <v>10.039337759805802</v>
      </c>
      <c r="D435" s="338">
        <f t="shared" si="162"/>
        <v>1.471022708051051</v>
      </c>
      <c r="E435" s="338">
        <f t="shared" si="163"/>
        <v>1.002214775377529</v>
      </c>
      <c r="F435" s="339">
        <f t="shared" si="164"/>
        <v>6.6493539483437517E-2</v>
      </c>
      <c r="G435" s="338">
        <f t="shared" si="165"/>
        <v>1</v>
      </c>
      <c r="H435" s="339">
        <f t="shared" si="166"/>
        <v>0</v>
      </c>
      <c r="I435" s="337">
        <f t="shared" si="167"/>
        <v>31971.512903225426</v>
      </c>
      <c r="J435" s="340">
        <f t="shared" si="168"/>
        <v>1.5707650489506735</v>
      </c>
      <c r="K435" s="348">
        <f t="shared" si="184"/>
        <v>7.558014525028951</v>
      </c>
      <c r="L435" s="349">
        <f t="shared" si="185"/>
        <v>1.4380973389753136</v>
      </c>
      <c r="M435" s="337">
        <f t="shared" si="169"/>
        <v>1.0654862923851891</v>
      </c>
      <c r="N435" s="340">
        <f t="shared" si="170"/>
        <v>0.35242452718408052</v>
      </c>
      <c r="O435" s="341">
        <f t="shared" si="171"/>
        <v>1.0139440886167475</v>
      </c>
      <c r="P435" s="342">
        <f t="shared" si="172"/>
        <v>0.59651509123926638</v>
      </c>
      <c r="Q435" s="343">
        <f t="shared" si="173"/>
        <v>1.9957852668568878</v>
      </c>
      <c r="R435" s="344">
        <f t="shared" si="174"/>
        <v>-142.44512873237645</v>
      </c>
      <c r="S435" s="346">
        <f t="shared" si="175"/>
        <v>37.554871267623554</v>
      </c>
      <c r="U435" s="319">
        <f t="shared" si="181"/>
        <v>1000000000</v>
      </c>
      <c r="V435" s="319">
        <f t="shared" si="182"/>
        <v>1950105600</v>
      </c>
      <c r="X435" s="345">
        <f t="shared" si="176"/>
        <v>24.629157753678811</v>
      </c>
      <c r="Y435" s="346">
        <f t="shared" si="177"/>
        <v>-27.793737895554109</v>
      </c>
      <c r="AA435" s="345">
        <f t="shared" si="178"/>
        <v>39.608131135625101</v>
      </c>
      <c r="AB435" s="346">
        <f t="shared" si="179"/>
        <v>-114.65139083682232</v>
      </c>
      <c r="AD435">
        <f t="shared" si="183"/>
        <v>0</v>
      </c>
      <c r="AE435">
        <f t="shared" si="186"/>
        <v>0</v>
      </c>
    </row>
    <row r="436" spans="1:31" x14ac:dyDescent="0.25">
      <c r="A436" s="347">
        <v>44414</v>
      </c>
      <c r="B436" s="364">
        <f t="shared" si="180"/>
        <v>44.414000000000001</v>
      </c>
      <c r="C436" s="337">
        <f t="shared" si="161"/>
        <v>10.096510833839016</v>
      </c>
      <c r="D436" s="338">
        <f t="shared" si="162"/>
        <v>1.4715895579996605</v>
      </c>
      <c r="E436" s="338">
        <f t="shared" si="163"/>
        <v>1.0022402980335248</v>
      </c>
      <c r="F436" s="339">
        <f t="shared" si="164"/>
        <v>6.6874861757853635E-2</v>
      </c>
      <c r="G436" s="338">
        <f t="shared" si="165"/>
        <v>1</v>
      </c>
      <c r="H436" s="339">
        <f t="shared" si="166"/>
        <v>0</v>
      </c>
      <c r="I436" s="337">
        <f t="shared" si="167"/>
        <v>32155.407021647017</v>
      </c>
      <c r="J436" s="340">
        <f t="shared" si="168"/>
        <v>1.5707652278260829</v>
      </c>
      <c r="K436" s="348">
        <f t="shared" si="184"/>
        <v>7.6007279173260205</v>
      </c>
      <c r="L436" s="349">
        <f t="shared" si="185"/>
        <v>1.4388474308840673</v>
      </c>
      <c r="M436" s="337">
        <f t="shared" si="169"/>
        <v>1.0662183201272417</v>
      </c>
      <c r="N436" s="340">
        <f t="shared" si="170"/>
        <v>0.35428660255369693</v>
      </c>
      <c r="O436" s="341">
        <f t="shared" si="171"/>
        <v>1.0142532779492299</v>
      </c>
      <c r="P436" s="342">
        <f t="shared" si="172"/>
        <v>0.60021723275314109</v>
      </c>
      <c r="Q436" s="343">
        <f t="shared" si="173"/>
        <v>1.9372005568699895</v>
      </c>
      <c r="R436" s="344">
        <f t="shared" si="174"/>
        <v>-142.73159797732492</v>
      </c>
      <c r="S436" s="346">
        <f t="shared" si="175"/>
        <v>37.268402022675076</v>
      </c>
      <c r="U436" s="319">
        <f t="shared" si="181"/>
        <v>1000000000</v>
      </c>
      <c r="V436" s="319">
        <f t="shared" si="182"/>
        <v>1972603396</v>
      </c>
      <c r="X436" s="345">
        <f t="shared" si="176"/>
        <v>24.622325095077422</v>
      </c>
      <c r="Y436" s="346">
        <f t="shared" si="177"/>
        <v>-27.857460103628728</v>
      </c>
      <c r="AA436" s="345">
        <f t="shared" si="178"/>
        <v>39.556379084239595</v>
      </c>
      <c r="AB436" s="346">
        <f t="shared" si="179"/>
        <v>-114.87413787369617</v>
      </c>
      <c r="AD436">
        <f t="shared" si="183"/>
        <v>0</v>
      </c>
      <c r="AE436">
        <f t="shared" si="186"/>
        <v>0</v>
      </c>
    </row>
    <row r="437" spans="1:31" x14ac:dyDescent="0.25">
      <c r="A437" s="347">
        <v>44668</v>
      </c>
      <c r="B437" s="364">
        <f t="shared" si="180"/>
        <v>44.667999999999999</v>
      </c>
      <c r="C437" s="337">
        <f t="shared" si="161"/>
        <v>10.153687115536341</v>
      </c>
      <c r="D437" s="338">
        <f t="shared" si="162"/>
        <v>1.4721500241654619</v>
      </c>
      <c r="E437" s="338">
        <f t="shared" si="163"/>
        <v>1.002265966414517</v>
      </c>
      <c r="F437" s="339">
        <f t="shared" si="164"/>
        <v>6.725616455611845E-2</v>
      </c>
      <c r="G437" s="338">
        <f t="shared" si="165"/>
        <v>1</v>
      </c>
      <c r="H437" s="339">
        <f t="shared" si="166"/>
        <v>0</v>
      </c>
      <c r="I437" s="337">
        <f t="shared" si="167"/>
        <v>32339.301140069623</v>
      </c>
      <c r="J437" s="340">
        <f t="shared" si="168"/>
        <v>1.5707654046671788</v>
      </c>
      <c r="K437" s="348">
        <f t="shared" si="184"/>
        <v>7.6434455382833502</v>
      </c>
      <c r="L437" s="349">
        <f t="shared" si="185"/>
        <v>1.4395891389921782</v>
      </c>
      <c r="M437" s="337">
        <f t="shared" si="169"/>
        <v>1.0669540397140653</v>
      </c>
      <c r="N437" s="340">
        <f t="shared" si="170"/>
        <v>0.35614611637033117</v>
      </c>
      <c r="O437" s="341">
        <f t="shared" si="171"/>
        <v>1.0145675823588287</v>
      </c>
      <c r="P437" s="342">
        <f t="shared" si="172"/>
        <v>0.60392303584251417</v>
      </c>
      <c r="Q437" s="343">
        <f t="shared" si="173"/>
        <v>1.8788385217476149</v>
      </c>
      <c r="R437" s="344">
        <f t="shared" si="174"/>
        <v>-143.01824584084571</v>
      </c>
      <c r="S437" s="346">
        <f t="shared" si="175"/>
        <v>36.981754159154292</v>
      </c>
      <c r="U437" s="319">
        <f t="shared" si="181"/>
        <v>1000000000</v>
      </c>
      <c r="V437" s="319">
        <f t="shared" si="182"/>
        <v>1995230224</v>
      </c>
      <c r="X437" s="345">
        <f t="shared" si="176"/>
        <v>24.61548105862569</v>
      </c>
      <c r="Y437" s="346">
        <f t="shared" si="177"/>
        <v>-27.921515785364381</v>
      </c>
      <c r="AA437" s="345">
        <f t="shared" si="178"/>
        <v>39.504861085568947</v>
      </c>
      <c r="AB437" s="346">
        <f t="shared" si="179"/>
        <v>-115.09673005548134</v>
      </c>
      <c r="AD437">
        <f t="shared" si="183"/>
        <v>0</v>
      </c>
      <c r="AE437">
        <f t="shared" si="186"/>
        <v>0</v>
      </c>
    </row>
    <row r="438" spans="1:31" x14ac:dyDescent="0.25">
      <c r="A438" s="347">
        <v>44928.25</v>
      </c>
      <c r="B438" s="364">
        <f t="shared" si="180"/>
        <v>44.928249999999998</v>
      </c>
      <c r="C438" s="337">
        <f t="shared" si="161"/>
        <v>10.212273564616996</v>
      </c>
      <c r="D438" s="338">
        <f t="shared" si="162"/>
        <v>1.4727177717535718</v>
      </c>
      <c r="E438" s="338">
        <f t="shared" si="163"/>
        <v>1.0022924175354064</v>
      </c>
      <c r="F438" s="339">
        <f t="shared" si="164"/>
        <v>6.7646829489850166E-2</v>
      </c>
      <c r="G438" s="338">
        <f t="shared" si="165"/>
        <v>1</v>
      </c>
      <c r="H438" s="339">
        <f t="shared" si="166"/>
        <v>0</v>
      </c>
      <c r="I438" s="337">
        <f t="shared" si="167"/>
        <v>32527.72021219461</v>
      </c>
      <c r="J438" s="340">
        <f t="shared" si="168"/>
        <v>1.5707655837857453</v>
      </c>
      <c r="K438" s="348">
        <f t="shared" si="184"/>
        <v>7.6872185941029052</v>
      </c>
      <c r="L438" s="349">
        <f t="shared" si="185"/>
        <v>1.4403405473212756</v>
      </c>
      <c r="M438" s="337">
        <f t="shared" si="169"/>
        <v>1.0677116838826606</v>
      </c>
      <c r="N438" s="340">
        <f t="shared" si="170"/>
        <v>0.358048721170731</v>
      </c>
      <c r="O438" s="341">
        <f t="shared" si="171"/>
        <v>1.0148949827296241</v>
      </c>
      <c r="P438" s="342">
        <f t="shared" si="172"/>
        <v>0.60772381359044869</v>
      </c>
      <c r="Q438" s="343">
        <f t="shared" si="173"/>
        <v>1.8192675414758903</v>
      </c>
      <c r="R438" s="344">
        <f t="shared" si="174"/>
        <v>-143.31212941566017</v>
      </c>
      <c r="S438" s="346">
        <f t="shared" si="175"/>
        <v>36.687870584339834</v>
      </c>
      <c r="U438" s="319">
        <f t="shared" si="181"/>
        <v>1000000000</v>
      </c>
      <c r="V438" s="319">
        <f t="shared" si="182"/>
        <v>2018547648.0625</v>
      </c>
      <c r="X438" s="345">
        <f t="shared" si="176"/>
        <v>24.608456599552404</v>
      </c>
      <c r="Y438" s="346">
        <f t="shared" si="177"/>
        <v>-27.987484747373635</v>
      </c>
      <c r="AA438" s="345">
        <f t="shared" si="178"/>
        <v>39.452314564370511</v>
      </c>
      <c r="AB438" s="346">
        <f t="shared" si="179"/>
        <v>-115.32464466828652</v>
      </c>
      <c r="AD438">
        <f t="shared" si="183"/>
        <v>0</v>
      </c>
      <c r="AE438">
        <f t="shared" si="186"/>
        <v>0</v>
      </c>
    </row>
    <row r="439" spans="1:31" x14ac:dyDescent="0.25">
      <c r="A439" s="347">
        <v>45188.5</v>
      </c>
      <c r="B439" s="364">
        <f t="shared" si="180"/>
        <v>45.188499999999998</v>
      </c>
      <c r="C439" s="337">
        <f t="shared" si="161"/>
        <v>10.27086326794022</v>
      </c>
      <c r="D439" s="338">
        <f t="shared" si="162"/>
        <v>1.473279042136874</v>
      </c>
      <c r="E439" s="338">
        <f t="shared" si="163"/>
        <v>1.0023190216171656</v>
      </c>
      <c r="F439" s="339">
        <f t="shared" si="164"/>
        <v>6.8037473744728308E-2</v>
      </c>
      <c r="G439" s="338">
        <f t="shared" si="165"/>
        <v>1</v>
      </c>
      <c r="H439" s="339">
        <f t="shared" si="166"/>
        <v>0</v>
      </c>
      <c r="I439" s="337">
        <f t="shared" si="167"/>
        <v>32716.13928432063</v>
      </c>
      <c r="J439" s="340">
        <f t="shared" si="168"/>
        <v>1.5707657608411494</v>
      </c>
      <c r="K439" s="348">
        <f t="shared" si="184"/>
        <v>7.7309959410860447</v>
      </c>
      <c r="L439" s="349">
        <f t="shared" si="185"/>
        <v>1.4410834462533233</v>
      </c>
      <c r="M439" s="337">
        <f t="shared" si="169"/>
        <v>1.0684731875767022</v>
      </c>
      <c r="N439" s="340">
        <f t="shared" si="170"/>
        <v>0.35994862085739504</v>
      </c>
      <c r="O439" s="341">
        <f t="shared" si="171"/>
        <v>1.0152278683946381</v>
      </c>
      <c r="P439" s="342">
        <f t="shared" si="172"/>
        <v>0.61152841590987528</v>
      </c>
      <c r="Q439" s="343">
        <f t="shared" si="173"/>
        <v>1.7599226021175451</v>
      </c>
      <c r="R439" s="344">
        <f t="shared" si="174"/>
        <v>-143.60619463331872</v>
      </c>
      <c r="S439" s="346">
        <f t="shared" si="175"/>
        <v>36.393805366681278</v>
      </c>
      <c r="U439" s="319">
        <f t="shared" si="181"/>
        <v>1000000000</v>
      </c>
      <c r="V439" s="319">
        <f t="shared" si="182"/>
        <v>2042000532.25</v>
      </c>
      <c r="X439" s="345">
        <f t="shared" si="176"/>
        <v>24.601419768649791</v>
      </c>
      <c r="Y439" s="346">
        <f t="shared" si="177"/>
        <v>-28.053786152109755</v>
      </c>
      <c r="AA439" s="345">
        <f t="shared" si="178"/>
        <v>39.400006455914777</v>
      </c>
      <c r="AB439" s="346">
        <f t="shared" si="179"/>
        <v>-115.55240848120897</v>
      </c>
      <c r="AD439">
        <f t="shared" si="183"/>
        <v>0</v>
      </c>
      <c r="AE439">
        <f t="shared" si="186"/>
        <v>0</v>
      </c>
    </row>
    <row r="440" spans="1:31" x14ac:dyDescent="0.25">
      <c r="A440" s="347">
        <v>45448.75</v>
      </c>
      <c r="B440" s="364">
        <f t="shared" si="180"/>
        <v>45.448749999999997</v>
      </c>
      <c r="C440" s="337">
        <f t="shared" si="161"/>
        <v>10.329456170130852</v>
      </c>
      <c r="D440" s="338">
        <f t="shared" si="162"/>
        <v>1.4738339451827658</v>
      </c>
      <c r="E440" s="338">
        <f t="shared" si="163"/>
        <v>1.0023457786476151</v>
      </c>
      <c r="F440" s="339">
        <f t="shared" si="164"/>
        <v>6.8428097203177288E-2</v>
      </c>
      <c r="G440" s="338">
        <f t="shared" si="165"/>
        <v>1</v>
      </c>
      <c r="H440" s="339">
        <f t="shared" si="166"/>
        <v>0</v>
      </c>
      <c r="I440" s="337">
        <f t="shared" si="167"/>
        <v>32904.558356447669</v>
      </c>
      <c r="J440" s="340">
        <f t="shared" si="168"/>
        <v>1.5707659358688333</v>
      </c>
      <c r="K440" s="348">
        <f t="shared" si="184"/>
        <v>7.7747775067461573</v>
      </c>
      <c r="L440" s="349">
        <f t="shared" si="185"/>
        <v>1.4418179787164396</v>
      </c>
      <c r="M440" s="337">
        <f t="shared" si="169"/>
        <v>1.0692385425500142</v>
      </c>
      <c r="N440" s="340">
        <f t="shared" si="170"/>
        <v>0.36184580750887452</v>
      </c>
      <c r="O440" s="341">
        <f t="shared" si="171"/>
        <v>1.015566298058719</v>
      </c>
      <c r="P440" s="342">
        <f t="shared" si="172"/>
        <v>0.61533683210578494</v>
      </c>
      <c r="Q440" s="343">
        <f t="shared" si="173"/>
        <v>1.7007998865919411</v>
      </c>
      <c r="R440" s="344">
        <f t="shared" si="174"/>
        <v>-143.90043854170446</v>
      </c>
      <c r="S440" s="346">
        <f t="shared" si="175"/>
        <v>36.09956145829554</v>
      </c>
      <c r="U440" s="319">
        <f t="shared" si="181"/>
        <v>1000000000</v>
      </c>
      <c r="V440" s="319">
        <f t="shared" si="182"/>
        <v>2065588876.5625</v>
      </c>
      <c r="X440" s="345">
        <f t="shared" si="176"/>
        <v>24.594370364231445</v>
      </c>
      <c r="Y440" s="346">
        <f t="shared" si="177"/>
        <v>-28.120411358559899</v>
      </c>
      <c r="AA440" s="345">
        <f t="shared" si="178"/>
        <v>39.34793314480752</v>
      </c>
      <c r="AB440" s="346">
        <f t="shared" si="179"/>
        <v>-115.78002718314455</v>
      </c>
      <c r="AD440">
        <f t="shared" si="183"/>
        <v>0</v>
      </c>
      <c r="AE440">
        <f t="shared" si="186"/>
        <v>0</v>
      </c>
    </row>
    <row r="441" spans="1:31" x14ac:dyDescent="0.25">
      <c r="A441" s="347">
        <v>45709</v>
      </c>
      <c r="B441" s="364">
        <f t="shared" si="180"/>
        <v>45.709000000000003</v>
      </c>
      <c r="C441" s="337">
        <f t="shared" si="161"/>
        <v>10.388052217060094</v>
      </c>
      <c r="D441" s="338">
        <f t="shared" si="162"/>
        <v>1.4743825882956099</v>
      </c>
      <c r="E441" s="338">
        <f t="shared" si="163"/>
        <v>1.0023726886145063</v>
      </c>
      <c r="F441" s="339">
        <f t="shared" si="164"/>
        <v>6.8818699747659418E-2</v>
      </c>
      <c r="G441" s="338">
        <f t="shared" si="165"/>
        <v>1</v>
      </c>
      <c r="H441" s="339">
        <f t="shared" si="166"/>
        <v>0</v>
      </c>
      <c r="I441" s="337">
        <f t="shared" si="167"/>
        <v>33092.977428575694</v>
      </c>
      <c r="J441" s="340">
        <f t="shared" si="168"/>
        <v>1.5707661089034328</v>
      </c>
      <c r="K441" s="348">
        <f t="shared" si="184"/>
        <v>7.8185632202133366</v>
      </c>
      <c r="L441" s="349">
        <f t="shared" si="185"/>
        <v>1.4425442844736012</v>
      </c>
      <c r="M441" s="337">
        <f t="shared" si="169"/>
        <v>1.0700077405383694</v>
      </c>
      <c r="N441" s="340">
        <f t="shared" si="170"/>
        <v>0.36374027330444797</v>
      </c>
      <c r="O441" s="341">
        <f t="shared" si="171"/>
        <v>1.015910330628462</v>
      </c>
      <c r="P441" s="342">
        <f t="shared" si="172"/>
        <v>0.61914905089529937</v>
      </c>
      <c r="Q441" s="343">
        <f t="shared" si="173"/>
        <v>1.6418956388196801</v>
      </c>
      <c r="R441" s="344">
        <f t="shared" si="174"/>
        <v>-144.19485820096861</v>
      </c>
      <c r="S441" s="346">
        <f t="shared" si="175"/>
        <v>35.805141799031389</v>
      </c>
      <c r="U441" s="319">
        <f t="shared" si="181"/>
        <v>1000000000</v>
      </c>
      <c r="V441" s="319">
        <f t="shared" si="182"/>
        <v>2089312681</v>
      </c>
      <c r="X441" s="345">
        <f t="shared" si="176"/>
        <v>24.587308193926237</v>
      </c>
      <c r="Y441" s="346">
        <f t="shared" si="177"/>
        <v>-28.187351912785481</v>
      </c>
      <c r="AA441" s="345">
        <f t="shared" si="178"/>
        <v>39.29609106734047</v>
      </c>
      <c r="AB441" s="346">
        <f t="shared" si="179"/>
        <v>-116.00750628818312</v>
      </c>
      <c r="AD441">
        <f t="shared" si="183"/>
        <v>0</v>
      </c>
      <c r="AE441">
        <f t="shared" si="186"/>
        <v>0</v>
      </c>
    </row>
    <row r="442" spans="1:31" x14ac:dyDescent="0.25">
      <c r="A442" s="347">
        <v>45975.25</v>
      </c>
      <c r="B442" s="364">
        <f t="shared" si="180"/>
        <v>45.975250000000003</v>
      </c>
      <c r="C442" s="337">
        <f t="shared" si="161"/>
        <v>10.448002380648925</v>
      </c>
      <c r="D442" s="338">
        <f t="shared" si="162"/>
        <v>1.4749375116526593</v>
      </c>
      <c r="E442" s="338">
        <f t="shared" si="163"/>
        <v>1.002400377237203</v>
      </c>
      <c r="F442" s="339">
        <f t="shared" si="164"/>
        <v>6.9218285772820951E-2</v>
      </c>
      <c r="G442" s="338">
        <f t="shared" si="165"/>
        <v>1</v>
      </c>
      <c r="H442" s="339">
        <f t="shared" si="166"/>
        <v>0</v>
      </c>
      <c r="I442" s="337">
        <f t="shared" si="167"/>
        <v>33285.740456258121</v>
      </c>
      <c r="J442" s="340">
        <f t="shared" si="168"/>
        <v>1.570766283900058</v>
      </c>
      <c r="K442" s="348">
        <f t="shared" si="184"/>
        <v>7.8633626226737103</v>
      </c>
      <c r="L442" s="349">
        <f t="shared" si="185"/>
        <v>1.4432789641593076</v>
      </c>
      <c r="M442" s="337">
        <f t="shared" si="169"/>
        <v>1.0707986404974545</v>
      </c>
      <c r="N442" s="340">
        <f t="shared" si="170"/>
        <v>0.36567559182286336</v>
      </c>
      <c r="O442" s="341">
        <f t="shared" si="171"/>
        <v>1.0162681545756203</v>
      </c>
      <c r="P442" s="342">
        <f t="shared" si="172"/>
        <v>0.62305308217629118</v>
      </c>
      <c r="Q442" s="343">
        <f t="shared" si="173"/>
        <v>1.5818555946217618</v>
      </c>
      <c r="R442" s="344">
        <f t="shared" si="174"/>
        <v>-144.49624445472068</v>
      </c>
      <c r="S442" s="346">
        <f t="shared" si="175"/>
        <v>35.503755545279319</v>
      </c>
      <c r="U442" s="319">
        <f t="shared" si="181"/>
        <v>1000000000</v>
      </c>
      <c r="V442" s="319">
        <f t="shared" si="182"/>
        <v>2113723612.5625</v>
      </c>
      <c r="X442" s="345">
        <f t="shared" si="176"/>
        <v>24.580069805099324</v>
      </c>
      <c r="Y442" s="346">
        <f t="shared" si="177"/>
        <v>-28.256153477265894</v>
      </c>
      <c r="AA442" s="345">
        <f t="shared" si="178"/>
        <v>39.243289411969464</v>
      </c>
      <c r="AB442" s="346">
        <f t="shared" si="179"/>
        <v>-116.24009097745481</v>
      </c>
      <c r="AD442">
        <f t="shared" si="183"/>
        <v>0</v>
      </c>
      <c r="AE442">
        <f t="shared" si="186"/>
        <v>0</v>
      </c>
    </row>
    <row r="443" spans="1:31" x14ac:dyDescent="0.25">
      <c r="A443" s="347">
        <v>46241.5</v>
      </c>
      <c r="B443" s="364">
        <f t="shared" si="180"/>
        <v>46.241500000000002</v>
      </c>
      <c r="C443" s="337">
        <f t="shared" si="161"/>
        <v>10.507955724882889</v>
      </c>
      <c r="D443" s="338">
        <f t="shared" si="162"/>
        <v>1.4754861029251873</v>
      </c>
      <c r="E443" s="338">
        <f t="shared" si="163"/>
        <v>1.0024282259033002</v>
      </c>
      <c r="F443" s="339">
        <f t="shared" si="164"/>
        <v>6.9617849659813269E-2</v>
      </c>
      <c r="G443" s="338">
        <f t="shared" si="165"/>
        <v>1</v>
      </c>
      <c r="H443" s="339">
        <f t="shared" si="166"/>
        <v>0</v>
      </c>
      <c r="I443" s="337">
        <f t="shared" si="167"/>
        <v>33478.503483941553</v>
      </c>
      <c r="J443" s="340">
        <f t="shared" si="168"/>
        <v>1.570766456881487</v>
      </c>
      <c r="K443" s="348">
        <f t="shared" si="184"/>
        <v>7.9081662213287327</v>
      </c>
      <c r="L443" s="349">
        <f t="shared" si="185"/>
        <v>1.4440053195996074</v>
      </c>
      <c r="M443" s="337">
        <f t="shared" si="169"/>
        <v>1.0715935451587</v>
      </c>
      <c r="N443" s="340">
        <f t="shared" si="170"/>
        <v>0.36760804634411731</v>
      </c>
      <c r="O443" s="341">
        <f t="shared" si="171"/>
        <v>1.0166319681144003</v>
      </c>
      <c r="P443" s="342">
        <f t="shared" si="172"/>
        <v>0.62696106762321535</v>
      </c>
      <c r="Q443" s="343">
        <f t="shared" si="173"/>
        <v>1.5220364441634613</v>
      </c>
      <c r="R443" s="344">
        <f t="shared" si="174"/>
        <v>-144.79780846591476</v>
      </c>
      <c r="S443" s="346">
        <f t="shared" si="175"/>
        <v>35.202191534085244</v>
      </c>
      <c r="U443" s="319">
        <f t="shared" si="181"/>
        <v>1000000000</v>
      </c>
      <c r="V443" s="319">
        <f t="shared" si="182"/>
        <v>2138276322.25</v>
      </c>
      <c r="X443" s="345">
        <f t="shared" si="176"/>
        <v>24.57281767616157</v>
      </c>
      <c r="Y443" s="346">
        <f t="shared" si="177"/>
        <v>-28.325267775463963</v>
      </c>
      <c r="AA443" s="345">
        <f t="shared" si="178"/>
        <v>39.190722390448919</v>
      </c>
      <c r="AB443" s="346">
        <f t="shared" si="179"/>
        <v>-116.47254069045077</v>
      </c>
      <c r="AD443">
        <f t="shared" si="183"/>
        <v>0</v>
      </c>
      <c r="AE443">
        <f t="shared" si="186"/>
        <v>0</v>
      </c>
    </row>
    <row r="444" spans="1:31" x14ac:dyDescent="0.25">
      <c r="A444" s="347">
        <v>46507.75</v>
      </c>
      <c r="B444" s="364">
        <f t="shared" si="180"/>
        <v>46.507750000000001</v>
      </c>
      <c r="C444" s="337">
        <f t="shared" si="161"/>
        <v>10.567912195629159</v>
      </c>
      <c r="D444" s="338">
        <f t="shared" si="162"/>
        <v>1.4760284695543553</v>
      </c>
      <c r="E444" s="338">
        <f t="shared" si="163"/>
        <v>1.0024562345994597</v>
      </c>
      <c r="F444" s="339">
        <f t="shared" si="164"/>
        <v>7.0017391282904989E-2</v>
      </c>
      <c r="G444" s="338">
        <f t="shared" si="165"/>
        <v>1</v>
      </c>
      <c r="H444" s="339">
        <f t="shared" si="166"/>
        <v>0</v>
      </c>
      <c r="I444" s="337">
        <f t="shared" si="167"/>
        <v>33671.266511625981</v>
      </c>
      <c r="J444" s="340">
        <f t="shared" si="168"/>
        <v>1.5707666278823296</v>
      </c>
      <c r="K444" s="348">
        <f t="shared" si="184"/>
        <v>7.9529739452597941</v>
      </c>
      <c r="L444" s="349">
        <f t="shared" si="185"/>
        <v>1.4447234907200071</v>
      </c>
      <c r="M444" s="337">
        <f t="shared" si="169"/>
        <v>1.0723924456167198</v>
      </c>
      <c r="N444" s="340">
        <f t="shared" si="170"/>
        <v>0.36953762882002389</v>
      </c>
      <c r="O444" s="341">
        <f t="shared" si="171"/>
        <v>1.0170018349522334</v>
      </c>
      <c r="P444" s="342">
        <f t="shared" si="172"/>
        <v>0.63087299322920365</v>
      </c>
      <c r="Q444" s="343">
        <f t="shared" si="173"/>
        <v>1.4624343548925711</v>
      </c>
      <c r="R444" s="344">
        <f t="shared" si="174"/>
        <v>-145.09954711886024</v>
      </c>
      <c r="S444" s="346">
        <f t="shared" si="175"/>
        <v>34.900452881139756</v>
      </c>
      <c r="U444" s="319">
        <f t="shared" si="181"/>
        <v>1000000000</v>
      </c>
      <c r="V444" s="319">
        <f t="shared" si="182"/>
        <v>2162970810.0625</v>
      </c>
      <c r="X444" s="345">
        <f t="shared" si="176"/>
        <v>24.565551629396822</v>
      </c>
      <c r="Y444" s="346">
        <f t="shared" si="177"/>
        <v>-28.394686331094622</v>
      </c>
      <c r="AA444" s="345">
        <f t="shared" si="178"/>
        <v>39.13838634794277</v>
      </c>
      <c r="AB444" s="346">
        <f t="shared" si="179"/>
        <v>-116.7048607877656</v>
      </c>
      <c r="AD444">
        <f t="shared" si="183"/>
        <v>0</v>
      </c>
      <c r="AE444">
        <f t="shared" si="186"/>
        <v>0</v>
      </c>
    </row>
    <row r="445" spans="1:31" x14ac:dyDescent="0.25">
      <c r="A445" s="347">
        <v>46774</v>
      </c>
      <c r="B445" s="364">
        <f t="shared" si="180"/>
        <v>46.774000000000001</v>
      </c>
      <c r="C445" s="337">
        <f t="shared" si="161"/>
        <v>10.627871739973667</v>
      </c>
      <c r="D445" s="338">
        <f t="shared" si="162"/>
        <v>1.4765647165715496</v>
      </c>
      <c r="E445" s="338">
        <f t="shared" si="163"/>
        <v>1.0024844033122682</v>
      </c>
      <c r="F445" s="339">
        <f t="shared" si="164"/>
        <v>7.0416910516407138E-2</v>
      </c>
      <c r="G445" s="338">
        <f t="shared" si="165"/>
        <v>1</v>
      </c>
      <c r="H445" s="339">
        <f t="shared" si="166"/>
        <v>0</v>
      </c>
      <c r="I445" s="337">
        <f t="shared" si="167"/>
        <v>33864.029539311377</v>
      </c>
      <c r="J445" s="340">
        <f t="shared" si="168"/>
        <v>1.5707667969364081</v>
      </c>
      <c r="K445" s="348">
        <f t="shared" si="184"/>
        <v>7.9977857251311164</v>
      </c>
      <c r="L445" s="349">
        <f t="shared" si="185"/>
        <v>1.4454336143441937</v>
      </c>
      <c r="M445" s="337">
        <f t="shared" si="169"/>
        <v>1.0731953329479453</v>
      </c>
      <c r="N445" s="340">
        <f t="shared" si="170"/>
        <v>0.37146433131184853</v>
      </c>
      <c r="O445" s="341">
        <f t="shared" si="171"/>
        <v>1.0173778190014562</v>
      </c>
      <c r="P445" s="342">
        <f t="shared" si="172"/>
        <v>0.63478884433335536</v>
      </c>
      <c r="Q445" s="343">
        <f t="shared" si="173"/>
        <v>1.4030455552450618</v>
      </c>
      <c r="R445" s="344">
        <f t="shared" si="174"/>
        <v>-145.40145730626818</v>
      </c>
      <c r="S445" s="346">
        <f t="shared" si="175"/>
        <v>34.598542693731815</v>
      </c>
      <c r="U445" s="319">
        <f t="shared" si="181"/>
        <v>1000000000</v>
      </c>
      <c r="V445" s="319">
        <f t="shared" si="182"/>
        <v>2187807076</v>
      </c>
      <c r="X445" s="345">
        <f t="shared" si="176"/>
        <v>24.558271495985036</v>
      </c>
      <c r="Y445" s="346">
        <f t="shared" si="177"/>
        <v>-28.464400851819949</v>
      </c>
      <c r="AA445" s="345">
        <f t="shared" si="178"/>
        <v>39.086277681707053</v>
      </c>
      <c r="AB445" s="346">
        <f t="shared" si="179"/>
        <v>-116.93705645444822</v>
      </c>
      <c r="AD445">
        <f t="shared" si="183"/>
        <v>0</v>
      </c>
      <c r="AE445">
        <f t="shared" si="186"/>
        <v>0</v>
      </c>
    </row>
    <row r="446" spans="1:31" x14ac:dyDescent="0.25">
      <c r="A446" s="347">
        <v>47046.25</v>
      </c>
      <c r="B446" s="364">
        <f t="shared" si="180"/>
        <v>47.046250000000001</v>
      </c>
      <c r="C446" s="337">
        <f t="shared" si="161"/>
        <v>10.68918560970636</v>
      </c>
      <c r="D446" s="338">
        <f t="shared" si="162"/>
        <v>1.4771068269726184</v>
      </c>
      <c r="E446" s="338">
        <f t="shared" si="163"/>
        <v>1.0025133722652115</v>
      </c>
      <c r="F446" s="339">
        <f t="shared" si="164"/>
        <v>7.0825409717234708E-2</v>
      </c>
      <c r="G446" s="338">
        <f t="shared" si="165"/>
        <v>1</v>
      </c>
      <c r="H446" s="339">
        <f t="shared" si="166"/>
        <v>0</v>
      </c>
      <c r="I446" s="337">
        <f t="shared" si="167"/>
        <v>34061.136522551235</v>
      </c>
      <c r="J446" s="340">
        <f t="shared" si="168"/>
        <v>1.5707669678215259</v>
      </c>
      <c r="K446" s="348">
        <f t="shared" si="184"/>
        <v>8.0436114713780622</v>
      </c>
      <c r="L446" s="349">
        <f t="shared" si="185"/>
        <v>1.4461515585725617</v>
      </c>
      <c r="M446" s="337">
        <f t="shared" si="169"/>
        <v>1.0740204268524751</v>
      </c>
      <c r="N446" s="340">
        <f t="shared" si="170"/>
        <v>0.37343146622808882</v>
      </c>
      <c r="O446" s="341">
        <f t="shared" si="171"/>
        <v>1.0177686682699838</v>
      </c>
      <c r="P446" s="342">
        <f t="shared" si="172"/>
        <v>0.63879698319549849</v>
      </c>
      <c r="Q446" s="343">
        <f t="shared" si="173"/>
        <v>1.3425351031767758</v>
      </c>
      <c r="R446" s="344">
        <f t="shared" si="174"/>
        <v>-145.71034525021196</v>
      </c>
      <c r="S446" s="346">
        <f t="shared" si="175"/>
        <v>34.289654749788042</v>
      </c>
      <c r="U446" s="319">
        <f t="shared" si="181"/>
        <v>1000000000</v>
      </c>
      <c r="V446" s="319">
        <f t="shared" si="182"/>
        <v>2213349639.0625</v>
      </c>
      <c r="X446" s="345">
        <f t="shared" si="176"/>
        <v>24.55081256996019</v>
      </c>
      <c r="Y446" s="346">
        <f t="shared" si="177"/>
        <v>-28.535983997119914</v>
      </c>
      <c r="AA446" s="345">
        <f t="shared" si="178"/>
        <v>39.033226155663613</v>
      </c>
      <c r="AB446" s="346">
        <f t="shared" si="179"/>
        <v>-117.17436125309206</v>
      </c>
      <c r="AD446">
        <f t="shared" si="183"/>
        <v>0</v>
      </c>
      <c r="AE446">
        <f t="shared" si="186"/>
        <v>0</v>
      </c>
    </row>
    <row r="447" spans="1:31" x14ac:dyDescent="0.25">
      <c r="A447" s="347">
        <v>47318.5</v>
      </c>
      <c r="B447" s="364">
        <f t="shared" si="180"/>
        <v>47.3185</v>
      </c>
      <c r="C447" s="337">
        <f t="shared" si="161"/>
        <v>10.750502584983051</v>
      </c>
      <c r="D447" s="338">
        <f t="shared" si="162"/>
        <v>1.4776427535267045</v>
      </c>
      <c r="E447" s="338">
        <f t="shared" si="163"/>
        <v>1.0025425084994783</v>
      </c>
      <c r="F447" s="339">
        <f t="shared" si="164"/>
        <v>7.1233885242334163E-2</v>
      </c>
      <c r="G447" s="338">
        <f t="shared" si="165"/>
        <v>1</v>
      </c>
      <c r="H447" s="339">
        <f t="shared" si="166"/>
        <v>0</v>
      </c>
      <c r="I447" s="337">
        <f t="shared" si="167"/>
        <v>34258.243505792081</v>
      </c>
      <c r="J447" s="340">
        <f t="shared" si="168"/>
        <v>1.5707671367402467</v>
      </c>
      <c r="K447" s="348">
        <f t="shared" si="184"/>
        <v>8.0894413166807926</v>
      </c>
      <c r="L447" s="349">
        <f t="shared" si="185"/>
        <v>1.4468613682942943</v>
      </c>
      <c r="M447" s="337">
        <f t="shared" si="169"/>
        <v>1.0748496704176456</v>
      </c>
      <c r="N447" s="340">
        <f t="shared" si="170"/>
        <v>0.37539557345657198</v>
      </c>
      <c r="O447" s="341">
        <f t="shared" si="171"/>
        <v>1.0181660493559557</v>
      </c>
      <c r="P447" s="342">
        <f t="shared" si="172"/>
        <v>0.64280919336681575</v>
      </c>
      <c r="Q447" s="343">
        <f t="shared" si="173"/>
        <v>1.2822398756441864</v>
      </c>
      <c r="R447" s="344">
        <f t="shared" si="174"/>
        <v>-146.01940599767693</v>
      </c>
      <c r="S447" s="346">
        <f t="shared" si="175"/>
        <v>33.980594002323073</v>
      </c>
      <c r="U447" s="319">
        <f t="shared" si="181"/>
        <v>1000000000</v>
      </c>
      <c r="V447" s="319">
        <f t="shared" si="182"/>
        <v>2239040442.25</v>
      </c>
      <c r="X447" s="345">
        <f t="shared" si="176"/>
        <v>24.543338585425424</v>
      </c>
      <c r="Y447" s="346">
        <f t="shared" si="177"/>
        <v>-28.607859628922405</v>
      </c>
      <c r="AA447" s="345">
        <f t="shared" si="178"/>
        <v>38.980404912665783</v>
      </c>
      <c r="AB447" s="346">
        <f t="shared" si="179"/>
        <v>-117.41154636875454</v>
      </c>
      <c r="AD447">
        <f t="shared" si="183"/>
        <v>0</v>
      </c>
      <c r="AE447">
        <f t="shared" si="186"/>
        <v>0</v>
      </c>
    </row>
    <row r="448" spans="1:31" x14ac:dyDescent="0.25">
      <c r="A448" s="347">
        <v>47590.75</v>
      </c>
      <c r="B448" s="364">
        <f t="shared" si="180"/>
        <v>47.59075</v>
      </c>
      <c r="C448" s="337">
        <f t="shared" si="161"/>
        <v>10.811822612966427</v>
      </c>
      <c r="D448" s="338">
        <f t="shared" si="162"/>
        <v>1.4781726011397001</v>
      </c>
      <c r="E448" s="338">
        <f t="shared" si="163"/>
        <v>1.0025718120004841</v>
      </c>
      <c r="F448" s="339">
        <f t="shared" si="164"/>
        <v>7.1642336957465483E-2</v>
      </c>
      <c r="G448" s="338">
        <f t="shared" si="165"/>
        <v>1</v>
      </c>
      <c r="H448" s="339">
        <f t="shared" si="166"/>
        <v>0</v>
      </c>
      <c r="I448" s="337">
        <f t="shared" si="167"/>
        <v>34455.350489033895</v>
      </c>
      <c r="J448" s="340">
        <f t="shared" si="168"/>
        <v>1.5707673037263181</v>
      </c>
      <c r="K448" s="348">
        <f t="shared" si="184"/>
        <v>8.135275191763558</v>
      </c>
      <c r="L448" s="349">
        <f t="shared" si="185"/>
        <v>1.4475631802766675</v>
      </c>
      <c r="M448" s="337">
        <f t="shared" si="169"/>
        <v>1.0756830540465419</v>
      </c>
      <c r="N448" s="340">
        <f t="shared" si="170"/>
        <v>0.37735664486305592</v>
      </c>
      <c r="O448" s="341">
        <f t="shared" si="171"/>
        <v>1.0185700312275847</v>
      </c>
      <c r="P448" s="342">
        <f t="shared" si="172"/>
        <v>0.64682545703660033</v>
      </c>
      <c r="Q448" s="343">
        <f t="shared" si="173"/>
        <v>1.2221560293888007</v>
      </c>
      <c r="R448" s="344">
        <f t="shared" si="174"/>
        <v>-146.32863624622925</v>
      </c>
      <c r="S448" s="346">
        <f t="shared" si="175"/>
        <v>33.671363753770748</v>
      </c>
      <c r="U448" s="319">
        <f t="shared" si="181"/>
        <v>1000000000</v>
      </c>
      <c r="V448" s="319">
        <f t="shared" si="182"/>
        <v>2264879485.5625</v>
      </c>
      <c r="X448" s="345">
        <f t="shared" si="176"/>
        <v>24.535849388827454</v>
      </c>
      <c r="Y448" s="346">
        <f t="shared" si="177"/>
        <v>-28.680019446915612</v>
      </c>
      <c r="AA448" s="345">
        <f t="shared" si="178"/>
        <v>38.927810263008368</v>
      </c>
      <c r="AB448" s="346">
        <f t="shared" si="179"/>
        <v>-117.64861679931361</v>
      </c>
      <c r="AD448">
        <f t="shared" si="183"/>
        <v>0</v>
      </c>
      <c r="AE448">
        <f t="shared" si="186"/>
        <v>0</v>
      </c>
    </row>
    <row r="449" spans="1:31" x14ac:dyDescent="0.25">
      <c r="A449" s="347">
        <v>47863</v>
      </c>
      <c r="B449" s="364">
        <f t="shared" si="180"/>
        <v>47.863</v>
      </c>
      <c r="C449" s="337">
        <f t="shared" si="161"/>
        <v>10.87314564200849</v>
      </c>
      <c r="D449" s="338">
        <f t="shared" si="162"/>
        <v>1.4786964723647087</v>
      </c>
      <c r="E449" s="338">
        <f t="shared" si="163"/>
        <v>1.0026012827535622</v>
      </c>
      <c r="F449" s="339">
        <f t="shared" si="164"/>
        <v>7.205076472843612E-2</v>
      </c>
      <c r="G449" s="338">
        <f t="shared" si="165"/>
        <v>1</v>
      </c>
      <c r="H449" s="339">
        <f t="shared" si="166"/>
        <v>0</v>
      </c>
      <c r="I449" s="337">
        <f t="shared" si="167"/>
        <v>34652.457472276656</v>
      </c>
      <c r="J449" s="340">
        <f t="shared" si="168"/>
        <v>1.5707674688127191</v>
      </c>
      <c r="K449" s="348">
        <f t="shared" si="184"/>
        <v>8.1811130288970322</v>
      </c>
      <c r="L449" s="349">
        <f t="shared" si="185"/>
        <v>1.4482571282537109</v>
      </c>
      <c r="M449" s="337">
        <f t="shared" si="169"/>
        <v>1.0765205681241286</v>
      </c>
      <c r="N449" s="340">
        <f t="shared" si="170"/>
        <v>0.37931467243182504</v>
      </c>
      <c r="O449" s="341">
        <f t="shared" si="171"/>
        <v>1.0189806830582169</v>
      </c>
      <c r="P449" s="342">
        <f t="shared" si="172"/>
        <v>0.65084575566953473</v>
      </c>
      <c r="Q449" s="343">
        <f t="shared" si="173"/>
        <v>1.1622797820719259</v>
      </c>
      <c r="R449" s="344">
        <f t="shared" si="174"/>
        <v>-146.63803269764949</v>
      </c>
      <c r="S449" s="346">
        <f t="shared" si="175"/>
        <v>33.361967302350507</v>
      </c>
      <c r="U449" s="319">
        <f t="shared" si="181"/>
        <v>1000000000</v>
      </c>
      <c r="V449" s="319">
        <f t="shared" si="182"/>
        <v>2290866769</v>
      </c>
      <c r="X449" s="345">
        <f t="shared" si="176"/>
        <v>24.52834483508493</v>
      </c>
      <c r="Y449" s="346">
        <f t="shared" si="177"/>
        <v>-28.752455331326924</v>
      </c>
      <c r="AA449" s="345">
        <f t="shared" si="178"/>
        <v>38.875438569434024</v>
      </c>
      <c r="AB449" s="346">
        <f t="shared" si="179"/>
        <v>-117.88557736632254</v>
      </c>
      <c r="AD449">
        <f t="shared" si="183"/>
        <v>0</v>
      </c>
      <c r="AE449">
        <f t="shared" si="186"/>
        <v>0</v>
      </c>
    </row>
    <row r="450" spans="1:31" x14ac:dyDescent="0.25">
      <c r="A450" s="347">
        <v>48141.75</v>
      </c>
      <c r="B450" s="364">
        <f t="shared" si="180"/>
        <v>48.141750000000002</v>
      </c>
      <c r="C450" s="337">
        <f t="shared" si="161"/>
        <v>10.935935822073986</v>
      </c>
      <c r="D450" s="338">
        <f t="shared" si="162"/>
        <v>1.4792267636514977</v>
      </c>
      <c r="E450" s="338">
        <f t="shared" si="163"/>
        <v>1.0026316303983351</v>
      </c>
      <c r="F450" s="339">
        <f t="shared" si="164"/>
        <v>7.2468918810737332E-2</v>
      </c>
      <c r="G450" s="338">
        <f t="shared" si="165"/>
        <v>1</v>
      </c>
      <c r="H450" s="339">
        <f t="shared" si="166"/>
        <v>0</v>
      </c>
      <c r="I450" s="337">
        <f t="shared" si="167"/>
        <v>34854.270407370073</v>
      </c>
      <c r="J450" s="340">
        <f t="shared" si="168"/>
        <v>1.5707676359059912</v>
      </c>
      <c r="K450" s="348">
        <f t="shared" si="184"/>
        <v>8.2280492855719256</v>
      </c>
      <c r="L450" s="349">
        <f t="shared" si="185"/>
        <v>1.448959633006051</v>
      </c>
      <c r="M450" s="337">
        <f t="shared" si="169"/>
        <v>1.0773823474347943</v>
      </c>
      <c r="N450" s="340">
        <f t="shared" si="170"/>
        <v>0.38131628617338448</v>
      </c>
      <c r="O450" s="341">
        <f t="shared" si="171"/>
        <v>1.0194081224285565</v>
      </c>
      <c r="P450" s="342">
        <f t="shared" si="172"/>
        <v>0.65496619988900462</v>
      </c>
      <c r="Q450" s="343">
        <f t="shared" si="173"/>
        <v>1.101185187779133</v>
      </c>
      <c r="R450" s="344">
        <f t="shared" si="174"/>
        <v>-146.95498478599899</v>
      </c>
      <c r="S450" s="346">
        <f t="shared" si="175"/>
        <v>33.045015214001012</v>
      </c>
      <c r="U450" s="319">
        <f t="shared" si="181"/>
        <v>1000000000</v>
      </c>
      <c r="V450" s="319">
        <f t="shared" si="182"/>
        <v>2317628093.0625</v>
      </c>
      <c r="X450" s="345">
        <f t="shared" si="176"/>
        <v>24.520645054840621</v>
      </c>
      <c r="Y450" s="346">
        <f t="shared" si="177"/>
        <v>-28.826898367361039</v>
      </c>
      <c r="AA450" s="345">
        <f t="shared" si="178"/>
        <v>38.822043755385536</v>
      </c>
      <c r="AB450" s="346">
        <f t="shared" si="179"/>
        <v>-118.12808641863788</v>
      </c>
      <c r="AD450">
        <f t="shared" si="183"/>
        <v>0</v>
      </c>
      <c r="AE450">
        <f t="shared" si="186"/>
        <v>0</v>
      </c>
    </row>
    <row r="451" spans="1:31" x14ac:dyDescent="0.25">
      <c r="A451" s="347">
        <v>48420.5</v>
      </c>
      <c r="B451" s="364">
        <f t="shared" si="180"/>
        <v>48.420499999999997</v>
      </c>
      <c r="C451" s="337">
        <f t="shared" si="161"/>
        <v>10.998729042308211</v>
      </c>
      <c r="D451" s="338">
        <f t="shared" si="162"/>
        <v>1.4797510000760545</v>
      </c>
      <c r="E451" s="338">
        <f t="shared" si="163"/>
        <v>1.0026621533454623</v>
      </c>
      <c r="F451" s="339">
        <f t="shared" si="164"/>
        <v>7.2887047507331201E-2</v>
      </c>
      <c r="G451" s="338">
        <f t="shared" si="165"/>
        <v>1</v>
      </c>
      <c r="H451" s="339">
        <f t="shared" si="166"/>
        <v>0</v>
      </c>
      <c r="I451" s="337">
        <f t="shared" si="167"/>
        <v>35056.083342464459</v>
      </c>
      <c r="J451" s="340">
        <f t="shared" si="168"/>
        <v>1.5707678010753983</v>
      </c>
      <c r="K451" s="348">
        <f t="shared" si="184"/>
        <v>8.2749895568298388</v>
      </c>
      <c r="L451" s="349">
        <f t="shared" si="185"/>
        <v>1.4496541681147779</v>
      </c>
      <c r="M451" s="337">
        <f t="shared" si="169"/>
        <v>1.0782484363222253</v>
      </c>
      <c r="N451" s="340">
        <f t="shared" si="170"/>
        <v>0.3833146923709122</v>
      </c>
      <c r="O451" s="341">
        <f t="shared" si="171"/>
        <v>1.0198427014526041</v>
      </c>
      <c r="P451" s="342">
        <f t="shared" si="172"/>
        <v>0.6590908323796123</v>
      </c>
      <c r="Q451" s="343">
        <f t="shared" si="173"/>
        <v>1.0403003887112352</v>
      </c>
      <c r="R451" s="344">
        <f t="shared" si="174"/>
        <v>-147.272104119029</v>
      </c>
      <c r="S451" s="346">
        <f t="shared" si="175"/>
        <v>32.727895880971005</v>
      </c>
      <c r="U451" s="319">
        <f t="shared" si="181"/>
        <v>1000000000</v>
      </c>
      <c r="V451" s="319">
        <f t="shared" si="182"/>
        <v>2344544820.25</v>
      </c>
      <c r="X451" s="345">
        <f t="shared" si="176"/>
        <v>24.51292889355922</v>
      </c>
      <c r="Y451" s="346">
        <f t="shared" si="177"/>
        <v>-28.901614141373763</v>
      </c>
      <c r="AA451" s="345">
        <f t="shared" si="178"/>
        <v>38.768875117599045</v>
      </c>
      <c r="AB451" s="346">
        <f t="shared" si="179"/>
        <v>-118.37048997765524</v>
      </c>
      <c r="AD451">
        <f t="shared" si="183"/>
        <v>0</v>
      </c>
      <c r="AE451">
        <f t="shared" si="186"/>
        <v>0</v>
      </c>
    </row>
    <row r="452" spans="1:31" x14ac:dyDescent="0.25">
      <c r="A452" s="347">
        <v>48699.25</v>
      </c>
      <c r="B452" s="364">
        <f t="shared" si="180"/>
        <v>48.699249999999999</v>
      </c>
      <c r="C452" s="337">
        <f t="shared" si="161"/>
        <v>11.061525250936572</v>
      </c>
      <c r="D452" s="338">
        <f t="shared" si="162"/>
        <v>1.4802692844679952</v>
      </c>
      <c r="E452" s="338">
        <f t="shared" si="163"/>
        <v>1.0026928515789346</v>
      </c>
      <c r="F452" s="339">
        <f t="shared" si="164"/>
        <v>7.3305150674338501E-2</v>
      </c>
      <c r="G452" s="338">
        <f t="shared" si="165"/>
        <v>1</v>
      </c>
      <c r="H452" s="339">
        <f t="shared" si="166"/>
        <v>0</v>
      </c>
      <c r="I452" s="337">
        <f t="shared" si="167"/>
        <v>35257.896277559776</v>
      </c>
      <c r="J452" s="340">
        <f t="shared" si="168"/>
        <v>1.5707679643539767</v>
      </c>
      <c r="K452" s="348">
        <f t="shared" si="184"/>
        <v>8.3219337747374187</v>
      </c>
      <c r="L452" s="349">
        <f t="shared" si="185"/>
        <v>1.4503408677749223</v>
      </c>
      <c r="M452" s="337">
        <f t="shared" si="169"/>
        <v>1.0791188244099654</v>
      </c>
      <c r="N452" s="340">
        <f t="shared" si="170"/>
        <v>0.38530988280491241</v>
      </c>
      <c r="O452" s="341">
        <f t="shared" si="171"/>
        <v>1.0202844950133678</v>
      </c>
      <c r="P452" s="342">
        <f t="shared" si="172"/>
        <v>0.66321963087174485</v>
      </c>
      <c r="Q452" s="343">
        <f t="shared" si="173"/>
        <v>0.97962151494641148</v>
      </c>
      <c r="R452" s="344">
        <f t="shared" si="174"/>
        <v>-147.58938716287301</v>
      </c>
      <c r="S452" s="346">
        <f t="shared" si="175"/>
        <v>32.41061283712699</v>
      </c>
      <c r="U452" s="319">
        <f t="shared" si="181"/>
        <v>1000000000</v>
      </c>
      <c r="V452" s="319">
        <f t="shared" si="182"/>
        <v>2371616950.5625</v>
      </c>
      <c r="X452" s="345">
        <f t="shared" si="176"/>
        <v>24.505196221278361</v>
      </c>
      <c r="Y452" s="346">
        <f t="shared" si="177"/>
        <v>-28.976594495506607</v>
      </c>
      <c r="AA452" s="345">
        <f t="shared" si="178"/>
        <v>38.715928916115075</v>
      </c>
      <c r="AB452" s="346">
        <f t="shared" si="179"/>
        <v>-118.61279266736643</v>
      </c>
      <c r="AD452">
        <f t="shared" si="183"/>
        <v>0</v>
      </c>
      <c r="AE452">
        <f t="shared" si="186"/>
        <v>0</v>
      </c>
    </row>
    <row r="453" spans="1:31" x14ac:dyDescent="0.25">
      <c r="A453" s="347">
        <v>48978</v>
      </c>
      <c r="B453" s="364">
        <f t="shared" si="180"/>
        <v>48.978000000000002</v>
      </c>
      <c r="C453" s="337">
        <f t="shared" si="161"/>
        <v>11.124324397351101</v>
      </c>
      <c r="D453" s="338">
        <f t="shared" si="162"/>
        <v>1.4807817173479139</v>
      </c>
      <c r="E453" s="338">
        <f t="shared" si="163"/>
        <v>1.0027237250826531</v>
      </c>
      <c r="F453" s="339">
        <f t="shared" si="164"/>
        <v>7.3723228167933322E-2</v>
      </c>
      <c r="G453" s="338">
        <f t="shared" si="165"/>
        <v>1</v>
      </c>
      <c r="H453" s="339">
        <f t="shared" si="166"/>
        <v>0</v>
      </c>
      <c r="I453" s="337">
        <f t="shared" si="167"/>
        <v>35459.709212656031</v>
      </c>
      <c r="J453" s="340">
        <f t="shared" si="168"/>
        <v>1.5707681257740103</v>
      </c>
      <c r="K453" s="348">
        <f t="shared" si="184"/>
        <v>8.3688818728799266</v>
      </c>
      <c r="L453" s="349">
        <f t="shared" si="185"/>
        <v>1.4510198632002043</v>
      </c>
      <c r="M453" s="337">
        <f t="shared" si="169"/>
        <v>1.0799935013035833</v>
      </c>
      <c r="N453" s="340">
        <f t="shared" si="170"/>
        <v>0.38730184938473</v>
      </c>
      <c r="O453" s="341">
        <f t="shared" si="171"/>
        <v>1.0207335781970839</v>
      </c>
      <c r="P453" s="342">
        <f t="shared" si="172"/>
        <v>0.66735257229070799</v>
      </c>
      <c r="Q453" s="343">
        <f t="shared" si="173"/>
        <v>0.91914475781159921</v>
      </c>
      <c r="R453" s="344">
        <f t="shared" si="174"/>
        <v>-147.90683038339176</v>
      </c>
      <c r="S453" s="346">
        <f t="shared" si="175"/>
        <v>32.093169616608236</v>
      </c>
      <c r="U453" s="319">
        <f t="shared" si="181"/>
        <v>1000000000</v>
      </c>
      <c r="V453" s="319">
        <f t="shared" si="182"/>
        <v>2398844484</v>
      </c>
      <c r="X453" s="345">
        <f t="shared" si="176"/>
        <v>24.497446916137982</v>
      </c>
      <c r="Y453" s="346">
        <f t="shared" si="177"/>
        <v>-29.05183145005654</v>
      </c>
      <c r="AA453" s="345">
        <f t="shared" si="178"/>
        <v>38.66320146412064</v>
      </c>
      <c r="AB453" s="346">
        <f t="shared" si="179"/>
        <v>-118.85499893333525</v>
      </c>
      <c r="AD453">
        <f t="shared" si="183"/>
        <v>0</v>
      </c>
      <c r="AE453">
        <f t="shared" si="186"/>
        <v>0</v>
      </c>
    </row>
    <row r="454" spans="1:31" x14ac:dyDescent="0.25">
      <c r="A454" s="347">
        <v>49263.25</v>
      </c>
      <c r="B454" s="364">
        <f t="shared" si="180"/>
        <v>49.263249999999999</v>
      </c>
      <c r="C454" s="337">
        <f t="shared" si="161"/>
        <v>11.188590908212497</v>
      </c>
      <c r="D454" s="338">
        <f t="shared" si="162"/>
        <v>1.4813001440782034</v>
      </c>
      <c r="E454" s="338">
        <f t="shared" si="163"/>
        <v>1.0027554999381731</v>
      </c>
      <c r="F454" s="339">
        <f t="shared" si="164"/>
        <v>7.4151027825372376E-2</v>
      </c>
      <c r="G454" s="338">
        <f t="shared" si="165"/>
        <v>1</v>
      </c>
      <c r="H454" s="339">
        <f t="shared" si="166"/>
        <v>0</v>
      </c>
      <c r="I454" s="337">
        <f t="shared" si="167"/>
        <v>35666.228099603009</v>
      </c>
      <c r="J454" s="340">
        <f t="shared" si="168"/>
        <v>1.5707682890669559</v>
      </c>
      <c r="K454" s="348">
        <f t="shared" si="184"/>
        <v>8.4169286741505669</v>
      </c>
      <c r="L454" s="349">
        <f t="shared" si="185"/>
        <v>1.4517068497503669</v>
      </c>
      <c r="M454" s="337">
        <f t="shared" si="169"/>
        <v>1.080893003371439</v>
      </c>
      <c r="N454" s="340">
        <f t="shared" si="170"/>
        <v>0.38933691961003358</v>
      </c>
      <c r="O454" s="341">
        <f t="shared" si="171"/>
        <v>1.0212007583981981</v>
      </c>
      <c r="P454" s="342">
        <f t="shared" si="172"/>
        <v>0.67158615127373511</v>
      </c>
      <c r="Q454" s="343">
        <f t="shared" si="173"/>
        <v>0.85746311075730541</v>
      </c>
      <c r="R454" s="344">
        <f t="shared" si="174"/>
        <v>-148.23183800152253</v>
      </c>
      <c r="S454" s="346">
        <f t="shared" si="175"/>
        <v>31.768161998477467</v>
      </c>
      <c r="U454" s="319">
        <f t="shared" si="181"/>
        <v>1000000000</v>
      </c>
      <c r="V454" s="319">
        <f t="shared" si="182"/>
        <v>2426867800.5625</v>
      </c>
      <c r="X454" s="345">
        <f t="shared" si="176"/>
        <v>24.489499571626858</v>
      </c>
      <c r="Y454" s="346">
        <f t="shared" si="177"/>
        <v>-29.12908031115748</v>
      </c>
      <c r="AA454" s="345">
        <f t="shared" si="178"/>
        <v>38.609467161577477</v>
      </c>
      <c r="AB454" s="346">
        <f t="shared" si="179"/>
        <v>-119.10275769036507</v>
      </c>
      <c r="AD454">
        <f t="shared" si="183"/>
        <v>0</v>
      </c>
      <c r="AE454">
        <f t="shared" si="186"/>
        <v>0</v>
      </c>
    </row>
    <row r="455" spans="1:31" x14ac:dyDescent="0.25">
      <c r="A455" s="347">
        <v>49548.5</v>
      </c>
      <c r="B455" s="364">
        <f t="shared" si="180"/>
        <v>49.548499999999997</v>
      </c>
      <c r="C455" s="337">
        <f t="shared" si="161"/>
        <v>11.252860391841287</v>
      </c>
      <c r="D455" s="338">
        <f t="shared" si="162"/>
        <v>1.4818126490695844</v>
      </c>
      <c r="E455" s="338">
        <f t="shared" si="163"/>
        <v>1.0027874582988818</v>
      </c>
      <c r="F455" s="339">
        <f t="shared" si="164"/>
        <v>7.4578800293550629E-2</v>
      </c>
      <c r="G455" s="338">
        <f t="shared" si="165"/>
        <v>1</v>
      </c>
      <c r="H455" s="339">
        <f t="shared" si="166"/>
        <v>0</v>
      </c>
      <c r="I455" s="337">
        <f t="shared" si="167"/>
        <v>35872.746986550927</v>
      </c>
      <c r="J455" s="340">
        <f t="shared" si="168"/>
        <v>1.5707684504797512</v>
      </c>
      <c r="K455" s="348">
        <f t="shared" si="184"/>
        <v>8.4649794026999956</v>
      </c>
      <c r="L455" s="349">
        <f t="shared" si="185"/>
        <v>1.4523860373777491</v>
      </c>
      <c r="M455" s="337">
        <f t="shared" si="169"/>
        <v>1.081796974514192</v>
      </c>
      <c r="N455" s="340">
        <f t="shared" si="170"/>
        <v>0.39136859714726946</v>
      </c>
      <c r="O455" s="341">
        <f t="shared" si="171"/>
        <v>1.0216757318684537</v>
      </c>
      <c r="P455" s="342">
        <f t="shared" si="172"/>
        <v>0.6758240171690687</v>
      </c>
      <c r="Q455" s="343">
        <f t="shared" si="173"/>
        <v>0.79598523729844572</v>
      </c>
      <c r="R455" s="344">
        <f t="shared" si="174"/>
        <v>-148.55700585974677</v>
      </c>
      <c r="S455" s="346">
        <f t="shared" si="175"/>
        <v>31.442994140253234</v>
      </c>
      <c r="U455" s="319">
        <f t="shared" si="181"/>
        <v>1000000000</v>
      </c>
      <c r="V455" s="319">
        <f t="shared" si="182"/>
        <v>2455053852.25</v>
      </c>
      <c r="X455" s="345">
        <f t="shared" si="176"/>
        <v>24.481534576115003</v>
      </c>
      <c r="Y455" s="346">
        <f t="shared" si="177"/>
        <v>-29.206581523186621</v>
      </c>
      <c r="AA455" s="345">
        <f t="shared" si="178"/>
        <v>38.55595428363047</v>
      </c>
      <c r="AB455" s="346">
        <f t="shared" si="179"/>
        <v>-119.35042433656012</v>
      </c>
      <c r="AD455">
        <f t="shared" si="183"/>
        <v>0</v>
      </c>
      <c r="AE455">
        <f t="shared" si="186"/>
        <v>0</v>
      </c>
    </row>
    <row r="456" spans="1:31" x14ac:dyDescent="0.25">
      <c r="A456" s="347">
        <v>49833.75</v>
      </c>
      <c r="B456" s="364">
        <f t="shared" si="180"/>
        <v>49.833750000000002</v>
      </c>
      <c r="C456" s="337">
        <f t="shared" si="161"/>
        <v>11.31713279759083</v>
      </c>
      <c r="D456" s="338">
        <f t="shared" si="162"/>
        <v>1.4823193329429529</v>
      </c>
      <c r="E456" s="338">
        <f t="shared" si="163"/>
        <v>1.0028196001472347</v>
      </c>
      <c r="F456" s="339">
        <f t="shared" si="164"/>
        <v>7.5006545418519491E-2</v>
      </c>
      <c r="G456" s="338">
        <f t="shared" si="165"/>
        <v>1</v>
      </c>
      <c r="H456" s="339">
        <f t="shared" si="166"/>
        <v>0</v>
      </c>
      <c r="I456" s="337">
        <f t="shared" si="167"/>
        <v>36079.265873499775</v>
      </c>
      <c r="J456" s="340">
        <f t="shared" si="168"/>
        <v>1.5707686100446825</v>
      </c>
      <c r="K456" s="348">
        <f t="shared" si="184"/>
        <v>8.5130339920271449</v>
      </c>
      <c r="L456" s="349">
        <f t="shared" si="185"/>
        <v>1.4530575575210407</v>
      </c>
      <c r="M456" s="337">
        <f t="shared" si="169"/>
        <v>1.0827054035378978</v>
      </c>
      <c r="N456" s="340">
        <f t="shared" si="170"/>
        <v>0.39339687374298576</v>
      </c>
      <c r="O456" s="341">
        <f t="shared" si="171"/>
        <v>1.0221585796929618</v>
      </c>
      <c r="P456" s="342">
        <f t="shared" si="172"/>
        <v>0.6800661426199307</v>
      </c>
      <c r="Q456" s="343">
        <f t="shared" si="173"/>
        <v>0.7347072467058291</v>
      </c>
      <c r="R456" s="344">
        <f t="shared" si="174"/>
        <v>-148.88233016268941</v>
      </c>
      <c r="S456" s="346">
        <f t="shared" si="175"/>
        <v>31.117669837310586</v>
      </c>
      <c r="U456" s="319">
        <f t="shared" si="181"/>
        <v>1000000000</v>
      </c>
      <c r="V456" s="319">
        <f t="shared" si="182"/>
        <v>2483402639.0625</v>
      </c>
      <c r="X456" s="345">
        <f t="shared" si="176"/>
        <v>24.4735518235921</v>
      </c>
      <c r="Y456" s="346">
        <f t="shared" si="177"/>
        <v>-29.284327084223651</v>
      </c>
      <c r="AA456" s="345">
        <f t="shared" si="178"/>
        <v>38.502659045560755</v>
      </c>
      <c r="AB456" s="346">
        <f t="shared" si="179"/>
        <v>-119.59800307846581</v>
      </c>
      <c r="AD456">
        <f t="shared" si="183"/>
        <v>0</v>
      </c>
      <c r="AE456">
        <f t="shared" si="186"/>
        <v>0</v>
      </c>
    </row>
    <row r="457" spans="1:31" x14ac:dyDescent="0.25">
      <c r="A457" s="347">
        <v>50119</v>
      </c>
      <c r="B457" s="364">
        <f t="shared" si="180"/>
        <v>50.119</v>
      </c>
      <c r="C457" s="337">
        <f t="shared" si="161"/>
        <v>11.381408075956257</v>
      </c>
      <c r="D457" s="338">
        <f t="shared" si="162"/>
        <v>1.4828202940583335</v>
      </c>
      <c r="E457" s="338">
        <f t="shared" si="163"/>
        <v>1.0028519254655892</v>
      </c>
      <c r="F457" s="339">
        <f t="shared" si="164"/>
        <v>7.543426304639006E-2</v>
      </c>
      <c r="G457" s="338">
        <f t="shared" si="165"/>
        <v>1</v>
      </c>
      <c r="H457" s="339">
        <f t="shared" si="166"/>
        <v>0</v>
      </c>
      <c r="I457" s="337">
        <f t="shared" si="167"/>
        <v>36285.784760449518</v>
      </c>
      <c r="J457" s="340">
        <f t="shared" si="168"/>
        <v>1.5707687677933007</v>
      </c>
      <c r="K457" s="348">
        <f t="shared" si="184"/>
        <v>8.5610923771187899</v>
      </c>
      <c r="L457" s="349">
        <f t="shared" si="185"/>
        <v>1.4537215386955831</v>
      </c>
      <c r="M457" s="337">
        <f t="shared" si="169"/>
        <v>1.0836182792310387</v>
      </c>
      <c r="N457" s="340">
        <f t="shared" si="170"/>
        <v>0.39542174128326757</v>
      </c>
      <c r="O457" s="341">
        <f t="shared" si="171"/>
        <v>1.0226493831536625</v>
      </c>
      <c r="P457" s="342">
        <f t="shared" si="172"/>
        <v>0.68431249937941452</v>
      </c>
      <c r="Q457" s="343">
        <f t="shared" si="173"/>
        <v>0.67362530978462498</v>
      </c>
      <c r="R457" s="344">
        <f t="shared" si="174"/>
        <v>-149.2078071098816</v>
      </c>
      <c r="S457" s="346">
        <f t="shared" si="175"/>
        <v>30.7921928901184</v>
      </c>
      <c r="U457" s="319">
        <f t="shared" si="181"/>
        <v>1000000000</v>
      </c>
      <c r="V457" s="319">
        <f t="shared" si="182"/>
        <v>2511914161</v>
      </c>
      <c r="X457" s="345">
        <f t="shared" si="176"/>
        <v>24.465551215770059</v>
      </c>
      <c r="Y457" s="346">
        <f t="shared" si="177"/>
        <v>-29.362309167796564</v>
      </c>
      <c r="AA457" s="345">
        <f t="shared" si="178"/>
        <v>38.44957771646159</v>
      </c>
      <c r="AB457" s="346">
        <f t="shared" si="179"/>
        <v>-119.845497942085</v>
      </c>
      <c r="AD457">
        <f t="shared" si="183"/>
        <v>0</v>
      </c>
      <c r="AE457">
        <f t="shared" si="186"/>
        <v>0</v>
      </c>
    </row>
    <row r="458" spans="1:31" x14ac:dyDescent="0.25">
      <c r="A458" s="347">
        <v>50410.75</v>
      </c>
      <c r="B458" s="364">
        <f t="shared" si="180"/>
        <v>50.41075</v>
      </c>
      <c r="C458" s="337">
        <f t="shared" si="161"/>
        <v>11.447150918062421</v>
      </c>
      <c r="D458" s="338">
        <f t="shared" si="162"/>
        <v>1.4833268509551936</v>
      </c>
      <c r="E458" s="338">
        <f t="shared" si="163"/>
        <v>1.0028851771521552</v>
      </c>
      <c r="F458" s="339">
        <f t="shared" si="164"/>
        <v>7.5871698483779323E-2</v>
      </c>
      <c r="G458" s="338">
        <f t="shared" si="165"/>
        <v>1</v>
      </c>
      <c r="H458" s="339">
        <f t="shared" si="166"/>
        <v>0</v>
      </c>
      <c r="I458" s="337">
        <f t="shared" si="167"/>
        <v>36497.009599250057</v>
      </c>
      <c r="J458" s="340">
        <f t="shared" si="168"/>
        <v>1.5707689272898109</v>
      </c>
      <c r="K458" s="348">
        <f t="shared" si="184"/>
        <v>8.6102497302657817</v>
      </c>
      <c r="L458" s="349">
        <f t="shared" si="185"/>
        <v>1.4543929823878055</v>
      </c>
      <c r="M458" s="337">
        <f t="shared" si="169"/>
        <v>1.0845565447588832</v>
      </c>
      <c r="N458" s="340">
        <f t="shared" si="170"/>
        <v>0.39748921476354093</v>
      </c>
      <c r="O458" s="341">
        <f t="shared" si="171"/>
        <v>1.023159685115828</v>
      </c>
      <c r="P458" s="342">
        <f t="shared" si="172"/>
        <v>0.68865996465255941</v>
      </c>
      <c r="Q458" s="343">
        <f t="shared" si="173"/>
        <v>0.61135037475281251</v>
      </c>
      <c r="R458" s="344">
        <f t="shared" si="174"/>
        <v>-149.54085464330126</v>
      </c>
      <c r="S458" s="346">
        <f t="shared" si="175"/>
        <v>30.459145356698741</v>
      </c>
      <c r="U458" s="319">
        <f t="shared" si="181"/>
        <v>1000000000</v>
      </c>
      <c r="V458" s="319">
        <f t="shared" si="182"/>
        <v>2541243715.5625</v>
      </c>
      <c r="X458" s="345">
        <f t="shared" si="176"/>
        <v>24.457349732995759</v>
      </c>
      <c r="Y458" s="346">
        <f t="shared" si="177"/>
        <v>-29.442304921294724</v>
      </c>
      <c r="AA458" s="345">
        <f t="shared" si="178"/>
        <v>38.395504264204078</v>
      </c>
      <c r="AB458" s="346">
        <f t="shared" si="179"/>
        <v>-120.0985497220065</v>
      </c>
      <c r="AD458">
        <f t="shared" si="183"/>
        <v>0</v>
      </c>
      <c r="AE458">
        <f t="shared" si="186"/>
        <v>0</v>
      </c>
    </row>
    <row r="459" spans="1:31" x14ac:dyDescent="0.25">
      <c r="A459" s="347">
        <v>50702.5</v>
      </c>
      <c r="B459" s="364">
        <f t="shared" si="180"/>
        <v>50.702500000000001</v>
      </c>
      <c r="C459" s="337">
        <f t="shared" si="161"/>
        <v>11.512896663959271</v>
      </c>
      <c r="D459" s="338">
        <f t="shared" si="162"/>
        <v>1.4838276224742593</v>
      </c>
      <c r="E459" s="338">
        <f t="shared" si="163"/>
        <v>1.0029186207278145</v>
      </c>
      <c r="F459" s="339">
        <f t="shared" si="164"/>
        <v>7.6309104831198127E-2</v>
      </c>
      <c r="G459" s="338">
        <f t="shared" si="165"/>
        <v>1</v>
      </c>
      <c r="H459" s="339">
        <f t="shared" si="166"/>
        <v>0</v>
      </c>
      <c r="I459" s="337">
        <f t="shared" si="167"/>
        <v>36708.234438051506</v>
      </c>
      <c r="J459" s="340">
        <f t="shared" si="168"/>
        <v>1.5707690849507863</v>
      </c>
      <c r="K459" s="348">
        <f t="shared" si="184"/>
        <v>8.6594109211555157</v>
      </c>
      <c r="L459" s="349">
        <f t="shared" si="185"/>
        <v>1.4550568025388222</v>
      </c>
      <c r="M459" s="337">
        <f t="shared" si="169"/>
        <v>1.0854994381400418</v>
      </c>
      <c r="N459" s="340">
        <f t="shared" si="170"/>
        <v>0.39955310532930782</v>
      </c>
      <c r="O459" s="341">
        <f t="shared" si="171"/>
        <v>1.0236784820114679</v>
      </c>
      <c r="P459" s="342">
        <f t="shared" si="172"/>
        <v>0.69301179364198062</v>
      </c>
      <c r="Q459" s="343">
        <f t="shared" si="173"/>
        <v>0.54927261892809254</v>
      </c>
      <c r="R459" s="344">
        <f t="shared" si="174"/>
        <v>-149.87405379393684</v>
      </c>
      <c r="S459" s="346">
        <f t="shared" si="175"/>
        <v>30.125946206063162</v>
      </c>
      <c r="U459" s="319">
        <f t="shared" si="181"/>
        <v>1000000000</v>
      </c>
      <c r="V459" s="319">
        <f t="shared" si="182"/>
        <v>2570743506.25</v>
      </c>
      <c r="X459" s="345">
        <f t="shared" si="176"/>
        <v>24.449129387523485</v>
      </c>
      <c r="Y459" s="346">
        <f t="shared" si="177"/>
        <v>-29.522532080481191</v>
      </c>
      <c r="AA459" s="345">
        <f t="shared" si="178"/>
        <v>38.341646853851628</v>
      </c>
      <c r="AB459" s="346">
        <f t="shared" si="179"/>
        <v>-120.35152171345558</v>
      </c>
      <c r="AD459">
        <f t="shared" si="183"/>
        <v>0</v>
      </c>
      <c r="AE459">
        <f t="shared" si="186"/>
        <v>0</v>
      </c>
    </row>
    <row r="460" spans="1:31" x14ac:dyDescent="0.25">
      <c r="A460" s="347">
        <v>50994.25</v>
      </c>
      <c r="B460" s="364">
        <f t="shared" si="180"/>
        <v>50.994250000000001</v>
      </c>
      <c r="C460" s="337">
        <f t="shared" si="161"/>
        <v>11.578645264181988</v>
      </c>
      <c r="D460" s="338">
        <f t="shared" si="162"/>
        <v>1.4843227069179059</v>
      </c>
      <c r="E460" s="338">
        <f t="shared" si="163"/>
        <v>1.0029522561733717</v>
      </c>
      <c r="F460" s="339">
        <f t="shared" si="164"/>
        <v>7.674648192419195E-2</v>
      </c>
      <c r="G460" s="338">
        <f t="shared" si="165"/>
        <v>1</v>
      </c>
      <c r="H460" s="339">
        <f t="shared" si="166"/>
        <v>0</v>
      </c>
      <c r="I460" s="337">
        <f t="shared" si="167"/>
        <v>36919.459276853864</v>
      </c>
      <c r="J460" s="340">
        <f t="shared" si="168"/>
        <v>1.5707692408077314</v>
      </c>
      <c r="K460" s="348">
        <f t="shared" si="184"/>
        <v>8.7085758847941186</v>
      </c>
      <c r="L460" s="349">
        <f t="shared" si="185"/>
        <v>1.4557131276765281</v>
      </c>
      <c r="M460" s="337">
        <f t="shared" si="169"/>
        <v>1.0864469473254064</v>
      </c>
      <c r="N460" s="340">
        <f t="shared" si="170"/>
        <v>0.40161340474913104</v>
      </c>
      <c r="O460" s="341">
        <f t="shared" si="171"/>
        <v>1.0242058614010485</v>
      </c>
      <c r="P460" s="342">
        <f t="shared" si="172"/>
        <v>0.69736795322730094</v>
      </c>
      <c r="Q460" s="343">
        <f t="shared" si="173"/>
        <v>0.48738813667737235</v>
      </c>
      <c r="R460" s="344">
        <f t="shared" si="174"/>
        <v>-150.20740047193669</v>
      </c>
      <c r="S460" s="346">
        <f t="shared" si="175"/>
        <v>29.792599528063306</v>
      </c>
      <c r="U460" s="319">
        <f t="shared" si="181"/>
        <v>1000000000</v>
      </c>
      <c r="V460" s="319">
        <f t="shared" si="182"/>
        <v>2600413533.0625</v>
      </c>
      <c r="X460" s="345">
        <f t="shared" si="176"/>
        <v>24.440890097555418</v>
      </c>
      <c r="Y460" s="346">
        <f t="shared" si="177"/>
        <v>-29.602982811428525</v>
      </c>
      <c r="AA460" s="345">
        <f t="shared" si="178"/>
        <v>38.288001661568984</v>
      </c>
      <c r="AB460" s="346">
        <f t="shared" si="179"/>
        <v>-120.60441766050815</v>
      </c>
      <c r="AD460">
        <f t="shared" si="183"/>
        <v>0</v>
      </c>
      <c r="AE460">
        <f t="shared" si="186"/>
        <v>0</v>
      </c>
    </row>
    <row r="461" spans="1:31" x14ac:dyDescent="0.25">
      <c r="A461" s="347">
        <v>51286</v>
      </c>
      <c r="B461" s="364">
        <f t="shared" si="180"/>
        <v>51.286000000000001</v>
      </c>
      <c r="C461" s="337">
        <f t="shared" ref="C461:C524" si="187">SQRT(1+(A461/pole1)^2)</f>
        <v>11.644396670380804</v>
      </c>
      <c r="D461" s="338">
        <f t="shared" ref="D461:D524" si="188">ATAN(A461/pole1)</f>
        <v>1.4848122003795043</v>
      </c>
      <c r="E461" s="338">
        <f t="shared" ref="E461:E524" si="189">SQRT(1+(A461/Zero1)^2)</f>
        <v>1.0029860834695234</v>
      </c>
      <c r="F461" s="339">
        <f t="shared" ref="F461:F524" si="190">ATAN(A461/Zero1)</f>
        <v>7.7183829598373069E-2</v>
      </c>
      <c r="G461" s="338">
        <f t="shared" ref="G461:G524" si="191">IF(VIN_nom&gt;Vout, 1, SQRT(1+(A461/z_RHP)^2))</f>
        <v>1</v>
      </c>
      <c r="H461" s="339">
        <f t="shared" ref="H461:H524" si="192">IF(VIN_nom&gt;Vout, 0, -ATAN(A461/z_RHP))</f>
        <v>0</v>
      </c>
      <c r="I461" s="337">
        <f t="shared" ref="I461:I524" si="193">SQRT(1+(A461/Pole2)^2)</f>
        <v>37130.684115657103</v>
      </c>
      <c r="J461" s="340">
        <f t="shared" ref="J461:J524" si="194">ATAN(A461/Pole2)</f>
        <v>1.5707693948914336</v>
      </c>
      <c r="K461" s="348">
        <f t="shared" si="184"/>
        <v>8.757744557642269</v>
      </c>
      <c r="L461" s="349">
        <f t="shared" si="185"/>
        <v>1.4563620834686002</v>
      </c>
      <c r="M461" s="337">
        <f t="shared" ref="M461:M524" si="195">SQRT(1+(A461/pole4)^2)</f>
        <v>1.0873990602489829</v>
      </c>
      <c r="N461" s="340">
        <f t="shared" ref="N461:N524" si="196">ATAN(A461/pole4)</f>
        <v>0.403670104942143</v>
      </c>
      <c r="O461" s="341">
        <f t="shared" ref="O461:O524" si="197">SQRT((1-(V461/pterm2))^2+(A461/pterm1)^2)</f>
        <v>1.0247419110300835</v>
      </c>
      <c r="P461" s="342">
        <f t="shared" ref="P461:P524" si="198">IF((ATAN((A461/pterm1)/(1-A461^2/pterm2))&gt;0),ATAN((A461/pterm1)/(1-A461^2/pterm2)),PI()+ATAN((A461/pterm1)/(1-A461^2/pterm2)))</f>
        <v>0.70172840930902969</v>
      </c>
      <c r="Q461" s="343">
        <f t="shared" ref="Q461:Q524" si="199">20*LOG10(((E461*K461*G461)/(C461*I461*O461*M461))*Adc)</f>
        <v>0.42569308416631618</v>
      </c>
      <c r="R461" s="344">
        <f t="shared" ref="R461:R524" si="200">((F461+L461+H461)-(D461+J461+P461+N461))*radconv</f>
        <v>-150.54089057724423</v>
      </c>
      <c r="S461" s="346">
        <f t="shared" ref="S461:S524" si="201">IF(R461&gt;0,R461,R461+180)</f>
        <v>29.459109422755773</v>
      </c>
      <c r="U461" s="319">
        <f t="shared" si="181"/>
        <v>1000000000</v>
      </c>
      <c r="V461" s="319">
        <f t="shared" si="182"/>
        <v>2630253796</v>
      </c>
      <c r="X461" s="345">
        <f t="shared" ref="X461:X524" si="202">20*LOG10((K461/(I461*M461))*AEA)</f>
        <v>24.432631788628068</v>
      </c>
      <c r="Y461" s="346">
        <f t="shared" ref="Y461:Y524" si="203">(L461-(J461+N461))*radconv</f>
        <v>-29.683649452673546</v>
      </c>
      <c r="AA461" s="345">
        <f t="shared" ref="AA461:AA524" si="204">20*LOG10((E461*G461/(C461*O461))*Acs*Am)</f>
        <v>38.234564917985274</v>
      </c>
      <c r="AB461" s="346">
        <f t="shared" ref="AB461:AB524" si="205">(F461+H461-(D461+P461))*radconv</f>
        <v>-120.85724112457069</v>
      </c>
      <c r="AD461">
        <f t="shared" si="183"/>
        <v>0</v>
      </c>
      <c r="AE461">
        <f t="shared" si="186"/>
        <v>0</v>
      </c>
    </row>
    <row r="462" spans="1:31" x14ac:dyDescent="0.25">
      <c r="A462" s="347">
        <v>51584.75</v>
      </c>
      <c r="B462" s="364">
        <f t="shared" ref="B462:B525" si="206">A462/1000</f>
        <v>51.58475</v>
      </c>
      <c r="C462" s="337">
        <f t="shared" si="187"/>
        <v>11.711728517994766</v>
      </c>
      <c r="D462" s="338">
        <f t="shared" si="188"/>
        <v>1.4853077426389176</v>
      </c>
      <c r="E462" s="338">
        <f t="shared" si="189"/>
        <v>1.0030209211790786</v>
      </c>
      <c r="F462" s="339">
        <f t="shared" si="190"/>
        <v>7.7631639960937221E-2</v>
      </c>
      <c r="G462" s="338">
        <f t="shared" si="191"/>
        <v>1</v>
      </c>
      <c r="H462" s="339">
        <f t="shared" si="192"/>
        <v>0</v>
      </c>
      <c r="I462" s="337">
        <f t="shared" si="193"/>
        <v>37346.976902607348</v>
      </c>
      <c r="J462" s="340">
        <f t="shared" si="194"/>
        <v>1.5707695508659445</v>
      </c>
      <c r="K462" s="348">
        <f t="shared" si="184"/>
        <v>8.8080967204639737</v>
      </c>
      <c r="L462" s="349">
        <f t="shared" si="185"/>
        <v>1.4570191014091696</v>
      </c>
      <c r="M462" s="337">
        <f t="shared" si="195"/>
        <v>1.0883787754855363</v>
      </c>
      <c r="N462" s="340">
        <f t="shared" si="196"/>
        <v>0.4057724137594102</v>
      </c>
      <c r="O462" s="341">
        <f t="shared" si="197"/>
        <v>1.0252998987921034</v>
      </c>
      <c r="P462" s="342">
        <f t="shared" si="198"/>
        <v>0.70619790215895217</v>
      </c>
      <c r="Q462" s="343">
        <f t="shared" si="199"/>
        <v>0.36271012355426763</v>
      </c>
      <c r="R462" s="344">
        <f t="shared" si="200"/>
        <v>-150.88252649482143</v>
      </c>
      <c r="S462" s="346">
        <f t="shared" si="201"/>
        <v>29.117473505178566</v>
      </c>
      <c r="U462" s="319">
        <f t="shared" ref="U462:U525" si="207">IF(Q462&lt;0,A462,1000000000)</f>
        <v>1000000000</v>
      </c>
      <c r="V462" s="319">
        <f t="shared" ref="V462:V525" si="208">A462^2</f>
        <v>2660986432.5625</v>
      </c>
      <c r="X462" s="345">
        <f t="shared" si="202"/>
        <v>24.424155557632709</v>
      </c>
      <c r="Y462" s="346">
        <f t="shared" si="203"/>
        <v>-29.766467456852922</v>
      </c>
      <c r="AA462" s="345">
        <f t="shared" si="204"/>
        <v>38.180058188368584</v>
      </c>
      <c r="AB462" s="346">
        <f t="shared" si="205"/>
        <v>-121.11605903796845</v>
      </c>
      <c r="AD462">
        <f t="shared" ref="AD462:AD525" si="209">SUM((Q463&lt;0)*(Q462&gt;0))*A462</f>
        <v>0</v>
      </c>
      <c r="AE462">
        <f t="shared" si="186"/>
        <v>0</v>
      </c>
    </row>
    <row r="463" spans="1:31" x14ac:dyDescent="0.25">
      <c r="A463" s="347">
        <v>51883.5</v>
      </c>
      <c r="B463" s="364">
        <f t="shared" si="206"/>
        <v>51.883499999999998</v>
      </c>
      <c r="C463" s="337">
        <f t="shared" si="187"/>
        <v>11.779063208686063</v>
      </c>
      <c r="D463" s="338">
        <f t="shared" si="188"/>
        <v>1.4857976195101037</v>
      </c>
      <c r="E463" s="338">
        <f t="shared" si="189"/>
        <v>1.0030559600145568</v>
      </c>
      <c r="F463" s="339">
        <f t="shared" si="190"/>
        <v>7.8079419127392385E-2</v>
      </c>
      <c r="G463" s="338">
        <f t="shared" si="191"/>
        <v>1</v>
      </c>
      <c r="H463" s="339">
        <f t="shared" si="192"/>
        <v>0</v>
      </c>
      <c r="I463" s="337">
        <f t="shared" si="193"/>
        <v>37563.269689558489</v>
      </c>
      <c r="J463" s="340">
        <f t="shared" si="194"/>
        <v>1.5707697050442242</v>
      </c>
      <c r="K463" s="348">
        <f t="shared" si="184"/>
        <v>8.8584526422743295</v>
      </c>
      <c r="L463" s="349">
        <f t="shared" si="185"/>
        <v>1.4576686499834293</v>
      </c>
      <c r="M463" s="337">
        <f t="shared" si="195"/>
        <v>1.0893632923676739</v>
      </c>
      <c r="N463" s="340">
        <f t="shared" si="196"/>
        <v>0.40787093189582879</v>
      </c>
      <c r="O463" s="341">
        <f t="shared" si="197"/>
        <v>1.0258671646187234</v>
      </c>
      <c r="P463" s="342">
        <f t="shared" si="198"/>
        <v>0.71067182463382472</v>
      </c>
      <c r="Q463" s="343">
        <f t="shared" si="199"/>
        <v>0.29991782710264164</v>
      </c>
      <c r="R463" s="344">
        <f t="shared" si="200"/>
        <v>-151.22430406601845</v>
      </c>
      <c r="S463" s="346">
        <f t="shared" si="201"/>
        <v>28.775695933981552</v>
      </c>
      <c r="U463" s="319">
        <f t="shared" si="207"/>
        <v>1000000000</v>
      </c>
      <c r="V463" s="319">
        <f t="shared" si="208"/>
        <v>2691897572.25</v>
      </c>
      <c r="X463" s="345">
        <f t="shared" si="202"/>
        <v>24.415659248518025</v>
      </c>
      <c r="Y463" s="346">
        <f t="shared" si="203"/>
        <v>-29.849496131267138</v>
      </c>
      <c r="AA463" s="345">
        <f t="shared" si="204"/>
        <v>38.125762201031641</v>
      </c>
      <c r="AB463" s="346">
        <f t="shared" si="205"/>
        <v>-121.3748079347513</v>
      </c>
      <c r="AD463">
        <f t="shared" si="209"/>
        <v>0</v>
      </c>
      <c r="AE463">
        <f t="shared" si="186"/>
        <v>0</v>
      </c>
    </row>
    <row r="464" spans="1:31" x14ac:dyDescent="0.25">
      <c r="A464" s="347">
        <v>52182.25</v>
      </c>
      <c r="B464" s="364">
        <f t="shared" si="206"/>
        <v>52.182250000000003</v>
      </c>
      <c r="C464" s="337">
        <f t="shared" si="187"/>
        <v>11.846400693974719</v>
      </c>
      <c r="D464" s="338">
        <f t="shared" si="188"/>
        <v>1.4862819273657639</v>
      </c>
      <c r="E464" s="338">
        <f t="shared" si="189"/>
        <v>1.0030911999548819</v>
      </c>
      <c r="F464" s="339">
        <f t="shared" si="190"/>
        <v>7.8527166921452146E-2</v>
      </c>
      <c r="G464" s="338">
        <f t="shared" si="191"/>
        <v>1</v>
      </c>
      <c r="H464" s="339">
        <f t="shared" si="192"/>
        <v>0</v>
      </c>
      <c r="I464" s="337">
        <f t="shared" si="193"/>
        <v>37779.562476510502</v>
      </c>
      <c r="J464" s="340">
        <f t="shared" si="194"/>
        <v>1.5707698574571234</v>
      </c>
      <c r="K464" s="348">
        <f t="shared" si="184"/>
        <v>8.9088122593317305</v>
      </c>
      <c r="L464" s="349">
        <f t="shared" si="185"/>
        <v>1.4583108553067801</v>
      </c>
      <c r="M464" s="337">
        <f t="shared" si="195"/>
        <v>1.0903525978886828</v>
      </c>
      <c r="N464" s="340">
        <f t="shared" si="196"/>
        <v>0.40996565116187939</v>
      </c>
      <c r="O464" s="341">
        <f t="shared" si="197"/>
        <v>1.0264438032752241</v>
      </c>
      <c r="P464" s="342">
        <f t="shared" si="198"/>
        <v>0.71515013692466989</v>
      </c>
      <c r="Q464" s="343">
        <f t="shared" si="199"/>
        <v>0.23731226074707612</v>
      </c>
      <c r="R464" s="344">
        <f t="shared" si="200"/>
        <v>-151.56621884846103</v>
      </c>
      <c r="S464" s="346">
        <f t="shared" si="201"/>
        <v>28.433781151538966</v>
      </c>
      <c r="U464" s="319">
        <f t="shared" si="207"/>
        <v>1000000000</v>
      </c>
      <c r="V464" s="319">
        <f t="shared" si="208"/>
        <v>2722987215.0625</v>
      </c>
      <c r="X464" s="345">
        <f t="shared" si="202"/>
        <v>24.407142803594503</v>
      </c>
      <c r="Y464" s="346">
        <f t="shared" si="203"/>
        <v>-29.932727782578713</v>
      </c>
      <c r="AA464" s="345">
        <f t="shared" si="204"/>
        <v>38.071673079599599</v>
      </c>
      <c r="AB464" s="346">
        <f t="shared" si="205"/>
        <v>-121.63349106588237</v>
      </c>
      <c r="AD464">
        <f t="shared" si="209"/>
        <v>0</v>
      </c>
      <c r="AE464">
        <f t="shared" si="186"/>
        <v>0</v>
      </c>
    </row>
    <row r="465" spans="1:31" x14ac:dyDescent="0.25">
      <c r="A465" s="347">
        <v>52481</v>
      </c>
      <c r="B465" s="364">
        <f t="shared" si="206"/>
        <v>52.481000000000002</v>
      </c>
      <c r="C465" s="337">
        <f t="shared" si="187"/>
        <v>11.913740926474818</v>
      </c>
      <c r="D465" s="338">
        <f t="shared" si="188"/>
        <v>1.4867607604102691</v>
      </c>
      <c r="E465" s="338">
        <f t="shared" si="189"/>
        <v>1.0031266409788593</v>
      </c>
      <c r="F465" s="339">
        <f t="shared" si="190"/>
        <v>7.8974883166905097E-2</v>
      </c>
      <c r="G465" s="338">
        <f t="shared" si="191"/>
        <v>1</v>
      </c>
      <c r="H465" s="339">
        <f t="shared" si="192"/>
        <v>0</v>
      </c>
      <c r="I465" s="337">
        <f t="shared" si="193"/>
        <v>37995.855263463396</v>
      </c>
      <c r="J465" s="340">
        <f t="shared" si="194"/>
        <v>1.5707700081347906</v>
      </c>
      <c r="K465" s="348">
        <f t="shared" si="184"/>
        <v>8.95917550932311</v>
      </c>
      <c r="L465" s="349">
        <f t="shared" si="185"/>
        <v>1.4589458406833757</v>
      </c>
      <c r="M465" s="337">
        <f t="shared" si="195"/>
        <v>1.0913466790258628</v>
      </c>
      <c r="N465" s="340">
        <f t="shared" si="196"/>
        <v>0.41205656353101544</v>
      </c>
      <c r="O465" s="341">
        <f t="shared" si="197"/>
        <v>1.0270299096948761</v>
      </c>
      <c r="P465" s="342">
        <f t="shared" si="198"/>
        <v>0.71963279814416126</v>
      </c>
      <c r="Q465" s="343">
        <f t="shared" si="199"/>
        <v>0.17488955290086061</v>
      </c>
      <c r="R465" s="344">
        <f t="shared" si="200"/>
        <v>-151.90826638411949</v>
      </c>
      <c r="S465" s="346">
        <f t="shared" si="201"/>
        <v>28.091733615880514</v>
      </c>
      <c r="U465" s="319">
        <f t="shared" si="207"/>
        <v>1000000000</v>
      </c>
      <c r="V465" s="319">
        <f t="shared" si="208"/>
        <v>2754255361</v>
      </c>
      <c r="X465" s="345">
        <f t="shared" si="202"/>
        <v>24.398606172159148</v>
      </c>
      <c r="Y465" s="346">
        <f t="shared" si="203"/>
        <v>-30.016154887820175</v>
      </c>
      <c r="AA465" s="345">
        <f t="shared" si="204"/>
        <v>38.017787003188744</v>
      </c>
      <c r="AB465" s="346">
        <f t="shared" si="205"/>
        <v>-121.89211149629935</v>
      </c>
      <c r="AD465">
        <f t="shared" si="209"/>
        <v>0</v>
      </c>
      <c r="AE465">
        <f t="shared" si="186"/>
        <v>0</v>
      </c>
    </row>
    <row r="466" spans="1:31" x14ac:dyDescent="0.25">
      <c r="A466" s="347">
        <v>52786.5</v>
      </c>
      <c r="B466" s="364">
        <f t="shared" si="206"/>
        <v>52.786499999999997</v>
      </c>
      <c r="C466" s="337">
        <f t="shared" si="187"/>
        <v>11.982605446527902</v>
      </c>
      <c r="D466" s="338">
        <f t="shared" si="188"/>
        <v>1.4872448464666006</v>
      </c>
      <c r="E466" s="338">
        <f t="shared" si="189"/>
        <v>1.0031630906901146</v>
      </c>
      <c r="F466" s="339">
        <f t="shared" si="190"/>
        <v>7.9432682367497814E-2</v>
      </c>
      <c r="G466" s="338">
        <f t="shared" si="191"/>
        <v>1</v>
      </c>
      <c r="H466" s="339">
        <f t="shared" si="192"/>
        <v>0</v>
      </c>
      <c r="I466" s="337">
        <f t="shared" si="193"/>
        <v>38217.035000415257</v>
      </c>
      <c r="J466" s="340">
        <f t="shared" si="194"/>
        <v>1.5707701604531041</v>
      </c>
      <c r="K466" s="348">
        <f t="shared" si="184"/>
        <v>9.0106803672642037</v>
      </c>
      <c r="L466" s="349">
        <f t="shared" si="185"/>
        <v>1.4595878321383815</v>
      </c>
      <c r="M466" s="337">
        <f t="shared" si="195"/>
        <v>1.0923681456753533</v>
      </c>
      <c r="N466" s="340">
        <f t="shared" si="196"/>
        <v>0.41419077318961217</v>
      </c>
      <c r="O466" s="341">
        <f t="shared" si="197"/>
        <v>1.0276391488207726</v>
      </c>
      <c r="P466" s="342">
        <f t="shared" si="198"/>
        <v>0.72422119494645154</v>
      </c>
      <c r="Q466" s="343">
        <f t="shared" si="199"/>
        <v>0.11124159017702986</v>
      </c>
      <c r="R466" s="344">
        <f t="shared" si="200"/>
        <v>-152.25817481428726</v>
      </c>
      <c r="S466" s="346">
        <f t="shared" si="201"/>
        <v>27.741825185712742</v>
      </c>
      <c r="U466" s="319">
        <f t="shared" si="207"/>
        <v>1000000000</v>
      </c>
      <c r="V466" s="319">
        <f t="shared" si="208"/>
        <v>2786414582.25</v>
      </c>
      <c r="X466" s="345">
        <f t="shared" si="202"/>
        <v>24.389855741279867</v>
      </c>
      <c r="Y466" s="346">
        <f t="shared" si="203"/>
        <v>-30.101661420292746</v>
      </c>
      <c r="AA466" s="345">
        <f t="shared" si="204"/>
        <v>37.962889471344184</v>
      </c>
      <c r="AB466" s="346">
        <f t="shared" si="205"/>
        <v>-122.15651339399453</v>
      </c>
      <c r="AD466">
        <f t="shared" si="209"/>
        <v>0</v>
      </c>
      <c r="AE466">
        <f t="shared" si="186"/>
        <v>0</v>
      </c>
    </row>
    <row r="467" spans="1:31" x14ac:dyDescent="0.25">
      <c r="A467" s="347">
        <v>53092</v>
      </c>
      <c r="B467" s="364">
        <f t="shared" si="206"/>
        <v>53.091999999999999</v>
      </c>
      <c r="C467" s="337">
        <f t="shared" si="187"/>
        <v>12.051472742485203</v>
      </c>
      <c r="D467" s="338">
        <f t="shared" si="188"/>
        <v>1.4877234000823594</v>
      </c>
      <c r="E467" s="338">
        <f t="shared" si="189"/>
        <v>1.0031997506290955</v>
      </c>
      <c r="F467" s="339">
        <f t="shared" si="190"/>
        <v>7.9890448205301376E-2</v>
      </c>
      <c r="G467" s="338">
        <f t="shared" si="191"/>
        <v>1</v>
      </c>
      <c r="H467" s="339">
        <f t="shared" si="192"/>
        <v>0</v>
      </c>
      <c r="I467" s="337">
        <f t="shared" si="193"/>
        <v>38438.214737367998</v>
      </c>
      <c r="J467" s="340">
        <f t="shared" si="194"/>
        <v>1.570770311018489</v>
      </c>
      <c r="K467" s="348">
        <f t="shared" si="184"/>
        <v>9.0621888967691593</v>
      </c>
      <c r="L467" s="349">
        <f t="shared" si="185"/>
        <v>1.4602225258285562</v>
      </c>
      <c r="M467" s="337">
        <f t="shared" si="195"/>
        <v>1.0933945785891124</v>
      </c>
      <c r="N467" s="340">
        <f t="shared" si="196"/>
        <v>0.41632098552306163</v>
      </c>
      <c r="O467" s="341">
        <f t="shared" si="197"/>
        <v>1.0282584896593259</v>
      </c>
      <c r="P467" s="342">
        <f t="shared" si="198"/>
        <v>0.72881404949033779</v>
      </c>
      <c r="Q467" s="343">
        <f t="shared" si="199"/>
        <v>4.7776848400044203E-2</v>
      </c>
      <c r="R467" s="344">
        <f t="shared" si="200"/>
        <v>-152.60821258111557</v>
      </c>
      <c r="S467" s="346">
        <f t="shared" si="201"/>
        <v>27.391787418884434</v>
      </c>
      <c r="U467" s="319">
        <f t="shared" si="207"/>
        <v>1000000000</v>
      </c>
      <c r="V467" s="319">
        <f t="shared" si="208"/>
        <v>2818760464</v>
      </c>
      <c r="X467" s="345">
        <f t="shared" si="202"/>
        <v>24.381084115457821</v>
      </c>
      <c r="Y467" s="346">
        <f t="shared" si="203"/>
        <v>-30.187356953594534</v>
      </c>
      <c r="AA467" s="345">
        <f t="shared" si="204"/>
        <v>37.908196355389251</v>
      </c>
      <c r="AB467" s="346">
        <f t="shared" si="205"/>
        <v>-122.42085562752101</v>
      </c>
      <c r="AD467">
        <f t="shared" si="209"/>
        <v>53092</v>
      </c>
      <c r="AE467">
        <f t="shared" si="186"/>
        <v>27.391787418884434</v>
      </c>
    </row>
    <row r="468" spans="1:31" x14ac:dyDescent="0.25">
      <c r="A468" s="347">
        <v>53397.5</v>
      </c>
      <c r="B468" s="364">
        <f t="shared" si="206"/>
        <v>53.397500000000001</v>
      </c>
      <c r="C468" s="337">
        <f t="shared" si="187"/>
        <v>12.120342767028994</v>
      </c>
      <c r="D468" s="338">
        <f t="shared" si="188"/>
        <v>1.4881965153455101</v>
      </c>
      <c r="E468" s="338">
        <f t="shared" si="189"/>
        <v>1.0032366207727559</v>
      </c>
      <c r="F468" s="339">
        <f t="shared" si="190"/>
        <v>8.0348180492134449E-2</v>
      </c>
      <c r="G468" s="338">
        <f t="shared" si="191"/>
        <v>1</v>
      </c>
      <c r="H468" s="339">
        <f t="shared" si="192"/>
        <v>0</v>
      </c>
      <c r="I468" s="337">
        <f t="shared" si="193"/>
        <v>38659.394474321605</v>
      </c>
      <c r="J468" s="340">
        <f t="shared" si="194"/>
        <v>1.5707704598610321</v>
      </c>
      <c r="K468" s="348">
        <f t="shared" si="184"/>
        <v>9.1137010355854855</v>
      </c>
      <c r="L468" s="349">
        <f t="shared" si="185"/>
        <v>1.4608500449826651</v>
      </c>
      <c r="M468" s="337">
        <f t="shared" si="195"/>
        <v>1.0944259637939593</v>
      </c>
      <c r="N468" s="340">
        <f t="shared" si="196"/>
        <v>0.41844719247259909</v>
      </c>
      <c r="O468" s="341">
        <f t="shared" si="197"/>
        <v>1.0288880342096562</v>
      </c>
      <c r="P468" s="342">
        <f t="shared" si="198"/>
        <v>0.73341131455792796</v>
      </c>
      <c r="Q468" s="343">
        <f t="shared" si="199"/>
        <v>-1.5508617883755389E-2</v>
      </c>
      <c r="R468" s="344">
        <f t="shared" si="200"/>
        <v>-152.95837486034623</v>
      </c>
      <c r="S468" s="346">
        <f t="shared" si="201"/>
        <v>27.041625139653775</v>
      </c>
      <c r="U468" s="319">
        <f t="shared" si="207"/>
        <v>53397.5</v>
      </c>
      <c r="V468" s="319">
        <f t="shared" si="208"/>
        <v>2851293006.25</v>
      </c>
      <c r="X468" s="345">
        <f t="shared" si="202"/>
        <v>24.372291261560214</v>
      </c>
      <c r="Y468" s="346">
        <f t="shared" si="203"/>
        <v>-30.273233967228013</v>
      </c>
      <c r="AA468" s="345">
        <f t="shared" si="204"/>
        <v>37.853703743003059</v>
      </c>
      <c r="AB468" s="346">
        <f t="shared" si="205"/>
        <v>-122.68514089311822</v>
      </c>
      <c r="AD468">
        <f t="shared" si="209"/>
        <v>0</v>
      </c>
      <c r="AE468">
        <f t="shared" si="186"/>
        <v>0</v>
      </c>
    </row>
    <row r="469" spans="1:31" x14ac:dyDescent="0.25">
      <c r="A469" s="347">
        <v>53703</v>
      </c>
      <c r="B469" s="364">
        <f t="shared" si="206"/>
        <v>53.703000000000003</v>
      </c>
      <c r="C469" s="337">
        <f t="shared" si="187"/>
        <v>12.189215473909098</v>
      </c>
      <c r="D469" s="338">
        <f t="shared" si="188"/>
        <v>1.4886642842273827</v>
      </c>
      <c r="E469" s="338">
        <f t="shared" si="189"/>
        <v>1.0032737010979205</v>
      </c>
      <c r="F469" s="339">
        <f t="shared" si="190"/>
        <v>8.0805879039899595E-2</v>
      </c>
      <c r="G469" s="338">
        <f t="shared" si="191"/>
        <v>1</v>
      </c>
      <c r="H469" s="339">
        <f t="shared" si="192"/>
        <v>0</v>
      </c>
      <c r="I469" s="337">
        <f t="shared" si="193"/>
        <v>38880.574211276064</v>
      </c>
      <c r="J469" s="340">
        <f t="shared" si="194"/>
        <v>1.5707706070101353</v>
      </c>
      <c r="K469" s="348">
        <f t="shared" si="184"/>
        <v>9.16521672285592</v>
      </c>
      <c r="L469" s="349">
        <f t="shared" si="185"/>
        <v>1.4614705100817991</v>
      </c>
      <c r="M469" s="337">
        <f t="shared" si="195"/>
        <v>1.0954622873020472</v>
      </c>
      <c r="N469" s="340">
        <f t="shared" si="196"/>
        <v>0.42056938615459444</v>
      </c>
      <c r="O469" s="341">
        <f t="shared" si="197"/>
        <v>1.029527884613475</v>
      </c>
      <c r="P469" s="342">
        <f t="shared" si="198"/>
        <v>0.7380129417547775</v>
      </c>
      <c r="Q469" s="343">
        <f t="shared" si="199"/>
        <v>-7.8618691170775787E-2</v>
      </c>
      <c r="R469" s="344">
        <f t="shared" si="200"/>
        <v>-153.3086568064559</v>
      </c>
      <c r="S469" s="346">
        <f t="shared" si="201"/>
        <v>26.6913431935441</v>
      </c>
      <c r="U469" s="319">
        <f t="shared" si="207"/>
        <v>53703</v>
      </c>
      <c r="V469" s="319">
        <f t="shared" si="208"/>
        <v>2884012209</v>
      </c>
      <c r="X469" s="345">
        <f t="shared" si="202"/>
        <v>24.363477153059403</v>
      </c>
      <c r="Y469" s="346">
        <f t="shared" si="203"/>
        <v>-30.359285108121039</v>
      </c>
      <c r="AA469" s="345">
        <f t="shared" si="204"/>
        <v>37.799407778216846</v>
      </c>
      <c r="AB469" s="346">
        <f t="shared" si="205"/>
        <v>-122.94937169833486</v>
      </c>
      <c r="AD469">
        <f t="shared" si="209"/>
        <v>0</v>
      </c>
      <c r="AE469">
        <f t="shared" si="186"/>
        <v>0</v>
      </c>
    </row>
    <row r="470" spans="1:31" x14ac:dyDescent="0.25">
      <c r="A470" s="347">
        <v>54015.75</v>
      </c>
      <c r="B470" s="364">
        <f t="shared" si="206"/>
        <v>54.015749999999997</v>
      </c>
      <c r="C470" s="337">
        <f t="shared" si="187"/>
        <v>12.259725370839986</v>
      </c>
      <c r="D470" s="338">
        <f t="shared" si="188"/>
        <v>1.48913770966756</v>
      </c>
      <c r="E470" s="338">
        <f t="shared" si="189"/>
        <v>1.0033118790963385</v>
      </c>
      <c r="F470" s="339">
        <f t="shared" si="190"/>
        <v>8.1274404354937546E-2</v>
      </c>
      <c r="G470" s="338">
        <f t="shared" si="191"/>
        <v>1</v>
      </c>
      <c r="H470" s="339">
        <f t="shared" si="192"/>
        <v>0</v>
      </c>
      <c r="I470" s="337">
        <f t="shared" si="193"/>
        <v>39107.002894525715</v>
      </c>
      <c r="J470" s="340">
        <f t="shared" si="194"/>
        <v>1.5707707559271211</v>
      </c>
      <c r="K470" s="348">
        <f t="shared" si="184"/>
        <v>9.2179585728236173</v>
      </c>
      <c r="L470" s="349">
        <f t="shared" si="185"/>
        <v>1.4620985156408481</v>
      </c>
      <c r="M470" s="337">
        <f t="shared" si="195"/>
        <v>1.0965283052777066</v>
      </c>
      <c r="N470" s="340">
        <f t="shared" si="196"/>
        <v>0.42273777755430547</v>
      </c>
      <c r="O470" s="341">
        <f t="shared" si="197"/>
        <v>1.0301937020821366</v>
      </c>
      <c r="P470" s="342">
        <f t="shared" si="198"/>
        <v>0.74272823974683266</v>
      </c>
      <c r="Q470" s="343">
        <f t="shared" si="199"/>
        <v>-0.14304876957419191</v>
      </c>
      <c r="R470" s="344">
        <f t="shared" si="200"/>
        <v>-153.66737037725304</v>
      </c>
      <c r="S470" s="346">
        <f t="shared" si="201"/>
        <v>26.332629622746964</v>
      </c>
      <c r="U470" s="319">
        <f t="shared" si="207"/>
        <v>54015.75</v>
      </c>
      <c r="V470" s="319">
        <f t="shared" si="208"/>
        <v>2917701248.0625</v>
      </c>
      <c r="X470" s="345">
        <f t="shared" si="202"/>
        <v>24.354431833564021</v>
      </c>
      <c r="Y470" s="346">
        <f t="shared" si="203"/>
        <v>-30.447551248028326</v>
      </c>
      <c r="AA470" s="345">
        <f t="shared" si="204"/>
        <v>37.744023019308813</v>
      </c>
      <c r="AB470" s="346">
        <f t="shared" si="205"/>
        <v>-123.21981912922473</v>
      </c>
      <c r="AD470">
        <f t="shared" si="209"/>
        <v>0</v>
      </c>
      <c r="AE470">
        <f t="shared" si="186"/>
        <v>0</v>
      </c>
    </row>
    <row r="471" spans="1:31" x14ac:dyDescent="0.25">
      <c r="A471" s="347">
        <v>54328.5</v>
      </c>
      <c r="B471" s="364">
        <f t="shared" si="206"/>
        <v>54.328499999999998</v>
      </c>
      <c r="C471" s="337">
        <f t="shared" si="187"/>
        <v>12.330237984136714</v>
      </c>
      <c r="D471" s="338">
        <f t="shared" si="188"/>
        <v>1.4896057204799769</v>
      </c>
      <c r="E471" s="338">
        <f t="shared" si="189"/>
        <v>1.0033502773209486</v>
      </c>
      <c r="F471" s="339">
        <f t="shared" si="190"/>
        <v>8.1742893911873407E-2</v>
      </c>
      <c r="G471" s="338">
        <f t="shared" si="191"/>
        <v>1</v>
      </c>
      <c r="H471" s="339">
        <f t="shared" si="192"/>
        <v>0</v>
      </c>
      <c r="I471" s="337">
        <f t="shared" si="193"/>
        <v>39333.431577776224</v>
      </c>
      <c r="J471" s="340">
        <f t="shared" si="194"/>
        <v>1.570770903129582</v>
      </c>
      <c r="K471" s="348">
        <f t="shared" ref="K471:K534" si="210">SQRT(1+(A471/Zero2)^2)</f>
        <v>9.2707040169050927</v>
      </c>
      <c r="L471" s="349">
        <f t="shared" ref="L471:L534" si="211">ATAN(A471/Zero2)</f>
        <v>1.4627193753978618</v>
      </c>
      <c r="M471" s="337">
        <f t="shared" si="195"/>
        <v>1.097599469014112</v>
      </c>
      <c r="N471" s="340">
        <f t="shared" si="196"/>
        <v>0.42490194678207044</v>
      </c>
      <c r="O471" s="341">
        <f t="shared" si="197"/>
        <v>1.0308705374037594</v>
      </c>
      <c r="P471" s="342">
        <f t="shared" si="198"/>
        <v>0.74744800295334091</v>
      </c>
      <c r="Q471" s="343">
        <f t="shared" si="199"/>
        <v>-0.20730306916371971</v>
      </c>
      <c r="R471" s="344">
        <f t="shared" si="200"/>
        <v>-154.0261990128931</v>
      </c>
      <c r="S471" s="346">
        <f t="shared" si="201"/>
        <v>25.973800987106898</v>
      </c>
      <c r="U471" s="319">
        <f t="shared" si="207"/>
        <v>54328.5</v>
      </c>
      <c r="V471" s="319">
        <f t="shared" si="208"/>
        <v>2951585912.25</v>
      </c>
      <c r="X471" s="345">
        <f t="shared" si="202"/>
        <v>24.34536420261345</v>
      </c>
      <c r="Y471" s="346">
        <f t="shared" si="203"/>
        <v>-30.535984801365739</v>
      </c>
      <c r="AA471" s="345">
        <f t="shared" si="204"/>
        <v>37.68883635066986</v>
      </c>
      <c r="AB471" s="346">
        <f t="shared" si="205"/>
        <v>-123.49021421152736</v>
      </c>
      <c r="AD471">
        <f t="shared" si="209"/>
        <v>0</v>
      </c>
      <c r="AE471">
        <f t="shared" si="186"/>
        <v>0</v>
      </c>
    </row>
    <row r="472" spans="1:31" x14ac:dyDescent="0.25">
      <c r="A472" s="347">
        <v>54641.25</v>
      </c>
      <c r="B472" s="364">
        <f t="shared" si="206"/>
        <v>54.641249999999999</v>
      </c>
      <c r="C472" s="337">
        <f t="shared" si="187"/>
        <v>12.400753267462241</v>
      </c>
      <c r="D472" s="338">
        <f t="shared" si="188"/>
        <v>1.4900684088265899</v>
      </c>
      <c r="E472" s="338">
        <f t="shared" si="189"/>
        <v>1.0033888957464678</v>
      </c>
      <c r="F472" s="339">
        <f t="shared" si="190"/>
        <v>8.2211347509173804E-2</v>
      </c>
      <c r="G472" s="338">
        <f t="shared" si="191"/>
        <v>1</v>
      </c>
      <c r="H472" s="339">
        <f t="shared" si="192"/>
        <v>0</v>
      </c>
      <c r="I472" s="337">
        <f t="shared" si="193"/>
        <v>39559.86026102757</v>
      </c>
      <c r="J472" s="340">
        <f t="shared" si="194"/>
        <v>1.5707710486469582</v>
      </c>
      <c r="K472" s="348">
        <f t="shared" si="210"/>
        <v>9.3234529941015509</v>
      </c>
      <c r="L472" s="349">
        <f t="shared" si="211"/>
        <v>1.4633332101557601</v>
      </c>
      <c r="M472" s="337">
        <f t="shared" si="195"/>
        <v>1.0986757634605473</v>
      </c>
      <c r="N472" s="340">
        <f t="shared" si="196"/>
        <v>0.42706188594460032</v>
      </c>
      <c r="O472" s="341">
        <f t="shared" si="197"/>
        <v>1.0315585005602379</v>
      </c>
      <c r="P472" s="342">
        <f t="shared" si="198"/>
        <v>0.75217217563099115</v>
      </c>
      <c r="Q472" s="343">
        <f t="shared" si="199"/>
        <v>-0.27138555843325313</v>
      </c>
      <c r="R472" s="344">
        <f t="shared" si="200"/>
        <v>-154.38513743949488</v>
      </c>
      <c r="S472" s="346">
        <f t="shared" si="201"/>
        <v>25.614862560505117</v>
      </c>
      <c r="U472" s="319">
        <f t="shared" si="207"/>
        <v>54641.25</v>
      </c>
      <c r="V472" s="319">
        <f t="shared" si="208"/>
        <v>2985666201.5625</v>
      </c>
      <c r="X472" s="345">
        <f t="shared" si="202"/>
        <v>24.336274251734636</v>
      </c>
      <c r="Y472" s="346">
        <f t="shared" si="203"/>
        <v>-30.62457839607044</v>
      </c>
      <c r="AA472" s="345">
        <f t="shared" si="204"/>
        <v>37.633843812279139</v>
      </c>
      <c r="AB472" s="346">
        <f t="shared" si="205"/>
        <v>-123.76055904342442</v>
      </c>
      <c r="AD472">
        <f t="shared" si="209"/>
        <v>0</v>
      </c>
      <c r="AE472">
        <f t="shared" si="186"/>
        <v>0</v>
      </c>
    </row>
    <row r="473" spans="1:31" x14ac:dyDescent="0.25">
      <c r="A473" s="347">
        <v>54954</v>
      </c>
      <c r="B473" s="364">
        <f t="shared" si="206"/>
        <v>54.954000000000001</v>
      </c>
      <c r="C473" s="337">
        <f t="shared" si="187"/>
        <v>12.471271175525798</v>
      </c>
      <c r="D473" s="338">
        <f t="shared" si="188"/>
        <v>1.4905258647940971</v>
      </c>
      <c r="E473" s="338">
        <f t="shared" si="189"/>
        <v>1.003427734347472</v>
      </c>
      <c r="F473" s="339">
        <f t="shared" si="190"/>
        <v>8.2679764945399373E-2</v>
      </c>
      <c r="G473" s="338">
        <f t="shared" si="191"/>
        <v>1</v>
      </c>
      <c r="H473" s="339">
        <f t="shared" si="192"/>
        <v>0</v>
      </c>
      <c r="I473" s="337">
        <f t="shared" si="193"/>
        <v>39786.288944279753</v>
      </c>
      <c r="J473" s="340">
        <f t="shared" si="194"/>
        <v>1.5707711925080194</v>
      </c>
      <c r="K473" s="348">
        <f t="shared" si="210"/>
        <v>9.3762054447828369</v>
      </c>
      <c r="L473" s="349">
        <f t="shared" si="211"/>
        <v>1.4639401380202659</v>
      </c>
      <c r="M473" s="337">
        <f t="shared" si="195"/>
        <v>1.0997571735532656</v>
      </c>
      <c r="N473" s="340">
        <f t="shared" si="196"/>
        <v>0.42921758733730819</v>
      </c>
      <c r="O473" s="341">
        <f t="shared" si="197"/>
        <v>1.0322577016423988</v>
      </c>
      <c r="P473" s="342">
        <f t="shared" si="198"/>
        <v>0.75690070075276172</v>
      </c>
      <c r="Q473" s="343">
        <f t="shared" si="199"/>
        <v>-0.33530014199674563</v>
      </c>
      <c r="R473" s="344">
        <f t="shared" si="200"/>
        <v>-154.74418035602855</v>
      </c>
      <c r="S473" s="346">
        <f t="shared" si="201"/>
        <v>25.255819643971449</v>
      </c>
      <c r="U473" s="319">
        <f t="shared" si="207"/>
        <v>54954</v>
      </c>
      <c r="V473" s="319">
        <f t="shared" si="208"/>
        <v>3019942116</v>
      </c>
      <c r="X473" s="345">
        <f t="shared" si="202"/>
        <v>24.327161978711299</v>
      </c>
      <c r="Y473" s="346">
        <f t="shared" si="203"/>
        <v>-30.713324825391059</v>
      </c>
      <c r="AA473" s="345">
        <f t="shared" si="204"/>
        <v>37.579041501738978</v>
      </c>
      <c r="AB473" s="346">
        <f t="shared" si="205"/>
        <v>-124.03085553063754</v>
      </c>
      <c r="AD473">
        <f t="shared" si="209"/>
        <v>0</v>
      </c>
      <c r="AE473">
        <f t="shared" si="186"/>
        <v>0</v>
      </c>
    </row>
    <row r="474" spans="1:31" x14ac:dyDescent="0.25">
      <c r="A474" s="347">
        <v>55274</v>
      </c>
      <c r="B474" s="364">
        <f t="shared" si="206"/>
        <v>55.274000000000001</v>
      </c>
      <c r="C474" s="337">
        <f t="shared" si="187"/>
        <v>12.543426461828101</v>
      </c>
      <c r="D474" s="338">
        <f t="shared" si="188"/>
        <v>1.4909886013781011</v>
      </c>
      <c r="E474" s="338">
        <f t="shared" si="189"/>
        <v>1.0034677011477104</v>
      </c>
      <c r="F474" s="339">
        <f t="shared" si="190"/>
        <v>8.3159003341067045E-2</v>
      </c>
      <c r="G474" s="338">
        <f t="shared" si="191"/>
        <v>1</v>
      </c>
      <c r="H474" s="339">
        <f t="shared" si="192"/>
        <v>0</v>
      </c>
      <c r="I474" s="337">
        <f t="shared" si="193"/>
        <v>40017.966573827194</v>
      </c>
      <c r="J474" s="340">
        <f t="shared" si="194"/>
        <v>1.5707713380189612</v>
      </c>
      <c r="K474" s="348">
        <f t="shared" si="210"/>
        <v>9.4301843084149866</v>
      </c>
      <c r="L474" s="349">
        <f t="shared" si="211"/>
        <v>1.4645541068765326</v>
      </c>
      <c r="M474" s="337">
        <f t="shared" si="195"/>
        <v>1.1008689314832603</v>
      </c>
      <c r="N474" s="340">
        <f t="shared" si="196"/>
        <v>0.43141886692029258</v>
      </c>
      <c r="O474" s="341">
        <f t="shared" si="197"/>
        <v>1.0329848578656056</v>
      </c>
      <c r="P474" s="342">
        <f t="shared" si="198"/>
        <v>0.76174328409879499</v>
      </c>
      <c r="Q474" s="343">
        <f t="shared" si="199"/>
        <v>-0.40052657626276639</v>
      </c>
      <c r="R474" s="344">
        <f t="shared" si="200"/>
        <v>-155.11164900253348</v>
      </c>
      <c r="S474" s="346">
        <f t="shared" si="201"/>
        <v>24.888350997466517</v>
      </c>
      <c r="U474" s="319">
        <f t="shared" si="207"/>
        <v>55274</v>
      </c>
      <c r="V474" s="319">
        <f t="shared" si="208"/>
        <v>3055215076</v>
      </c>
      <c r="X474" s="345">
        <f t="shared" si="202"/>
        <v>24.31781536962098</v>
      </c>
      <c r="Y474" s="346">
        <f t="shared" si="203"/>
        <v>-30.804279368074592</v>
      </c>
      <c r="AA474" s="345">
        <f t="shared" si="204"/>
        <v>37.523161676563277</v>
      </c>
      <c r="AB474" s="346">
        <f t="shared" si="205"/>
        <v>-124.30736963445887</v>
      </c>
      <c r="AD474">
        <f t="shared" si="209"/>
        <v>0</v>
      </c>
      <c r="AE474">
        <f t="shared" ref="AE474:AE537" si="212">IF(AD474&gt;0,S474,0)</f>
        <v>0</v>
      </c>
    </row>
    <row r="475" spans="1:31" x14ac:dyDescent="0.25">
      <c r="A475" s="347">
        <v>55594</v>
      </c>
      <c r="B475" s="364">
        <f t="shared" si="206"/>
        <v>55.594000000000001</v>
      </c>
      <c r="C475" s="337">
        <f t="shared" si="187"/>
        <v>12.615584403269313</v>
      </c>
      <c r="D475" s="338">
        <f t="shared" si="188"/>
        <v>1.4914460445874518</v>
      </c>
      <c r="E475" s="338">
        <f t="shared" si="189"/>
        <v>1.0035078983954253</v>
      </c>
      <c r="F475" s="339">
        <f t="shared" si="190"/>
        <v>8.3638203453336335E-2</v>
      </c>
      <c r="G475" s="338">
        <f t="shared" si="191"/>
        <v>1</v>
      </c>
      <c r="H475" s="339">
        <f t="shared" si="192"/>
        <v>0</v>
      </c>
      <c r="I475" s="337">
        <f t="shared" si="193"/>
        <v>40249.644203375457</v>
      </c>
      <c r="J475" s="340">
        <f t="shared" si="194"/>
        <v>1.5707714818547762</v>
      </c>
      <c r="K475" s="348">
        <f t="shared" si="210"/>
        <v>9.4841666863636114</v>
      </c>
      <c r="L475" s="349">
        <f t="shared" si="211"/>
        <v>1.4651610867320373</v>
      </c>
      <c r="M475" s="337">
        <f t="shared" si="195"/>
        <v>1.1019860130402817</v>
      </c>
      <c r="N475" s="340">
        <f t="shared" si="196"/>
        <v>0.43361569426277741</v>
      </c>
      <c r="O475" s="341">
        <f t="shared" si="197"/>
        <v>1.0337240125526939</v>
      </c>
      <c r="P475" s="342">
        <f t="shared" si="198"/>
        <v>0.76659029913118204</v>
      </c>
      <c r="Q475" s="343">
        <f t="shared" si="199"/>
        <v>-0.46558530068351334</v>
      </c>
      <c r="R475" s="344">
        <f t="shared" si="200"/>
        <v>-155.4792157210918</v>
      </c>
      <c r="S475" s="346">
        <f t="shared" si="201"/>
        <v>24.520784278908195</v>
      </c>
      <c r="U475" s="319">
        <f t="shared" si="207"/>
        <v>55594</v>
      </c>
      <c r="V475" s="319">
        <f t="shared" si="208"/>
        <v>3090692836</v>
      </c>
      <c r="X475" s="345">
        <f t="shared" si="202"/>
        <v>24.308445405856208</v>
      </c>
      <c r="Y475" s="346">
        <f t="shared" si="203"/>
        <v>-30.89537916043729</v>
      </c>
      <c r="AA475" s="345">
        <f t="shared" si="204"/>
        <v>37.467472915907308</v>
      </c>
      <c r="AB475" s="346">
        <f t="shared" si="205"/>
        <v>-124.5838365606545</v>
      </c>
      <c r="AD475">
        <f t="shared" si="209"/>
        <v>0</v>
      </c>
      <c r="AE475">
        <f t="shared" si="212"/>
        <v>0</v>
      </c>
    </row>
    <row r="476" spans="1:31" x14ac:dyDescent="0.25">
      <c r="A476" s="347">
        <v>55914</v>
      </c>
      <c r="B476" s="364">
        <f t="shared" si="206"/>
        <v>55.914000000000001</v>
      </c>
      <c r="C476" s="337">
        <f t="shared" si="187"/>
        <v>12.687744954548396</v>
      </c>
      <c r="D476" s="338">
        <f t="shared" si="188"/>
        <v>1.4918982845460087</v>
      </c>
      <c r="E476" s="338">
        <f t="shared" si="189"/>
        <v>1.0035483260629248</v>
      </c>
      <c r="F476" s="339">
        <f t="shared" si="190"/>
        <v>8.4117365066740751E-2</v>
      </c>
      <c r="G476" s="338">
        <f t="shared" si="191"/>
        <v>1</v>
      </c>
      <c r="H476" s="339">
        <f t="shared" si="192"/>
        <v>0</v>
      </c>
      <c r="I476" s="337">
        <f t="shared" si="193"/>
        <v>40481.321832924557</v>
      </c>
      <c r="J476" s="340">
        <f t="shared" si="194"/>
        <v>1.5707716240442249</v>
      </c>
      <c r="K476" s="348">
        <f t="shared" si="210"/>
        <v>9.5381525189595546</v>
      </c>
      <c r="L476" s="349">
        <f t="shared" si="211"/>
        <v>1.4657611958086758</v>
      </c>
      <c r="M476" s="337">
        <f t="shared" si="195"/>
        <v>1.1031084020511446</v>
      </c>
      <c r="N476" s="340">
        <f t="shared" si="196"/>
        <v>0.43580806171894704</v>
      </c>
      <c r="O476" s="341">
        <f t="shared" si="197"/>
        <v>1.0344752839026656</v>
      </c>
      <c r="P476" s="342">
        <f t="shared" si="198"/>
        <v>0.77144168061339202</v>
      </c>
      <c r="Q476" s="343">
        <f t="shared" si="199"/>
        <v>-0.53048029795954155</v>
      </c>
      <c r="R476" s="344">
        <f t="shared" si="200"/>
        <v>-155.84687473994694</v>
      </c>
      <c r="S476" s="346">
        <f t="shared" si="201"/>
        <v>24.153125260053059</v>
      </c>
      <c r="U476" s="319">
        <f t="shared" si="207"/>
        <v>55914</v>
      </c>
      <c r="V476" s="319">
        <f t="shared" si="208"/>
        <v>3126375396</v>
      </c>
      <c r="X476" s="345">
        <f t="shared" si="202"/>
        <v>24.299052103914015</v>
      </c>
      <c r="Y476" s="346">
        <f t="shared" si="203"/>
        <v>-30.986616992438307</v>
      </c>
      <c r="AA476" s="345">
        <f t="shared" si="204"/>
        <v>37.411971220573463</v>
      </c>
      <c r="AB476" s="346">
        <f t="shared" si="205"/>
        <v>-124.86025774750864</v>
      </c>
      <c r="AD476">
        <f t="shared" si="209"/>
        <v>0</v>
      </c>
      <c r="AE476">
        <f t="shared" si="212"/>
        <v>0</v>
      </c>
    </row>
    <row r="477" spans="1:31" x14ac:dyDescent="0.25">
      <c r="A477" s="347">
        <v>56234</v>
      </c>
      <c r="B477" s="364">
        <f t="shared" si="206"/>
        <v>56.234000000000002</v>
      </c>
      <c r="C477" s="337">
        <f t="shared" si="187"/>
        <v>12.759908071387441</v>
      </c>
      <c r="D477" s="338">
        <f t="shared" si="188"/>
        <v>1.4923454093474895</v>
      </c>
      <c r="E477" s="338">
        <f t="shared" si="189"/>
        <v>1.0035889841223629</v>
      </c>
      <c r="F477" s="339">
        <f t="shared" si="190"/>
        <v>8.459648796591919E-2</v>
      </c>
      <c r="G477" s="338">
        <f t="shared" si="191"/>
        <v>1</v>
      </c>
      <c r="H477" s="339">
        <f t="shared" si="192"/>
        <v>0</v>
      </c>
      <c r="I477" s="337">
        <f t="shared" si="193"/>
        <v>40712.999462474465</v>
      </c>
      <c r="J477" s="340">
        <f t="shared" si="194"/>
        <v>1.5707717646154133</v>
      </c>
      <c r="K477" s="348">
        <f t="shared" si="210"/>
        <v>9.5921417478731943</v>
      </c>
      <c r="L477" s="349">
        <f t="shared" si="211"/>
        <v>1.4663545496867556</v>
      </c>
      <c r="M477" s="337">
        <f t="shared" si="195"/>
        <v>1.1042360823317341</v>
      </c>
      <c r="N477" s="340">
        <f t="shared" si="196"/>
        <v>0.43799596184548772</v>
      </c>
      <c r="O477" s="341">
        <f t="shared" si="197"/>
        <v>1.0352387901788969</v>
      </c>
      <c r="P477" s="342">
        <f t="shared" si="198"/>
        <v>0.776297361918315</v>
      </c>
      <c r="Q477" s="343">
        <f t="shared" si="199"/>
        <v>-0.59521548594028406</v>
      </c>
      <c r="R477" s="344">
        <f t="shared" si="200"/>
        <v>-156.21462025426038</v>
      </c>
      <c r="S477" s="346">
        <f t="shared" si="201"/>
        <v>23.785379745739618</v>
      </c>
      <c r="U477" s="319">
        <f t="shared" si="207"/>
        <v>56234</v>
      </c>
      <c r="V477" s="319">
        <f t="shared" si="208"/>
        <v>3162262756</v>
      </c>
      <c r="X477" s="345">
        <f t="shared" si="202"/>
        <v>24.289635486187503</v>
      </c>
      <c r="Y477" s="346">
        <f t="shared" si="203"/>
        <v>-31.077985816953753</v>
      </c>
      <c r="AA477" s="345">
        <f t="shared" si="204"/>
        <v>37.356652650319241</v>
      </c>
      <c r="AB477" s="346">
        <f t="shared" si="205"/>
        <v>-125.1366344373066</v>
      </c>
      <c r="AD477">
        <f t="shared" si="209"/>
        <v>0</v>
      </c>
      <c r="AE477">
        <f t="shared" si="212"/>
        <v>0</v>
      </c>
    </row>
    <row r="478" spans="1:31" x14ac:dyDescent="0.25">
      <c r="A478" s="347">
        <v>56561.5</v>
      </c>
      <c r="B478" s="364">
        <f t="shared" si="206"/>
        <v>56.561500000000002</v>
      </c>
      <c r="C478" s="337">
        <f t="shared" si="187"/>
        <v>12.833765122576276</v>
      </c>
      <c r="D478" s="338">
        <f t="shared" si="188"/>
        <v>1.4927978071012487</v>
      </c>
      <c r="E478" s="338">
        <f t="shared" si="189"/>
        <v>1.0036308336307835</v>
      </c>
      <c r="F478" s="339">
        <f t="shared" si="190"/>
        <v>8.5086799997518447E-2</v>
      </c>
      <c r="G478" s="338">
        <f t="shared" si="191"/>
        <v>1</v>
      </c>
      <c r="H478" s="339">
        <f t="shared" si="192"/>
        <v>0</v>
      </c>
      <c r="I478" s="337">
        <f t="shared" si="193"/>
        <v>40950.107036467773</v>
      </c>
      <c r="J478" s="340">
        <f t="shared" si="194"/>
        <v>1.5707719068343038</v>
      </c>
      <c r="K478" s="348">
        <f t="shared" si="210"/>
        <v>9.6473998064903785</v>
      </c>
      <c r="L478" s="349">
        <f t="shared" si="211"/>
        <v>1.4669549336697332</v>
      </c>
      <c r="M478" s="337">
        <f t="shared" si="195"/>
        <v>1.1053956544640726</v>
      </c>
      <c r="N478" s="340">
        <f t="shared" si="196"/>
        <v>0.4402305077141897</v>
      </c>
      <c r="O478" s="341">
        <f t="shared" si="197"/>
        <v>1.0360329830171728</v>
      </c>
      <c r="P478" s="342">
        <f t="shared" si="198"/>
        <v>0.78127122944236271</v>
      </c>
      <c r="Q478" s="343">
        <f t="shared" si="199"/>
        <v>-0.66130645495348406</v>
      </c>
      <c r="R478" s="344">
        <f t="shared" si="200"/>
        <v>-156.59106827120749</v>
      </c>
      <c r="S478" s="346">
        <f t="shared" si="201"/>
        <v>23.40893172879251</v>
      </c>
      <c r="U478" s="319">
        <f t="shared" si="207"/>
        <v>56561.5</v>
      </c>
      <c r="V478" s="319">
        <f t="shared" si="208"/>
        <v>3199203282.25</v>
      </c>
      <c r="X478" s="345">
        <f t="shared" si="202"/>
        <v>24.279974053922622</v>
      </c>
      <c r="Y478" s="346">
        <f t="shared" si="203"/>
        <v>-31.171624544696108</v>
      </c>
      <c r="AA478" s="345">
        <f t="shared" si="204"/>
        <v>37.300223113570922</v>
      </c>
      <c r="AB478" s="346">
        <f t="shared" si="205"/>
        <v>-125.41944372651136</v>
      </c>
      <c r="AD478">
        <f t="shared" si="209"/>
        <v>0</v>
      </c>
      <c r="AE478">
        <f t="shared" si="212"/>
        <v>0</v>
      </c>
    </row>
    <row r="479" spans="1:31" x14ac:dyDescent="0.25">
      <c r="A479" s="347">
        <v>56889</v>
      </c>
      <c r="B479" s="364">
        <f t="shared" si="206"/>
        <v>56.889000000000003</v>
      </c>
      <c r="C479" s="337">
        <f t="shared" si="187"/>
        <v>12.90762477031228</v>
      </c>
      <c r="D479" s="338">
        <f t="shared" si="188"/>
        <v>1.4932450275502398</v>
      </c>
      <c r="E479" s="338">
        <f t="shared" si="189"/>
        <v>1.0036729243978113</v>
      </c>
      <c r="F479" s="339">
        <f t="shared" si="190"/>
        <v>8.5577071022800516E-2</v>
      </c>
      <c r="G479" s="338">
        <f t="shared" si="191"/>
        <v>1</v>
      </c>
      <c r="H479" s="339">
        <f t="shared" si="192"/>
        <v>0</v>
      </c>
      <c r="I479" s="337">
        <f t="shared" si="193"/>
        <v>41187.214610461895</v>
      </c>
      <c r="J479" s="340">
        <f t="shared" si="194"/>
        <v>1.5707720474157361</v>
      </c>
      <c r="K479" s="348">
        <f t="shared" si="210"/>
        <v>9.7026613030076607</v>
      </c>
      <c r="L479" s="349">
        <f t="shared" si="211"/>
        <v>1.4675484788920372</v>
      </c>
      <c r="M479" s="337">
        <f t="shared" si="195"/>
        <v>1.1065607344689254</v>
      </c>
      <c r="N479" s="340">
        <f t="shared" si="196"/>
        <v>0.44246035926265587</v>
      </c>
      <c r="O479" s="341">
        <f t="shared" si="197"/>
        <v>1.0368402418073612</v>
      </c>
      <c r="P479" s="342">
        <f t="shared" si="198"/>
        <v>0.78624945505799682</v>
      </c>
      <c r="Q479" s="343">
        <f t="shared" si="199"/>
        <v>-0.72723813637497747</v>
      </c>
      <c r="R479" s="344">
        <f t="shared" si="200"/>
        <v>-156.96759447375274</v>
      </c>
      <c r="S479" s="346">
        <f t="shared" si="201"/>
        <v>23.03240552624726</v>
      </c>
      <c r="U479" s="319">
        <f t="shared" si="207"/>
        <v>56889</v>
      </c>
      <c r="V479" s="319">
        <f t="shared" si="208"/>
        <v>3236358321</v>
      </c>
      <c r="X479" s="345">
        <f t="shared" si="202"/>
        <v>24.270288265569945</v>
      </c>
      <c r="Y479" s="346">
        <f t="shared" si="203"/>
        <v>-31.265386046005617</v>
      </c>
      <c r="AA479" s="345">
        <f t="shared" si="204"/>
        <v>37.243977220502103</v>
      </c>
      <c r="AB479" s="346">
        <f t="shared" si="205"/>
        <v>-125.70220842774714</v>
      </c>
      <c r="AD479">
        <f t="shared" si="209"/>
        <v>0</v>
      </c>
      <c r="AE479">
        <f t="shared" si="212"/>
        <v>0</v>
      </c>
    </row>
    <row r="480" spans="1:31" x14ac:dyDescent="0.25">
      <c r="A480" s="347">
        <v>57216.5</v>
      </c>
      <c r="B480" s="364">
        <f t="shared" si="206"/>
        <v>57.216500000000003</v>
      </c>
      <c r="C480" s="337">
        <f t="shared" si="187"/>
        <v>12.9814869702754</v>
      </c>
      <c r="D480" s="338">
        <f t="shared" si="188"/>
        <v>1.4936871588876726</v>
      </c>
      <c r="E480" s="338">
        <f t="shared" si="189"/>
        <v>1.0037152563930953</v>
      </c>
      <c r="F480" s="339">
        <f t="shared" si="190"/>
        <v>8.6067300811250441E-2</v>
      </c>
      <c r="G480" s="338">
        <f t="shared" si="191"/>
        <v>1</v>
      </c>
      <c r="H480" s="339">
        <f t="shared" si="192"/>
        <v>0</v>
      </c>
      <c r="I480" s="337">
        <f t="shared" si="193"/>
        <v>41424.322184456825</v>
      </c>
      <c r="J480" s="340">
        <f t="shared" si="194"/>
        <v>1.5707721863878275</v>
      </c>
      <c r="K480" s="348">
        <f t="shared" si="210"/>
        <v>9.7579261790160654</v>
      </c>
      <c r="L480" s="349">
        <f t="shared" si="211"/>
        <v>1.468135301127641</v>
      </c>
      <c r="M480" s="337">
        <f t="shared" si="195"/>
        <v>1.1077313049672262</v>
      </c>
      <c r="N480" s="340">
        <f t="shared" si="196"/>
        <v>0.44468550916328325</v>
      </c>
      <c r="O480" s="341">
        <f t="shared" si="197"/>
        <v>1.0376606934408679</v>
      </c>
      <c r="P480" s="342">
        <f t="shared" si="198"/>
        <v>0.79123196285488873</v>
      </c>
      <c r="Q480" s="343">
        <f t="shared" si="199"/>
        <v>-0.79301452672570116</v>
      </c>
      <c r="R480" s="344">
        <f t="shared" si="200"/>
        <v>-157.34419252727128</v>
      </c>
      <c r="S480" s="346">
        <f t="shared" si="201"/>
        <v>22.655807472728725</v>
      </c>
      <c r="U480" s="319">
        <f t="shared" si="207"/>
        <v>57216.5</v>
      </c>
      <c r="V480" s="319">
        <f t="shared" si="208"/>
        <v>3273727872.25</v>
      </c>
      <c r="X480" s="345">
        <f t="shared" si="202"/>
        <v>24.260578162901986</v>
      </c>
      <c r="Y480" s="346">
        <f t="shared" si="203"/>
        <v>-31.359263269292569</v>
      </c>
      <c r="AA480" s="345">
        <f t="shared" si="204"/>
        <v>37.187910932819342</v>
      </c>
      <c r="AB480" s="346">
        <f t="shared" si="205"/>
        <v>-125.98492925797872</v>
      </c>
      <c r="AD480">
        <f t="shared" si="209"/>
        <v>0</v>
      </c>
      <c r="AE480">
        <f t="shared" si="212"/>
        <v>0</v>
      </c>
    </row>
    <row r="481" spans="1:31" x14ac:dyDescent="0.25">
      <c r="A481" s="347">
        <v>57544</v>
      </c>
      <c r="B481" s="364">
        <f t="shared" si="206"/>
        <v>57.543999999999997</v>
      </c>
      <c r="C481" s="337">
        <f t="shared" si="187"/>
        <v>13.055351679147057</v>
      </c>
      <c r="D481" s="338">
        <f t="shared" si="188"/>
        <v>1.4941242873188976</v>
      </c>
      <c r="E481" s="338">
        <f t="shared" si="189"/>
        <v>1.0037578295861147</v>
      </c>
      <c r="F481" s="339">
        <f t="shared" si="190"/>
        <v>8.6557489132471313E-2</v>
      </c>
      <c r="G481" s="338">
        <f t="shared" si="191"/>
        <v>1</v>
      </c>
      <c r="H481" s="339">
        <f t="shared" si="192"/>
        <v>0</v>
      </c>
      <c r="I481" s="337">
        <f t="shared" si="193"/>
        <v>41661.429758452548</v>
      </c>
      <c r="J481" s="340">
        <f t="shared" si="194"/>
        <v>1.570772323778056</v>
      </c>
      <c r="K481" s="348">
        <f t="shared" si="210"/>
        <v>9.8131943774188422</v>
      </c>
      <c r="L481" s="349">
        <f t="shared" si="211"/>
        <v>1.4687155135611092</v>
      </c>
      <c r="M481" s="337">
        <f t="shared" si="195"/>
        <v>1.1089073485715628</v>
      </c>
      <c r="N481" s="340">
        <f t="shared" si="196"/>
        <v>0.4469059503055689</v>
      </c>
      <c r="O481" s="341">
        <f t="shared" si="197"/>
        <v>1.0384944648164409</v>
      </c>
      <c r="P481" s="342">
        <f t="shared" si="198"/>
        <v>0.79621867542353408</v>
      </c>
      <c r="Q481" s="343">
        <f t="shared" si="199"/>
        <v>-0.85863955642971601</v>
      </c>
      <c r="R481" s="344">
        <f t="shared" si="200"/>
        <v>-157.72085605810341</v>
      </c>
      <c r="S481" s="346">
        <f t="shared" si="201"/>
        <v>22.279143941896592</v>
      </c>
      <c r="U481" s="319">
        <f t="shared" si="207"/>
        <v>57544</v>
      </c>
      <c r="V481" s="319">
        <f t="shared" si="208"/>
        <v>3311311936</v>
      </c>
      <c r="X481" s="345">
        <f t="shared" si="202"/>
        <v>24.250843793232594</v>
      </c>
      <c r="Y481" s="346">
        <f t="shared" si="203"/>
        <v>-31.45324932373164</v>
      </c>
      <c r="AA481" s="345">
        <f t="shared" si="204"/>
        <v>37.132020272784715</v>
      </c>
      <c r="AB481" s="346">
        <f t="shared" si="205"/>
        <v>-126.26760673437174</v>
      </c>
      <c r="AD481">
        <f t="shared" si="209"/>
        <v>0</v>
      </c>
      <c r="AE481">
        <f t="shared" si="212"/>
        <v>0</v>
      </c>
    </row>
    <row r="482" spans="1:31" x14ac:dyDescent="0.25">
      <c r="A482" s="347">
        <v>57879</v>
      </c>
      <c r="B482" s="364">
        <f t="shared" si="206"/>
        <v>57.878999999999998</v>
      </c>
      <c r="C482" s="337">
        <f t="shared" si="187"/>
        <v>13.130910497847793</v>
      </c>
      <c r="D482" s="338">
        <f t="shared" si="188"/>
        <v>1.4945663380955931</v>
      </c>
      <c r="E482" s="338">
        <f t="shared" si="189"/>
        <v>1.0038016272521595</v>
      </c>
      <c r="F482" s="339">
        <f t="shared" si="190"/>
        <v>8.70588599978213E-2</v>
      </c>
      <c r="G482" s="338">
        <f t="shared" si="191"/>
        <v>1</v>
      </c>
      <c r="H482" s="339">
        <f t="shared" si="192"/>
        <v>0</v>
      </c>
      <c r="I482" s="337">
        <f t="shared" si="193"/>
        <v>41903.967276891723</v>
      </c>
      <c r="J482" s="340">
        <f t="shared" si="194"/>
        <v>1.5707724627060029</v>
      </c>
      <c r="K482" s="348">
        <f t="shared" si="210"/>
        <v>9.8697316389614986</v>
      </c>
      <c r="L482" s="349">
        <f t="shared" si="211"/>
        <v>1.4693022900693475</v>
      </c>
      <c r="M482" s="337">
        <f t="shared" si="195"/>
        <v>1.1101159688864786</v>
      </c>
      <c r="N482" s="340">
        <f t="shared" si="196"/>
        <v>0.44917236231414465</v>
      </c>
      <c r="O482" s="341">
        <f t="shared" si="197"/>
        <v>1.0393612432601571</v>
      </c>
      <c r="P482" s="342">
        <f t="shared" si="198"/>
        <v>0.80132385556601327</v>
      </c>
      <c r="Q482" s="343">
        <f t="shared" si="199"/>
        <v>-0.92561487910402251</v>
      </c>
      <c r="R482" s="344">
        <f t="shared" si="200"/>
        <v>-158.10620652891623</v>
      </c>
      <c r="S482" s="346">
        <f t="shared" si="201"/>
        <v>21.893793471083768</v>
      </c>
      <c r="U482" s="319">
        <f t="shared" si="207"/>
        <v>57879</v>
      </c>
      <c r="V482" s="319">
        <f t="shared" si="208"/>
        <v>3349978641</v>
      </c>
      <c r="X482" s="345">
        <f t="shared" si="202"/>
        <v>24.240861447013597</v>
      </c>
      <c r="Y482" s="346">
        <f t="shared" si="203"/>
        <v>-31.549493309116311</v>
      </c>
      <c r="AA482" s="345">
        <f t="shared" si="204"/>
        <v>37.075027296329409</v>
      </c>
      <c r="AB482" s="346">
        <f t="shared" si="205"/>
        <v>-126.55671321979992</v>
      </c>
      <c r="AD482">
        <f t="shared" si="209"/>
        <v>0</v>
      </c>
      <c r="AE482">
        <f t="shared" si="212"/>
        <v>0</v>
      </c>
    </row>
    <row r="483" spans="1:31" x14ac:dyDescent="0.25">
      <c r="A483" s="347">
        <v>58214</v>
      </c>
      <c r="B483" s="364">
        <f t="shared" si="206"/>
        <v>58.213999999999999</v>
      </c>
      <c r="C483" s="337">
        <f t="shared" si="187"/>
        <v>13.206471853084096</v>
      </c>
      <c r="D483" s="338">
        <f t="shared" si="188"/>
        <v>1.4950033305345825</v>
      </c>
      <c r="E483" s="338">
        <f t="shared" si="189"/>
        <v>1.0038456772245195</v>
      </c>
      <c r="F483" s="339">
        <f t="shared" si="190"/>
        <v>8.7560186987652194E-2</v>
      </c>
      <c r="G483" s="338">
        <f t="shared" si="191"/>
        <v>1</v>
      </c>
      <c r="H483" s="339">
        <f t="shared" si="192"/>
        <v>0</v>
      </c>
      <c r="I483" s="337">
        <f t="shared" si="193"/>
        <v>42146.504795331697</v>
      </c>
      <c r="J483" s="340">
        <f t="shared" si="194"/>
        <v>1.5707726000349922</v>
      </c>
      <c r="K483" s="348">
        <f t="shared" si="210"/>
        <v>9.9262722600073641</v>
      </c>
      <c r="L483" s="349">
        <f t="shared" si="211"/>
        <v>1.4698823821495497</v>
      </c>
      <c r="M483" s="337">
        <f t="shared" si="195"/>
        <v>1.111330279029096</v>
      </c>
      <c r="N483" s="340">
        <f t="shared" si="196"/>
        <v>0.45143383306613794</v>
      </c>
      <c r="O483" s="341">
        <f t="shared" si="197"/>
        <v>1.0402422270452254</v>
      </c>
      <c r="P483" s="342">
        <f t="shared" si="198"/>
        <v>0.80643326665722925</v>
      </c>
      <c r="Q483" s="343">
        <f t="shared" si="199"/>
        <v>-0.99243994166418215</v>
      </c>
      <c r="R483" s="344">
        <f t="shared" si="200"/>
        <v>-158.491611892469</v>
      </c>
      <c r="S483" s="346">
        <f t="shared" si="201"/>
        <v>21.508388107531005</v>
      </c>
      <c r="U483" s="319">
        <f t="shared" si="207"/>
        <v>58214</v>
      </c>
      <c r="V483" s="319">
        <f t="shared" si="208"/>
        <v>3388869796</v>
      </c>
      <c r="X483" s="345">
        <f t="shared" si="202"/>
        <v>24.230853826587548</v>
      </c>
      <c r="Y483" s="346">
        <f t="shared" si="203"/>
        <v>-31.645837079254843</v>
      </c>
      <c r="AA483" s="345">
        <f t="shared" si="204"/>
        <v>37.018209854195298</v>
      </c>
      <c r="AB483" s="346">
        <f t="shared" si="205"/>
        <v>-126.84577481321413</v>
      </c>
      <c r="AD483">
        <f t="shared" si="209"/>
        <v>0</v>
      </c>
      <c r="AE483">
        <f t="shared" si="212"/>
        <v>0</v>
      </c>
    </row>
    <row r="484" spans="1:31" x14ac:dyDescent="0.25">
      <c r="A484" s="347">
        <v>58549</v>
      </c>
      <c r="B484" s="364">
        <f t="shared" si="206"/>
        <v>58.548999999999999</v>
      </c>
      <c r="C484" s="337">
        <f t="shared" si="187"/>
        <v>13.282035701565002</v>
      </c>
      <c r="D484" s="338">
        <f t="shared" si="188"/>
        <v>1.4954353508008582</v>
      </c>
      <c r="E484" s="338">
        <f t="shared" si="189"/>
        <v>1.0038899794699812</v>
      </c>
      <c r="F484" s="339">
        <f t="shared" si="190"/>
        <v>8.8061469855760563E-2</v>
      </c>
      <c r="G484" s="338">
        <f t="shared" si="191"/>
        <v>1</v>
      </c>
      <c r="H484" s="339">
        <f t="shared" si="192"/>
        <v>0</v>
      </c>
      <c r="I484" s="337">
        <f t="shared" si="193"/>
        <v>42389.04231377245</v>
      </c>
      <c r="J484" s="340">
        <f t="shared" si="194"/>
        <v>1.5707727357924699</v>
      </c>
      <c r="K484" s="348">
        <f t="shared" si="210"/>
        <v>9.9828161834738331</v>
      </c>
      <c r="L484" s="349">
        <f t="shared" si="211"/>
        <v>1.4704559029922681</v>
      </c>
      <c r="M484" s="337">
        <f t="shared" si="195"/>
        <v>1.1125502603686652</v>
      </c>
      <c r="N484" s="340">
        <f t="shared" si="196"/>
        <v>0.45369035564766291</v>
      </c>
      <c r="O484" s="341">
        <f t="shared" si="197"/>
        <v>1.0411375519069956</v>
      </c>
      <c r="P484" s="342">
        <f t="shared" si="198"/>
        <v>0.81154682103283737</v>
      </c>
      <c r="Q484" s="343">
        <f t="shared" si="199"/>
        <v>-1.0591187436392171</v>
      </c>
      <c r="R484" s="344">
        <f t="shared" si="200"/>
        <v>-158.87706519705665</v>
      </c>
      <c r="S484" s="346">
        <f t="shared" si="201"/>
        <v>21.122934802943348</v>
      </c>
      <c r="U484" s="319">
        <f t="shared" si="207"/>
        <v>58549</v>
      </c>
      <c r="V484" s="319">
        <f t="shared" si="208"/>
        <v>3427985401</v>
      </c>
      <c r="X484" s="345">
        <f t="shared" si="202"/>
        <v>24.220820999227051</v>
      </c>
      <c r="Y484" s="346">
        <f t="shared" si="203"/>
        <v>-31.74227375424233</v>
      </c>
      <c r="AA484" s="345">
        <f t="shared" si="204"/>
        <v>36.961563879580751</v>
      </c>
      <c r="AB484" s="346">
        <f t="shared" si="205"/>
        <v>-127.13479144281426</v>
      </c>
      <c r="AD484">
        <f t="shared" si="209"/>
        <v>0</v>
      </c>
      <c r="AE484">
        <f t="shared" si="212"/>
        <v>0</v>
      </c>
    </row>
    <row r="485" spans="1:31" x14ac:dyDescent="0.25">
      <c r="A485" s="347">
        <v>58884</v>
      </c>
      <c r="B485" s="364">
        <f t="shared" si="206"/>
        <v>58.884</v>
      </c>
      <c r="C485" s="337">
        <f t="shared" si="187"/>
        <v>13.357602000977712</v>
      </c>
      <c r="D485" s="338">
        <f t="shared" si="188"/>
        <v>1.4958624831171317</v>
      </c>
      <c r="E485" s="338">
        <f t="shared" si="189"/>
        <v>1.0039345339551475</v>
      </c>
      <c r="F485" s="339">
        <f t="shared" si="190"/>
        <v>8.8562708356075007E-2</v>
      </c>
      <c r="G485" s="338">
        <f t="shared" si="191"/>
        <v>1</v>
      </c>
      <c r="H485" s="339">
        <f t="shared" si="192"/>
        <v>0</v>
      </c>
      <c r="I485" s="337">
        <f t="shared" si="193"/>
        <v>42631.579832213982</v>
      </c>
      <c r="J485" s="340">
        <f t="shared" si="194"/>
        <v>1.5707728700052579</v>
      </c>
      <c r="K485" s="348">
        <f t="shared" si="210"/>
        <v>10.039363353561006</v>
      </c>
      <c r="L485" s="349">
        <f t="shared" si="211"/>
        <v>1.4710229632553673</v>
      </c>
      <c r="M485" s="337">
        <f t="shared" si="195"/>
        <v>1.1137758942692435</v>
      </c>
      <c r="N485" s="340">
        <f t="shared" si="196"/>
        <v>0.45594192337661898</v>
      </c>
      <c r="O485" s="341">
        <f t="shared" si="197"/>
        <v>1.042047353516548</v>
      </c>
      <c r="P485" s="342">
        <f t="shared" si="198"/>
        <v>0.81666442942627659</v>
      </c>
      <c r="Q485" s="343">
        <f t="shared" si="199"/>
        <v>-1.1256552171202237</v>
      </c>
      <c r="R485" s="344">
        <f t="shared" si="200"/>
        <v>-159.26255944623875</v>
      </c>
      <c r="S485" s="346">
        <f t="shared" si="201"/>
        <v>20.737440553761246</v>
      </c>
      <c r="U485" s="319">
        <f t="shared" si="207"/>
        <v>58884</v>
      </c>
      <c r="V485" s="319">
        <f t="shared" si="208"/>
        <v>3467325456</v>
      </c>
      <c r="X485" s="345">
        <f t="shared" si="202"/>
        <v>24.210763037378875</v>
      </c>
      <c r="Y485" s="346">
        <f t="shared" si="203"/>
        <v>-31.83879661253081</v>
      </c>
      <c r="AA485" s="345">
        <f t="shared" si="204"/>
        <v>36.905085367947926</v>
      </c>
      <c r="AB485" s="346">
        <f t="shared" si="205"/>
        <v>-127.42376283370788</v>
      </c>
      <c r="AD485">
        <f t="shared" si="209"/>
        <v>0</v>
      </c>
      <c r="AE485">
        <f t="shared" si="212"/>
        <v>0</v>
      </c>
    </row>
    <row r="486" spans="1:31" x14ac:dyDescent="0.25">
      <c r="A486" s="347">
        <v>59227</v>
      </c>
      <c r="B486" s="364">
        <f t="shared" si="206"/>
        <v>59.226999999999997</v>
      </c>
      <c r="C486" s="337">
        <f t="shared" si="187"/>
        <v>13.434975364969031</v>
      </c>
      <c r="D486" s="338">
        <f t="shared" si="188"/>
        <v>1.4962948371487053</v>
      </c>
      <c r="E486" s="338">
        <f t="shared" si="189"/>
        <v>1.0039804137400277</v>
      </c>
      <c r="F486" s="339">
        <f t="shared" si="190"/>
        <v>8.9075870504438603E-2</v>
      </c>
      <c r="G486" s="338">
        <f t="shared" si="191"/>
        <v>1</v>
      </c>
      <c r="H486" s="339">
        <f t="shared" si="192"/>
        <v>0</v>
      </c>
      <c r="I486" s="337">
        <f t="shared" si="193"/>
        <v>42879.909291395204</v>
      </c>
      <c r="J486" s="340">
        <f t="shared" si="194"/>
        <v>1.5707730058500389</v>
      </c>
      <c r="K486" s="348">
        <f t="shared" si="210"/>
        <v>10.097264210707728</v>
      </c>
      <c r="L486" s="349">
        <f t="shared" si="211"/>
        <v>1.4715969843897778</v>
      </c>
      <c r="M486" s="337">
        <f t="shared" si="195"/>
        <v>1.1150366342247355</v>
      </c>
      <c r="N486" s="340">
        <f t="shared" si="196"/>
        <v>0.4582421193979298</v>
      </c>
      <c r="O486" s="341">
        <f t="shared" si="197"/>
        <v>1.0429940227790468</v>
      </c>
      <c r="P486" s="342">
        <f t="shared" si="198"/>
        <v>0.82190835485871649</v>
      </c>
      <c r="Q486" s="343">
        <f t="shared" si="199"/>
        <v>-1.1936371907473804</v>
      </c>
      <c r="R486" s="344">
        <f t="shared" si="200"/>
        <v>-159.65729459706094</v>
      </c>
      <c r="S486" s="346">
        <f t="shared" si="201"/>
        <v>20.34270540293906</v>
      </c>
      <c r="U486" s="319">
        <f t="shared" si="207"/>
        <v>59227</v>
      </c>
      <c r="V486" s="319">
        <f t="shared" si="208"/>
        <v>3507837529</v>
      </c>
      <c r="X486" s="345">
        <f t="shared" si="202"/>
        <v>24.200438924281947</v>
      </c>
      <c r="Y486" s="346">
        <f t="shared" si="203"/>
        <v>-31.937706931697317</v>
      </c>
      <c r="AA486" s="345">
        <f t="shared" si="204"/>
        <v>36.847427507417699</v>
      </c>
      <c r="AB486" s="346">
        <f t="shared" si="205"/>
        <v>-127.7195876653636</v>
      </c>
      <c r="AD486">
        <f t="shared" si="209"/>
        <v>0</v>
      </c>
      <c r="AE486">
        <f t="shared" si="212"/>
        <v>0</v>
      </c>
    </row>
    <row r="487" spans="1:31" x14ac:dyDescent="0.25">
      <c r="A487" s="347">
        <v>59570</v>
      </c>
      <c r="B487" s="364">
        <f t="shared" si="206"/>
        <v>59.57</v>
      </c>
      <c r="C487" s="337">
        <f t="shared" si="187"/>
        <v>13.512351211598974</v>
      </c>
      <c r="D487" s="338">
        <f t="shared" si="188"/>
        <v>1.4967222396771582</v>
      </c>
      <c r="E487" s="338">
        <f t="shared" si="189"/>
        <v>1.0040265578842791</v>
      </c>
      <c r="F487" s="339">
        <f t="shared" si="190"/>
        <v>8.9588985618985262E-2</v>
      </c>
      <c r="G487" s="338">
        <f t="shared" si="191"/>
        <v>1</v>
      </c>
      <c r="H487" s="339">
        <f t="shared" si="192"/>
        <v>0</v>
      </c>
      <c r="I487" s="337">
        <f t="shared" si="193"/>
        <v>43128.238750577206</v>
      </c>
      <c r="J487" s="340">
        <f t="shared" si="194"/>
        <v>1.5707731401304499</v>
      </c>
      <c r="K487" s="348">
        <f t="shared" si="210"/>
        <v>10.155168356965897</v>
      </c>
      <c r="L487" s="349">
        <f t="shared" si="211"/>
        <v>1.4721644596428927</v>
      </c>
      <c r="M487" s="337">
        <f t="shared" si="195"/>
        <v>1.1163032603855425</v>
      </c>
      <c r="N487" s="340">
        <f t="shared" si="196"/>
        <v>0.4605371076518629</v>
      </c>
      <c r="O487" s="341">
        <f t="shared" si="197"/>
        <v>1.0439561560387469</v>
      </c>
      <c r="P487" s="342">
        <f t="shared" si="198"/>
        <v>0.82715633575249015</v>
      </c>
      <c r="Q487" s="343">
        <f t="shared" si="199"/>
        <v>-1.2614780879042076</v>
      </c>
      <c r="R487" s="344">
        <f t="shared" si="200"/>
        <v>-160.05205768195788</v>
      </c>
      <c r="S487" s="346">
        <f t="shared" si="201"/>
        <v>19.947942318042124</v>
      </c>
      <c r="U487" s="319">
        <f t="shared" si="207"/>
        <v>59570</v>
      </c>
      <c r="V487" s="319">
        <f t="shared" si="208"/>
        <v>3548584900</v>
      </c>
      <c r="X487" s="345">
        <f t="shared" si="202"/>
        <v>24.190088631363366</v>
      </c>
      <c r="Y487" s="346">
        <f t="shared" si="203"/>
        <v>-32.036693829512117</v>
      </c>
      <c r="AA487" s="345">
        <f t="shared" si="204"/>
        <v>36.789936903179452</v>
      </c>
      <c r="AB487" s="346">
        <f t="shared" si="205"/>
        <v>-128.01536385244577</v>
      </c>
      <c r="AD487">
        <f t="shared" si="209"/>
        <v>0</v>
      </c>
      <c r="AE487">
        <f t="shared" si="212"/>
        <v>0</v>
      </c>
    </row>
    <row r="488" spans="1:31" x14ac:dyDescent="0.25">
      <c r="A488" s="347">
        <v>59913</v>
      </c>
      <c r="B488" s="364">
        <f t="shared" si="206"/>
        <v>59.912999999999997</v>
      </c>
      <c r="C488" s="337">
        <f t="shared" si="187"/>
        <v>13.58972949846134</v>
      </c>
      <c r="D488" s="338">
        <f t="shared" si="188"/>
        <v>1.4971447751247828</v>
      </c>
      <c r="E488" s="338">
        <f t="shared" si="189"/>
        <v>1.0040729663514545</v>
      </c>
      <c r="F488" s="339">
        <f t="shared" si="190"/>
        <v>9.0102053436025092E-2</v>
      </c>
      <c r="G488" s="338">
        <f t="shared" si="191"/>
        <v>1</v>
      </c>
      <c r="H488" s="339">
        <f t="shared" si="192"/>
        <v>0</v>
      </c>
      <c r="I488" s="337">
        <f t="shared" si="193"/>
        <v>43376.568209759986</v>
      </c>
      <c r="J488" s="340">
        <f t="shared" si="194"/>
        <v>1.5707732728733588</v>
      </c>
      <c r="K488" s="348">
        <f t="shared" si="210"/>
        <v>10.213075736391586</v>
      </c>
      <c r="L488" s="349">
        <f t="shared" si="211"/>
        <v>1.4727254999900614</v>
      </c>
      <c r="M488" s="337">
        <f t="shared" si="195"/>
        <v>1.1175757527379293</v>
      </c>
      <c r="N488" s="340">
        <f t="shared" si="196"/>
        <v>0.46282688171128195</v>
      </c>
      <c r="O488" s="341">
        <f t="shared" si="197"/>
        <v>1.0449338985891545</v>
      </c>
      <c r="P488" s="342">
        <f t="shared" si="198"/>
        <v>0.83240827114895222</v>
      </c>
      <c r="Q488" s="343">
        <f t="shared" si="199"/>
        <v>-1.329181916748988</v>
      </c>
      <c r="R488" s="344">
        <f t="shared" si="200"/>
        <v>-160.44684104344717</v>
      </c>
      <c r="S488" s="346">
        <f t="shared" si="201"/>
        <v>19.553158956552835</v>
      </c>
      <c r="U488" s="319">
        <f t="shared" si="207"/>
        <v>59913</v>
      </c>
      <c r="V488" s="319">
        <f t="shared" si="208"/>
        <v>3589567569</v>
      </c>
      <c r="X488" s="345">
        <f t="shared" si="202"/>
        <v>24.179712251928258</v>
      </c>
      <c r="Y488" s="346">
        <f t="shared" si="203"/>
        <v>-32.135750580847677</v>
      </c>
      <c r="AA488" s="345">
        <f t="shared" si="204"/>
        <v>36.732609453769783</v>
      </c>
      <c r="AB488" s="346">
        <f t="shared" si="205"/>
        <v>-128.31109046259948</v>
      </c>
      <c r="AD488">
        <f t="shared" si="209"/>
        <v>0</v>
      </c>
      <c r="AE488">
        <f t="shared" si="212"/>
        <v>0</v>
      </c>
    </row>
    <row r="489" spans="1:31" x14ac:dyDescent="0.25">
      <c r="A489" s="347">
        <v>60256</v>
      </c>
      <c r="B489" s="364">
        <f t="shared" si="206"/>
        <v>60.256</v>
      </c>
      <c r="C489" s="337">
        <f t="shared" si="187"/>
        <v>13.667110184108962</v>
      </c>
      <c r="D489" s="338">
        <f t="shared" si="188"/>
        <v>1.4975625260089798</v>
      </c>
      <c r="E489" s="338">
        <f t="shared" si="189"/>
        <v>1.0041196391049041</v>
      </c>
      <c r="F489" s="339">
        <f t="shared" si="190"/>
        <v>9.0615073692016421E-2</v>
      </c>
      <c r="G489" s="338">
        <f t="shared" si="191"/>
        <v>1</v>
      </c>
      <c r="H489" s="339">
        <f t="shared" si="192"/>
        <v>0</v>
      </c>
      <c r="I489" s="337">
        <f t="shared" si="193"/>
        <v>43624.897668943508</v>
      </c>
      <c r="J489" s="340">
        <f t="shared" si="194"/>
        <v>1.5707734041050219</v>
      </c>
      <c r="K489" s="348">
        <f t="shared" si="210"/>
        <v>10.270986294299414</v>
      </c>
      <c r="L489" s="349">
        <f t="shared" si="211"/>
        <v>1.473280213920213</v>
      </c>
      <c r="M489" s="337">
        <f t="shared" si="195"/>
        <v>1.1188540912667293</v>
      </c>
      <c r="N489" s="340">
        <f t="shared" si="196"/>
        <v>0.46511143539692712</v>
      </c>
      <c r="O489" s="341">
        <f t="shared" si="197"/>
        <v>1.0459273955705926</v>
      </c>
      <c r="P489" s="342">
        <f t="shared" si="198"/>
        <v>0.8376640583836753</v>
      </c>
      <c r="Q489" s="343">
        <f t="shared" si="199"/>
        <v>-1.3967526161415327</v>
      </c>
      <c r="R489" s="344">
        <f t="shared" si="200"/>
        <v>-160.84163697379012</v>
      </c>
      <c r="S489" s="346">
        <f t="shared" si="201"/>
        <v>19.158363026209884</v>
      </c>
      <c r="U489" s="319">
        <f t="shared" si="207"/>
        <v>60256</v>
      </c>
      <c r="V489" s="319">
        <f t="shared" si="208"/>
        <v>3630785536</v>
      </c>
      <c r="X489" s="345">
        <f t="shared" si="202"/>
        <v>24.16930988410526</v>
      </c>
      <c r="Y489" s="346">
        <f t="shared" si="203"/>
        <v>-32.23487061720509</v>
      </c>
      <c r="AA489" s="345">
        <f t="shared" si="204"/>
        <v>36.675441122200226</v>
      </c>
      <c r="AB489" s="346">
        <f t="shared" si="205"/>
        <v>-128.60676635658507</v>
      </c>
      <c r="AD489">
        <f t="shared" si="209"/>
        <v>0</v>
      </c>
      <c r="AE489">
        <f t="shared" si="212"/>
        <v>0</v>
      </c>
    </row>
    <row r="490" spans="1:31" x14ac:dyDescent="0.25">
      <c r="A490" s="347">
        <v>60607</v>
      </c>
      <c r="B490" s="364">
        <f t="shared" si="206"/>
        <v>60.606999999999999</v>
      </c>
      <c r="C490" s="337">
        <f t="shared" si="187"/>
        <v>13.746298108185645</v>
      </c>
      <c r="D490" s="338">
        <f t="shared" si="188"/>
        <v>1.4979851512473994</v>
      </c>
      <c r="E490" s="338">
        <f t="shared" si="189"/>
        <v>1.0041676740015713</v>
      </c>
      <c r="F490" s="339">
        <f t="shared" si="190"/>
        <v>9.1140009922301382E-2</v>
      </c>
      <c r="G490" s="338">
        <f t="shared" si="191"/>
        <v>1</v>
      </c>
      <c r="H490" s="339">
        <f t="shared" si="192"/>
        <v>0</v>
      </c>
      <c r="I490" s="337">
        <f t="shared" si="193"/>
        <v>43879.019068866779</v>
      </c>
      <c r="J490" s="340">
        <f t="shared" si="194"/>
        <v>1.5707735368597224</v>
      </c>
      <c r="K490" s="348">
        <f t="shared" si="210"/>
        <v>10.330250770550933</v>
      </c>
      <c r="L490" s="349">
        <f t="shared" si="211"/>
        <v>1.473841426965145</v>
      </c>
      <c r="M490" s="337">
        <f t="shared" si="195"/>
        <v>1.1201682766865828</v>
      </c>
      <c r="N490" s="340">
        <f t="shared" si="196"/>
        <v>0.46744386251427195</v>
      </c>
      <c r="O490" s="341">
        <f t="shared" si="197"/>
        <v>1.0469605256277461</v>
      </c>
      <c r="P490" s="342">
        <f t="shared" si="198"/>
        <v>0.84304630833748084</v>
      </c>
      <c r="Q490" s="343">
        <f t="shared" si="199"/>
        <v>-1.4657655231607261</v>
      </c>
      <c r="R490" s="344">
        <f t="shared" si="200"/>
        <v>-161.2456458901051</v>
      </c>
      <c r="S490" s="346">
        <f t="shared" si="201"/>
        <v>18.754354109894905</v>
      </c>
      <c r="U490" s="319">
        <f t="shared" si="207"/>
        <v>60607</v>
      </c>
      <c r="V490" s="319">
        <f t="shared" si="208"/>
        <v>3673208449</v>
      </c>
      <c r="X490" s="345">
        <f t="shared" si="202"/>
        <v>24.158638098017796</v>
      </c>
      <c r="Y490" s="346">
        <f t="shared" si="203"/>
        <v>-32.336361314568542</v>
      </c>
      <c r="AA490" s="345">
        <f t="shared" si="204"/>
        <v>36.617100001268504</v>
      </c>
      <c r="AB490" s="346">
        <f t="shared" si="205"/>
        <v>-128.90928457553662</v>
      </c>
      <c r="AD490">
        <f t="shared" si="209"/>
        <v>0</v>
      </c>
      <c r="AE490">
        <f t="shared" si="212"/>
        <v>0</v>
      </c>
    </row>
    <row r="491" spans="1:31" x14ac:dyDescent="0.25">
      <c r="A491" s="347">
        <v>60958</v>
      </c>
      <c r="B491" s="364">
        <f t="shared" si="206"/>
        <v>60.957999999999998</v>
      </c>
      <c r="C491" s="337">
        <f t="shared" si="187"/>
        <v>13.825488459391323</v>
      </c>
      <c r="D491" s="338">
        <f t="shared" si="188"/>
        <v>1.4984029350901267</v>
      </c>
      <c r="E491" s="338">
        <f t="shared" si="189"/>
        <v>1.0042159855782045</v>
      </c>
      <c r="F491" s="339">
        <f t="shared" si="190"/>
        <v>9.1664895789158693E-2</v>
      </c>
      <c r="G491" s="338">
        <f t="shared" si="191"/>
        <v>1</v>
      </c>
      <c r="H491" s="339">
        <f t="shared" si="192"/>
        <v>0</v>
      </c>
      <c r="I491" s="337">
        <f t="shared" si="193"/>
        <v>44133.140468790822</v>
      </c>
      <c r="J491" s="340">
        <f t="shared" si="194"/>
        <v>1.5707736680856033</v>
      </c>
      <c r="K491" s="348">
        <f t="shared" si="210"/>
        <v>10.389518463299559</v>
      </c>
      <c r="L491" s="349">
        <f t="shared" si="211"/>
        <v>1.4743962372295643</v>
      </c>
      <c r="M491" s="337">
        <f t="shared" si="195"/>
        <v>1.1214885417627209</v>
      </c>
      <c r="N491" s="340">
        <f t="shared" si="196"/>
        <v>0.4697708105966994</v>
      </c>
      <c r="O491" s="341">
        <f t="shared" si="197"/>
        <v>1.0480104605291758</v>
      </c>
      <c r="P491" s="342">
        <f t="shared" si="198"/>
        <v>0.84843236897441543</v>
      </c>
      <c r="Q491" s="343">
        <f t="shared" si="199"/>
        <v>-1.5346471463880711</v>
      </c>
      <c r="R491" s="344">
        <f t="shared" si="200"/>
        <v>-161.64965147568125</v>
      </c>
      <c r="S491" s="346">
        <f t="shared" si="201"/>
        <v>18.350348524318747</v>
      </c>
      <c r="U491" s="319">
        <f t="shared" si="207"/>
        <v>60958</v>
      </c>
      <c r="V491" s="319">
        <f t="shared" si="208"/>
        <v>3715877764</v>
      </c>
      <c r="X491" s="345">
        <f t="shared" si="202"/>
        <v>24.147939319656579</v>
      </c>
      <c r="Y491" s="346">
        <f t="shared" si="203"/>
        <v>-32.437904851061113</v>
      </c>
      <c r="AA491" s="345">
        <f t="shared" si="204"/>
        <v>36.558917156402373</v>
      </c>
      <c r="AB491" s="346">
        <f t="shared" si="205"/>
        <v>-129.21174662462013</v>
      </c>
      <c r="AD491">
        <f t="shared" si="209"/>
        <v>0</v>
      </c>
      <c r="AE491">
        <f t="shared" si="212"/>
        <v>0</v>
      </c>
    </row>
    <row r="492" spans="1:31" x14ac:dyDescent="0.25">
      <c r="A492" s="347">
        <v>61309</v>
      </c>
      <c r="B492" s="364">
        <f t="shared" si="206"/>
        <v>61.308999999999997</v>
      </c>
      <c r="C492" s="337">
        <f t="shared" si="187"/>
        <v>13.904681196256826</v>
      </c>
      <c r="D492" s="338">
        <f t="shared" si="188"/>
        <v>1.4988159601111302</v>
      </c>
      <c r="E492" s="338">
        <f t="shared" si="189"/>
        <v>1.0042645737948732</v>
      </c>
      <c r="F492" s="339">
        <f t="shared" si="190"/>
        <v>9.2189731010660192E-2</v>
      </c>
      <c r="G492" s="338">
        <f t="shared" si="191"/>
        <v>1</v>
      </c>
      <c r="H492" s="339">
        <f t="shared" si="192"/>
        <v>0</v>
      </c>
      <c r="I492" s="337">
        <f t="shared" si="193"/>
        <v>44387.261868715599</v>
      </c>
      <c r="J492" s="340">
        <f t="shared" si="194"/>
        <v>1.5707737978089222</v>
      </c>
      <c r="K492" s="348">
        <f t="shared" si="210"/>
        <v>10.448789317811382</v>
      </c>
      <c r="L492" s="349">
        <f t="shared" si="211"/>
        <v>1.4749447533284701</v>
      </c>
      <c r="M492" s="337">
        <f t="shared" si="195"/>
        <v>1.1228148650488008</v>
      </c>
      <c r="N492" s="340">
        <f t="shared" si="196"/>
        <v>0.47209227381694485</v>
      </c>
      <c r="O492" s="341">
        <f t="shared" si="197"/>
        <v>1.0490773551730246</v>
      </c>
      <c r="P492" s="342">
        <f t="shared" si="198"/>
        <v>0.85382212483635578</v>
      </c>
      <c r="Q492" s="343">
        <f t="shared" si="199"/>
        <v>-1.603401488540336</v>
      </c>
      <c r="R492" s="344">
        <f t="shared" si="200"/>
        <v>-162.05364530699421</v>
      </c>
      <c r="S492" s="346">
        <f t="shared" si="201"/>
        <v>17.946354693005787</v>
      </c>
      <c r="U492" s="319">
        <f t="shared" si="207"/>
        <v>61309</v>
      </c>
      <c r="V492" s="319">
        <f t="shared" si="208"/>
        <v>3758793481</v>
      </c>
      <c r="X492" s="345">
        <f t="shared" si="202"/>
        <v>24.137213668594214</v>
      </c>
      <c r="Y492" s="346">
        <f t="shared" si="203"/>
        <v>-32.539494671128494</v>
      </c>
      <c r="AA492" s="345">
        <f t="shared" si="204"/>
        <v>36.500888465312478</v>
      </c>
      <c r="AB492" s="346">
        <f t="shared" si="205"/>
        <v>-129.51415063586572</v>
      </c>
      <c r="AD492">
        <f t="shared" si="209"/>
        <v>0</v>
      </c>
      <c r="AE492">
        <f t="shared" si="212"/>
        <v>0</v>
      </c>
    </row>
    <row r="493" spans="1:31" x14ac:dyDescent="0.25">
      <c r="A493" s="347">
        <v>61660</v>
      </c>
      <c r="B493" s="364">
        <f t="shared" si="206"/>
        <v>61.66</v>
      </c>
      <c r="C493" s="337">
        <f t="shared" si="187"/>
        <v>13.983876278251138</v>
      </c>
      <c r="D493" s="338">
        <f t="shared" si="188"/>
        <v>1.4992243070203877</v>
      </c>
      <c r="E493" s="338">
        <f t="shared" si="189"/>
        <v>1.0043134386114265</v>
      </c>
      <c r="F493" s="339">
        <f t="shared" si="190"/>
        <v>9.271451530504371E-2</v>
      </c>
      <c r="G493" s="338">
        <f t="shared" si="191"/>
        <v>1</v>
      </c>
      <c r="H493" s="339">
        <f t="shared" si="192"/>
        <v>0</v>
      </c>
      <c r="I493" s="337">
        <f t="shared" si="193"/>
        <v>44641.383268641126</v>
      </c>
      <c r="J493" s="340">
        <f t="shared" si="194"/>
        <v>1.5707739260553393</v>
      </c>
      <c r="K493" s="348">
        <f t="shared" si="210"/>
        <v>10.508063280584519</v>
      </c>
      <c r="L493" s="349">
        <f t="shared" si="211"/>
        <v>1.4754870814415029</v>
      </c>
      <c r="M493" s="337">
        <f t="shared" si="195"/>
        <v>1.1241472251015143</v>
      </c>
      <c r="N493" s="340">
        <f t="shared" si="196"/>
        <v>0.4744082466116521</v>
      </c>
      <c r="O493" s="341">
        <f t="shared" si="197"/>
        <v>1.0501613641958985</v>
      </c>
      <c r="P493" s="342">
        <f t="shared" si="198"/>
        <v>0.85921545866923243</v>
      </c>
      <c r="Q493" s="343">
        <f t="shared" si="199"/>
        <v>-1.672032481037762</v>
      </c>
      <c r="R493" s="344">
        <f t="shared" si="200"/>
        <v>-162.45761890543372</v>
      </c>
      <c r="S493" s="346">
        <f t="shared" si="201"/>
        <v>17.542381094566281</v>
      </c>
      <c r="U493" s="319">
        <f t="shared" si="207"/>
        <v>61660</v>
      </c>
      <c r="V493" s="319">
        <f t="shared" si="208"/>
        <v>3801955600</v>
      </c>
      <c r="X493" s="345">
        <f t="shared" si="202"/>
        <v>24.126461268860101</v>
      </c>
      <c r="Y493" s="346">
        <f t="shared" si="203"/>
        <v>-32.641124373838835</v>
      </c>
      <c r="AA493" s="345">
        <f t="shared" si="204"/>
        <v>36.443009872549162</v>
      </c>
      <c r="AB493" s="346">
        <f t="shared" si="205"/>
        <v>-129.81649453159486</v>
      </c>
      <c r="AD493">
        <f t="shared" si="209"/>
        <v>0</v>
      </c>
      <c r="AE493">
        <f t="shared" si="212"/>
        <v>0</v>
      </c>
    </row>
    <row r="494" spans="1:31" x14ac:dyDescent="0.25">
      <c r="A494" s="347">
        <v>62019</v>
      </c>
      <c r="B494" s="364">
        <f t="shared" si="206"/>
        <v>62.018999999999998</v>
      </c>
      <c r="C494" s="337">
        <f t="shared" si="187"/>
        <v>14.064878760982458</v>
      </c>
      <c r="D494" s="338">
        <f t="shared" si="188"/>
        <v>1.4996372039450483</v>
      </c>
      <c r="E494" s="338">
        <f t="shared" si="189"/>
        <v>1.0043637032420458</v>
      </c>
      <c r="F494" s="339">
        <f t="shared" si="190"/>
        <v>9.3251207520074292E-2</v>
      </c>
      <c r="G494" s="338">
        <f t="shared" si="191"/>
        <v>1</v>
      </c>
      <c r="H494" s="339">
        <f t="shared" si="192"/>
        <v>0</v>
      </c>
      <c r="I494" s="337">
        <f t="shared" si="193"/>
        <v>44901.296609306453</v>
      </c>
      <c r="J494" s="340">
        <f t="shared" si="194"/>
        <v>1.5707740557231102</v>
      </c>
      <c r="K494" s="348">
        <f t="shared" si="210"/>
        <v>10.56869137769201</v>
      </c>
      <c r="L494" s="349">
        <f t="shared" si="211"/>
        <v>1.4760354773512023</v>
      </c>
      <c r="M494" s="337">
        <f t="shared" si="195"/>
        <v>1.1255161747085847</v>
      </c>
      <c r="N494" s="340">
        <f t="shared" si="196"/>
        <v>0.47677132002839084</v>
      </c>
      <c r="O494" s="341">
        <f t="shared" si="197"/>
        <v>1.0512879447880301</v>
      </c>
      <c r="P494" s="342">
        <f t="shared" si="198"/>
        <v>0.86473529463854237</v>
      </c>
      <c r="Q494" s="343">
        <f t="shared" si="199"/>
        <v>-1.7421041380595761</v>
      </c>
      <c r="R494" s="344">
        <f t="shared" si="200"/>
        <v>-162.87077005463669</v>
      </c>
      <c r="S494" s="346">
        <f t="shared" si="201"/>
        <v>17.129229945363306</v>
      </c>
      <c r="U494" s="319">
        <f t="shared" si="207"/>
        <v>62019</v>
      </c>
      <c r="V494" s="319">
        <f t="shared" si="208"/>
        <v>3846356361</v>
      </c>
      <c r="X494" s="345">
        <f t="shared" si="202"/>
        <v>24.115436263829196</v>
      </c>
      <c r="Y494" s="346">
        <f t="shared" si="203"/>
        <v>-32.745105165704324</v>
      </c>
      <c r="AA494" s="345">
        <f t="shared" si="204"/>
        <v>36.38396322055825</v>
      </c>
      <c r="AB494" s="346">
        <f t="shared" si="205"/>
        <v>-130.12566488893233</v>
      </c>
      <c r="AD494">
        <f t="shared" si="209"/>
        <v>0</v>
      </c>
      <c r="AE494">
        <f t="shared" si="212"/>
        <v>0</v>
      </c>
    </row>
    <row r="495" spans="1:31" x14ac:dyDescent="0.25">
      <c r="A495" s="347">
        <v>62378</v>
      </c>
      <c r="B495" s="364">
        <f t="shared" si="206"/>
        <v>62.378</v>
      </c>
      <c r="C495" s="337">
        <f t="shared" si="187"/>
        <v>14.145883614087433</v>
      </c>
      <c r="D495" s="338">
        <f t="shared" si="188"/>
        <v>1.500045372120604</v>
      </c>
      <c r="E495" s="338">
        <f t="shared" si="189"/>
        <v>1.0044142571391099</v>
      </c>
      <c r="F495" s="339">
        <f t="shared" si="190"/>
        <v>9.3787845864379965E-2</v>
      </c>
      <c r="G495" s="338">
        <f t="shared" si="191"/>
        <v>1</v>
      </c>
      <c r="H495" s="339">
        <f t="shared" si="192"/>
        <v>0</v>
      </c>
      <c r="I495" s="337">
        <f t="shared" si="193"/>
        <v>45161.209949972508</v>
      </c>
      <c r="J495" s="340">
        <f t="shared" si="194"/>
        <v>1.5707741838983447</v>
      </c>
      <c r="K495" s="348">
        <f t="shared" si="210"/>
        <v>10.629322616948491</v>
      </c>
      <c r="L495" s="349">
        <f t="shared" si="211"/>
        <v>1.4765776171585119</v>
      </c>
      <c r="M495" s="337">
        <f t="shared" si="195"/>
        <v>1.1268913940379708</v>
      </c>
      <c r="N495" s="340">
        <f t="shared" si="196"/>
        <v>0.47912863895563262</v>
      </c>
      <c r="O495" s="341">
        <f t="shared" si="197"/>
        <v>1.0524327550715269</v>
      </c>
      <c r="P495" s="342">
        <f t="shared" si="198"/>
        <v>0.87025861976029462</v>
      </c>
      <c r="Q495" s="343">
        <f t="shared" si="199"/>
        <v>-1.8120548539835131</v>
      </c>
      <c r="R495" s="344">
        <f t="shared" si="200"/>
        <v>-163.28388192153332</v>
      </c>
      <c r="S495" s="346">
        <f t="shared" si="201"/>
        <v>16.716118078466678</v>
      </c>
      <c r="U495" s="319">
        <f t="shared" si="207"/>
        <v>62378</v>
      </c>
      <c r="V495" s="319">
        <f t="shared" si="208"/>
        <v>3891014884</v>
      </c>
      <c r="X495" s="345">
        <f t="shared" si="202"/>
        <v>24.104383552826867</v>
      </c>
      <c r="Y495" s="346">
        <f t="shared" si="203"/>
        <v>-32.849114612355542</v>
      </c>
      <c r="AA495" s="345">
        <f t="shared" si="204"/>
        <v>36.325065215636641</v>
      </c>
      <c r="AB495" s="346">
        <f t="shared" si="205"/>
        <v>-130.4347673091778</v>
      </c>
      <c r="AD495">
        <f t="shared" si="209"/>
        <v>0</v>
      </c>
      <c r="AE495">
        <f t="shared" si="212"/>
        <v>0</v>
      </c>
    </row>
    <row r="496" spans="1:31" x14ac:dyDescent="0.25">
      <c r="A496" s="347">
        <v>62737</v>
      </c>
      <c r="B496" s="364">
        <f t="shared" si="206"/>
        <v>62.737000000000002</v>
      </c>
      <c r="C496" s="337">
        <f t="shared" si="187"/>
        <v>14.226890797076871</v>
      </c>
      <c r="D496" s="338">
        <f t="shared" si="188"/>
        <v>1.5004488921856383</v>
      </c>
      <c r="E496" s="338">
        <f t="shared" si="189"/>
        <v>1.0044651002589433</v>
      </c>
      <c r="F496" s="339">
        <f t="shared" si="190"/>
        <v>9.4324430037035015E-2</v>
      </c>
      <c r="G496" s="338">
        <f t="shared" si="191"/>
        <v>1</v>
      </c>
      <c r="H496" s="339">
        <f t="shared" si="192"/>
        <v>0</v>
      </c>
      <c r="I496" s="337">
        <f t="shared" si="193"/>
        <v>45421.123290639312</v>
      </c>
      <c r="J496" s="340">
        <f t="shared" si="194"/>
        <v>1.5707743106066645</v>
      </c>
      <c r="K496" s="348">
        <f t="shared" si="210"/>
        <v>10.689956944889088</v>
      </c>
      <c r="L496" s="349">
        <f t="shared" si="211"/>
        <v>1.4771136069974069</v>
      </c>
      <c r="M496" s="337">
        <f t="shared" si="195"/>
        <v>1.1282728601637206</v>
      </c>
      <c r="N496" s="340">
        <f t="shared" si="196"/>
        <v>0.48148019828426825</v>
      </c>
      <c r="O496" s="341">
        <f t="shared" si="197"/>
        <v>1.0535959594946014</v>
      </c>
      <c r="P496" s="342">
        <f t="shared" si="198"/>
        <v>0.87578530288934331</v>
      </c>
      <c r="Q496" s="343">
        <f t="shared" si="199"/>
        <v>-1.8818886107235309</v>
      </c>
      <c r="R496" s="344">
        <f t="shared" si="200"/>
        <v>-163.69694525726149</v>
      </c>
      <c r="S496" s="346">
        <f t="shared" si="201"/>
        <v>16.30305474273851</v>
      </c>
      <c r="U496" s="319">
        <f t="shared" si="207"/>
        <v>62737</v>
      </c>
      <c r="V496" s="319">
        <f t="shared" si="208"/>
        <v>3935931169</v>
      </c>
      <c r="X496" s="345">
        <f t="shared" si="202"/>
        <v>24.093303281802484</v>
      </c>
      <c r="Y496" s="346">
        <f t="shared" si="203"/>
        <v>-32.95314634150121</v>
      </c>
      <c r="AA496" s="345">
        <f t="shared" si="204"/>
        <v>36.266311729921014</v>
      </c>
      <c r="AB496" s="346">
        <f t="shared" si="205"/>
        <v>-130.74379891576024</v>
      </c>
      <c r="AD496">
        <f t="shared" si="209"/>
        <v>0</v>
      </c>
      <c r="AE496">
        <f t="shared" si="212"/>
        <v>0</v>
      </c>
    </row>
    <row r="497" spans="1:31" x14ac:dyDescent="0.25">
      <c r="A497" s="347">
        <v>63096</v>
      </c>
      <c r="B497" s="364">
        <f t="shared" si="206"/>
        <v>63.095999999999997</v>
      </c>
      <c r="C497" s="337">
        <f t="shared" si="187"/>
        <v>14.307900270377386</v>
      </c>
      <c r="D497" s="338">
        <f t="shared" si="188"/>
        <v>1.5008478429586078</v>
      </c>
      <c r="E497" s="338">
        <f t="shared" si="189"/>
        <v>1.0045162325576293</v>
      </c>
      <c r="F497" s="339">
        <f t="shared" si="190"/>
        <v>9.4860959737299216E-2</v>
      </c>
      <c r="G497" s="338">
        <f t="shared" si="191"/>
        <v>1</v>
      </c>
      <c r="H497" s="339">
        <f t="shared" si="192"/>
        <v>0</v>
      </c>
      <c r="I497" s="337">
        <f t="shared" si="193"/>
        <v>45681.03663130683</v>
      </c>
      <c r="J497" s="340">
        <f t="shared" si="194"/>
        <v>1.5707744358731088</v>
      </c>
      <c r="K497" s="348">
        <f t="shared" si="210"/>
        <v>10.750594309252429</v>
      </c>
      <c r="L497" s="349">
        <f t="shared" si="211"/>
        <v>1.4776435506216394</v>
      </c>
      <c r="M497" s="337">
        <f t="shared" si="195"/>
        <v>1.1296605501681423</v>
      </c>
      <c r="N497" s="340">
        <f t="shared" si="196"/>
        <v>0.48382599318491831</v>
      </c>
      <c r="O497" s="341">
        <f t="shared" si="197"/>
        <v>1.0547777221141517</v>
      </c>
      <c r="P497" s="342">
        <f t="shared" si="198"/>
        <v>0.88131521101335353</v>
      </c>
      <c r="Q497" s="343">
        <f t="shared" si="199"/>
        <v>-1.9516093167417861</v>
      </c>
      <c r="R497" s="344">
        <f t="shared" si="200"/>
        <v>-164.10995075405111</v>
      </c>
      <c r="S497" s="346">
        <f t="shared" si="201"/>
        <v>15.890049245948887</v>
      </c>
      <c r="U497" s="319">
        <f t="shared" si="207"/>
        <v>63096</v>
      </c>
      <c r="V497" s="319">
        <f t="shared" si="208"/>
        <v>3981105216</v>
      </c>
      <c r="X497" s="345">
        <f t="shared" si="202"/>
        <v>24.082195600781091</v>
      </c>
      <c r="Y497" s="346">
        <f t="shared" si="203"/>
        <v>-33.057194133220854</v>
      </c>
      <c r="AA497" s="345">
        <f t="shared" si="204"/>
        <v>36.207698704924148</v>
      </c>
      <c r="AB497" s="346">
        <f t="shared" si="205"/>
        <v>-131.05275662083025</v>
      </c>
      <c r="AD497">
        <f t="shared" si="209"/>
        <v>0</v>
      </c>
      <c r="AE497">
        <f t="shared" si="212"/>
        <v>0</v>
      </c>
    </row>
    <row r="498" spans="1:31" x14ac:dyDescent="0.25">
      <c r="A498" s="347">
        <v>63463.25</v>
      </c>
      <c r="B498" s="364">
        <f t="shared" si="206"/>
        <v>63.463250000000002</v>
      </c>
      <c r="C498" s="337">
        <f t="shared" si="187"/>
        <v>14.390773711528121</v>
      </c>
      <c r="D498" s="338">
        <f t="shared" si="188"/>
        <v>1.5012513141407995</v>
      </c>
      <c r="E498" s="338">
        <f t="shared" si="189"/>
        <v>1.0045688390795573</v>
      </c>
      <c r="F498" s="339">
        <f t="shared" si="190"/>
        <v>9.5409762481234422E-2</v>
      </c>
      <c r="G498" s="338">
        <f t="shared" si="191"/>
        <v>1</v>
      </c>
      <c r="H498" s="339">
        <f t="shared" si="192"/>
        <v>0</v>
      </c>
      <c r="I498" s="337">
        <f t="shared" si="193"/>
        <v>45946.922910862289</v>
      </c>
      <c r="J498" s="340">
        <f t="shared" si="194"/>
        <v>1.5707745625517933</v>
      </c>
      <c r="K498" s="348">
        <f t="shared" si="210"/>
        <v>10.812628239280015</v>
      </c>
      <c r="L498" s="349">
        <f t="shared" si="211"/>
        <v>1.4781795221409839</v>
      </c>
      <c r="M498" s="337">
        <f t="shared" si="195"/>
        <v>1.131086546163075</v>
      </c>
      <c r="N498" s="340">
        <f t="shared" si="196"/>
        <v>0.48621972622977633</v>
      </c>
      <c r="O498" s="341">
        <f t="shared" si="197"/>
        <v>1.056006015660431</v>
      </c>
      <c r="P498" s="342">
        <f t="shared" si="198"/>
        <v>0.88697539559701377</v>
      </c>
      <c r="Q498" s="343">
        <f t="shared" si="199"/>
        <v>-2.0228192613165592</v>
      </c>
      <c r="R498" s="344">
        <f t="shared" si="200"/>
        <v>-164.53237771023225</v>
      </c>
      <c r="S498" s="346">
        <f t="shared" si="201"/>
        <v>15.467622289767746</v>
      </c>
      <c r="U498" s="319">
        <f t="shared" si="207"/>
        <v>63463.25</v>
      </c>
      <c r="V498" s="319">
        <f t="shared" si="208"/>
        <v>4027584100.5625</v>
      </c>
      <c r="X498" s="345">
        <f t="shared" si="202"/>
        <v>24.070804458107698</v>
      </c>
      <c r="Y498" s="346">
        <f t="shared" si="203"/>
        <v>-33.163643286250192</v>
      </c>
      <c r="AA498" s="345">
        <f t="shared" si="204"/>
        <v>36.147879903022769</v>
      </c>
      <c r="AB498" s="346">
        <f t="shared" si="205"/>
        <v>-131.36873442398212</v>
      </c>
      <c r="AD498">
        <f t="shared" si="209"/>
        <v>0</v>
      </c>
      <c r="AE498">
        <f t="shared" si="212"/>
        <v>0</v>
      </c>
    </row>
    <row r="499" spans="1:31" x14ac:dyDescent="0.25">
      <c r="A499" s="347">
        <v>63830.5</v>
      </c>
      <c r="B499" s="364">
        <f t="shared" si="206"/>
        <v>63.830500000000001</v>
      </c>
      <c r="C499" s="337">
        <f t="shared" si="187"/>
        <v>14.473649468510954</v>
      </c>
      <c r="D499" s="338">
        <f t="shared" si="188"/>
        <v>1.501650164855387</v>
      </c>
      <c r="E499" s="338">
        <f t="shared" si="189"/>
        <v>1.0046217481302602</v>
      </c>
      <c r="F499" s="339">
        <f t="shared" si="190"/>
        <v>9.5958507584329472E-2</v>
      </c>
      <c r="G499" s="338">
        <f t="shared" si="191"/>
        <v>1</v>
      </c>
      <c r="H499" s="339">
        <f t="shared" si="192"/>
        <v>0</v>
      </c>
      <c r="I499" s="337">
        <f t="shared" si="193"/>
        <v>46212.809190418477</v>
      </c>
      <c r="J499" s="340">
        <f t="shared" si="194"/>
        <v>1.5707746877727813</v>
      </c>
      <c r="K499" s="348">
        <f t="shared" si="210"/>
        <v>10.874665239964719</v>
      </c>
      <c r="L499" s="349">
        <f t="shared" si="211"/>
        <v>1.4787093786682772</v>
      </c>
      <c r="M499" s="337">
        <f t="shared" si="195"/>
        <v>1.1325190068935316</v>
      </c>
      <c r="N499" s="340">
        <f t="shared" si="196"/>
        <v>0.48860741752584352</v>
      </c>
      <c r="O499" s="341">
        <f t="shared" si="197"/>
        <v>1.0572540761020939</v>
      </c>
      <c r="P499" s="342">
        <f t="shared" si="198"/>
        <v>0.8926386676475071</v>
      </c>
      <c r="Q499" s="343">
        <f t="shared" si="199"/>
        <v>-2.0939189430455629</v>
      </c>
      <c r="R499" s="344">
        <f t="shared" si="200"/>
        <v>-164.95472424752589</v>
      </c>
      <c r="S499" s="346">
        <f t="shared" si="201"/>
        <v>15.045275752474112</v>
      </c>
      <c r="U499" s="319">
        <f t="shared" si="207"/>
        <v>63830.5</v>
      </c>
      <c r="V499" s="319">
        <f t="shared" si="208"/>
        <v>4074332730.25</v>
      </c>
      <c r="X499" s="345">
        <f t="shared" si="202"/>
        <v>24.059384961050533</v>
      </c>
      <c r="Y499" s="346">
        <f t="shared" si="203"/>
        <v>-33.270096552289345</v>
      </c>
      <c r="AA499" s="345">
        <f t="shared" si="204"/>
        <v>36.088199718350928</v>
      </c>
      <c r="AB499" s="346">
        <f t="shared" si="205"/>
        <v>-131.68462769523654</v>
      </c>
      <c r="AD499">
        <f t="shared" si="209"/>
        <v>0</v>
      </c>
      <c r="AE499">
        <f t="shared" si="212"/>
        <v>0</v>
      </c>
    </row>
    <row r="500" spans="1:31" x14ac:dyDescent="0.25">
      <c r="A500" s="347">
        <v>64197.75</v>
      </c>
      <c r="B500" s="364">
        <f t="shared" si="206"/>
        <v>64.197749999999999</v>
      </c>
      <c r="C500" s="337">
        <f t="shared" si="187"/>
        <v>14.556527501771185</v>
      </c>
      <c r="D500" s="338">
        <f t="shared" si="188"/>
        <v>1.5020444738946936</v>
      </c>
      <c r="E500" s="338">
        <f t="shared" si="189"/>
        <v>1.0046749596619422</v>
      </c>
      <c r="F500" s="339">
        <f t="shared" si="190"/>
        <v>9.6507194725239637E-2</v>
      </c>
      <c r="G500" s="338">
        <f t="shared" si="191"/>
        <v>1</v>
      </c>
      <c r="H500" s="339">
        <f t="shared" si="192"/>
        <v>0</v>
      </c>
      <c r="I500" s="337">
        <f t="shared" si="193"/>
        <v>46478.695469975384</v>
      </c>
      <c r="J500" s="340">
        <f t="shared" si="194"/>
        <v>1.5707748115610898</v>
      </c>
      <c r="K500" s="348">
        <f t="shared" si="210"/>
        <v>10.936705259052864</v>
      </c>
      <c r="L500" s="349">
        <f t="shared" si="211"/>
        <v>1.4792332239679382</v>
      </c>
      <c r="M500" s="337">
        <f t="shared" si="195"/>
        <v>1.1339579078599791</v>
      </c>
      <c r="N500" s="340">
        <f t="shared" si="196"/>
        <v>0.49098906279651311</v>
      </c>
      <c r="O500" s="341">
        <f t="shared" si="197"/>
        <v>1.0585220776231019</v>
      </c>
      <c r="P500" s="342">
        <f t="shared" si="198"/>
        <v>0.89830487888654864</v>
      </c>
      <c r="Q500" s="343">
        <f t="shared" si="199"/>
        <v>-2.1649123142636135</v>
      </c>
      <c r="R500" s="344">
        <f t="shared" si="200"/>
        <v>-165.37698021422989</v>
      </c>
      <c r="S500" s="346">
        <f t="shared" si="201"/>
        <v>14.623019785770111</v>
      </c>
      <c r="U500" s="319">
        <f t="shared" si="207"/>
        <v>64197.75</v>
      </c>
      <c r="V500" s="319">
        <f t="shared" si="208"/>
        <v>4121351105.0625</v>
      </c>
      <c r="X500" s="345">
        <f t="shared" si="202"/>
        <v>24.047937282277935</v>
      </c>
      <c r="Y500" s="346">
        <f t="shared" si="203"/>
        <v>-33.37654774247693</v>
      </c>
      <c r="AA500" s="345">
        <f t="shared" si="204"/>
        <v>36.028654025905482</v>
      </c>
      <c r="AB500" s="346">
        <f t="shared" si="205"/>
        <v>-132.00043247175296</v>
      </c>
      <c r="AD500">
        <f t="shared" si="209"/>
        <v>0</v>
      </c>
      <c r="AE500">
        <f t="shared" si="212"/>
        <v>0</v>
      </c>
    </row>
    <row r="501" spans="1:31" x14ac:dyDescent="0.25">
      <c r="A501" s="347">
        <v>64565</v>
      </c>
      <c r="B501" s="364">
        <f t="shared" si="206"/>
        <v>64.564999999999998</v>
      </c>
      <c r="C501" s="337">
        <f t="shared" si="187"/>
        <v>14.63940777264877</v>
      </c>
      <c r="D501" s="338">
        <f t="shared" si="188"/>
        <v>1.5024343182724504</v>
      </c>
      <c r="E501" s="338">
        <f t="shared" si="189"/>
        <v>1.0047284736265438</v>
      </c>
      <c r="F501" s="339">
        <f t="shared" si="190"/>
        <v>9.7055823582827661E-2</v>
      </c>
      <c r="G501" s="338">
        <f t="shared" si="191"/>
        <v>1</v>
      </c>
      <c r="H501" s="339">
        <f t="shared" si="192"/>
        <v>0</v>
      </c>
      <c r="I501" s="337">
        <f t="shared" si="193"/>
        <v>46744.58174953299</v>
      </c>
      <c r="J501" s="340">
        <f t="shared" si="194"/>
        <v>1.5707749339411659</v>
      </c>
      <c r="K501" s="348">
        <f t="shared" si="210"/>
        <v>10.998748245467235</v>
      </c>
      <c r="L501" s="349">
        <f t="shared" si="211"/>
        <v>1.4797511594764488</v>
      </c>
      <c r="M501" s="337">
        <f t="shared" si="195"/>
        <v>1.135403224577209</v>
      </c>
      <c r="N501" s="340">
        <f t="shared" si="196"/>
        <v>0.49336465806116225</v>
      </c>
      <c r="O501" s="341">
        <f t="shared" si="197"/>
        <v>1.0598101938615136</v>
      </c>
      <c r="P501" s="342">
        <f t="shared" si="198"/>
        <v>0.90397387911742244</v>
      </c>
      <c r="Q501" s="343">
        <f t="shared" si="199"/>
        <v>-2.2358032513227371</v>
      </c>
      <c r="R501" s="344">
        <f t="shared" si="200"/>
        <v>-165.79913539711345</v>
      </c>
      <c r="S501" s="346">
        <f t="shared" si="201"/>
        <v>14.200864602886554</v>
      </c>
      <c r="U501" s="319">
        <f t="shared" si="207"/>
        <v>64565</v>
      </c>
      <c r="V501" s="319">
        <f t="shared" si="208"/>
        <v>4168639225</v>
      </c>
      <c r="X501" s="345">
        <f t="shared" si="202"/>
        <v>24.036461598149511</v>
      </c>
      <c r="Y501" s="346">
        <f t="shared" si="203"/>
        <v>-33.482990818258457</v>
      </c>
      <c r="AA501" s="345">
        <f t="shared" si="204"/>
        <v>35.969238772974776</v>
      </c>
      <c r="AB501" s="346">
        <f t="shared" si="205"/>
        <v>-132.31614457885493</v>
      </c>
      <c r="AD501">
        <f t="shared" si="209"/>
        <v>0</v>
      </c>
      <c r="AE501">
        <f t="shared" si="212"/>
        <v>0</v>
      </c>
    </row>
    <row r="502" spans="1:31" x14ac:dyDescent="0.25">
      <c r="A502" s="347">
        <v>64941</v>
      </c>
      <c r="B502" s="364">
        <f t="shared" si="206"/>
        <v>64.941000000000003</v>
      </c>
      <c r="C502" s="337">
        <f t="shared" si="187"/>
        <v>14.724265005395285</v>
      </c>
      <c r="D502" s="338">
        <f t="shared" si="188"/>
        <v>1.5028289040941285</v>
      </c>
      <c r="E502" s="338">
        <f t="shared" si="189"/>
        <v>1.0047835758773396</v>
      </c>
      <c r="F502" s="339">
        <f t="shared" si="190"/>
        <v>9.7617463206471328E-2</v>
      </c>
      <c r="G502" s="338">
        <f t="shared" si="191"/>
        <v>1</v>
      </c>
      <c r="H502" s="339">
        <f t="shared" si="192"/>
        <v>0</v>
      </c>
      <c r="I502" s="337">
        <f t="shared" si="193"/>
        <v>47016.802964274786</v>
      </c>
      <c r="J502" s="340">
        <f t="shared" si="194"/>
        <v>1.5707750578030251</v>
      </c>
      <c r="K502" s="348">
        <f t="shared" si="210"/>
        <v>11.062272473515678</v>
      </c>
      <c r="L502" s="349">
        <f t="shared" si="211"/>
        <v>1.4802754160492602</v>
      </c>
      <c r="M502" s="337">
        <f t="shared" si="195"/>
        <v>1.1368895983323368</v>
      </c>
      <c r="N502" s="340">
        <f t="shared" si="196"/>
        <v>0.49579058183085162</v>
      </c>
      <c r="O502" s="341">
        <f t="shared" si="197"/>
        <v>1.0611500204273634</v>
      </c>
      <c r="P502" s="342">
        <f t="shared" si="198"/>
        <v>0.90978067806361684</v>
      </c>
      <c r="Q502" s="343">
        <f t="shared" si="199"/>
        <v>-2.3082810619046361</v>
      </c>
      <c r="R502" s="344">
        <f t="shared" si="200"/>
        <v>-166.23123359308224</v>
      </c>
      <c r="S502" s="346">
        <f t="shared" si="201"/>
        <v>13.768766406917763</v>
      </c>
      <c r="U502" s="319">
        <f t="shared" si="207"/>
        <v>64941</v>
      </c>
      <c r="V502" s="319">
        <f t="shared" si="208"/>
        <v>4217333481</v>
      </c>
      <c r="X502" s="345">
        <f t="shared" si="202"/>
        <v>24.024683671125985</v>
      </c>
      <c r="Y502" s="346">
        <f t="shared" si="203"/>
        <v>-33.591955419564329</v>
      </c>
      <c r="AA502" s="345">
        <f t="shared" si="204"/>
        <v>35.908538889416405</v>
      </c>
      <c r="AB502" s="346">
        <f t="shared" si="205"/>
        <v>-132.63927817351791</v>
      </c>
      <c r="AD502">
        <f t="shared" si="209"/>
        <v>0</v>
      </c>
      <c r="AE502">
        <f t="shared" si="212"/>
        <v>0</v>
      </c>
    </row>
    <row r="503" spans="1:31" x14ac:dyDescent="0.25">
      <c r="A503" s="347">
        <v>65317</v>
      </c>
      <c r="B503" s="364">
        <f t="shared" si="206"/>
        <v>65.316999999999993</v>
      </c>
      <c r="C503" s="337">
        <f t="shared" si="187"/>
        <v>14.809124504406993</v>
      </c>
      <c r="D503" s="338">
        <f t="shared" si="188"/>
        <v>1.5032189678510857</v>
      </c>
      <c r="E503" s="338">
        <f t="shared" si="189"/>
        <v>1.0048389950413099</v>
      </c>
      <c r="F503" s="339">
        <f t="shared" si="190"/>
        <v>9.8179041055828156E-2</v>
      </c>
      <c r="G503" s="338">
        <f t="shared" si="191"/>
        <v>1</v>
      </c>
      <c r="H503" s="339">
        <f t="shared" si="192"/>
        <v>0</v>
      </c>
      <c r="I503" s="337">
        <f t="shared" si="193"/>
        <v>47289.024179017295</v>
      </c>
      <c r="J503" s="340">
        <f t="shared" si="194"/>
        <v>1.5707751802388525</v>
      </c>
      <c r="K503" s="348">
        <f t="shared" si="210"/>
        <v>11.125799707254162</v>
      </c>
      <c r="L503" s="349">
        <f t="shared" si="211"/>
        <v>1.4807936858551265</v>
      </c>
      <c r="M503" s="337">
        <f t="shared" si="195"/>
        <v>1.1383826453084924</v>
      </c>
      <c r="N503" s="340">
        <f t="shared" si="196"/>
        <v>0.49821015636311627</v>
      </c>
      <c r="O503" s="341">
        <f t="shared" si="197"/>
        <v>1.0625112981023275</v>
      </c>
      <c r="P503" s="342">
        <f t="shared" si="198"/>
        <v>0.91559007584401075</v>
      </c>
      <c r="Q503" s="343">
        <f t="shared" si="199"/>
        <v>-2.3806594827838925</v>
      </c>
      <c r="R503" s="344">
        <f t="shared" si="200"/>
        <v>-166.66320428573064</v>
      </c>
      <c r="S503" s="346">
        <f t="shared" si="201"/>
        <v>13.336795714269357</v>
      </c>
      <c r="U503" s="319">
        <f t="shared" si="207"/>
        <v>65317</v>
      </c>
      <c r="V503" s="319">
        <f t="shared" si="208"/>
        <v>4266310489</v>
      </c>
      <c r="X503" s="345">
        <f t="shared" si="202"/>
        <v>24.012876773580544</v>
      </c>
      <c r="Y503" s="346">
        <f t="shared" si="203"/>
        <v>-33.700899171135902</v>
      </c>
      <c r="AA503" s="345">
        <f t="shared" si="204"/>
        <v>35.847967366082585</v>
      </c>
      <c r="AB503" s="346">
        <f t="shared" si="205"/>
        <v>-132.96230511459476</v>
      </c>
      <c r="AD503">
        <f t="shared" si="209"/>
        <v>0</v>
      </c>
      <c r="AE503">
        <f t="shared" si="212"/>
        <v>0</v>
      </c>
    </row>
    <row r="504" spans="1:31" x14ac:dyDescent="0.25">
      <c r="A504" s="347">
        <v>65693</v>
      </c>
      <c r="B504" s="364">
        <f t="shared" si="206"/>
        <v>65.692999999999998</v>
      </c>
      <c r="C504" s="337">
        <f t="shared" si="187"/>
        <v>14.89398623094729</v>
      </c>
      <c r="D504" s="338">
        <f t="shared" si="188"/>
        <v>1.5036045867199419</v>
      </c>
      <c r="E504" s="338">
        <f t="shared" si="189"/>
        <v>1.0048947310660219</v>
      </c>
      <c r="F504" s="339">
        <f t="shared" si="190"/>
        <v>9.8740556786938716E-2</v>
      </c>
      <c r="G504" s="338">
        <f t="shared" si="191"/>
        <v>1</v>
      </c>
      <c r="H504" s="339">
        <f t="shared" si="192"/>
        <v>0</v>
      </c>
      <c r="I504" s="337">
        <f t="shared" si="193"/>
        <v>47561.245393760502</v>
      </c>
      <c r="J504" s="340">
        <f t="shared" si="194"/>
        <v>1.5707753012731343</v>
      </c>
      <c r="K504" s="348">
        <f t="shared" si="210"/>
        <v>11.189329895488424</v>
      </c>
      <c r="L504" s="349">
        <f t="shared" si="211"/>
        <v>1.4813060705872816</v>
      </c>
      <c r="M504" s="337">
        <f t="shared" si="195"/>
        <v>1.1398823392834105</v>
      </c>
      <c r="N504" s="340">
        <f t="shared" si="196"/>
        <v>0.50062337833282911</v>
      </c>
      <c r="O504" s="341">
        <f t="shared" si="197"/>
        <v>1.0638942112614003</v>
      </c>
      <c r="P504" s="342">
        <f t="shared" si="198"/>
        <v>0.92140190525002474</v>
      </c>
      <c r="Q504" s="343">
        <f t="shared" si="199"/>
        <v>-2.4529424331476317</v>
      </c>
      <c r="R504" s="344">
        <f t="shared" si="200"/>
        <v>-167.09503632060878</v>
      </c>
      <c r="S504" s="346">
        <f t="shared" si="201"/>
        <v>12.904963679391216</v>
      </c>
      <c r="U504" s="319">
        <f t="shared" si="207"/>
        <v>65693</v>
      </c>
      <c r="V504" s="319">
        <f t="shared" si="208"/>
        <v>4315570249</v>
      </c>
      <c r="X504" s="345">
        <f t="shared" si="202"/>
        <v>24.001041105667923</v>
      </c>
      <c r="Y504" s="346">
        <f t="shared" si="203"/>
        <v>-33.809816057267227</v>
      </c>
      <c r="AA504" s="345">
        <f t="shared" si="204"/>
        <v>35.78752008363147</v>
      </c>
      <c r="AB504" s="346">
        <f t="shared" si="205"/>
        <v>-133.28522026334159</v>
      </c>
      <c r="AD504">
        <f t="shared" si="209"/>
        <v>0</v>
      </c>
      <c r="AE504">
        <f t="shared" si="212"/>
        <v>0</v>
      </c>
    </row>
    <row r="505" spans="1:31" x14ac:dyDescent="0.25">
      <c r="A505" s="347">
        <v>66069</v>
      </c>
      <c r="B505" s="364">
        <f t="shared" si="206"/>
        <v>66.069000000000003</v>
      </c>
      <c r="C505" s="337">
        <f t="shared" si="187"/>
        <v>14.978850147156416</v>
      </c>
      <c r="D505" s="338">
        <f t="shared" si="188"/>
        <v>1.5039858361336715</v>
      </c>
      <c r="E505" s="338">
        <f t="shared" si="189"/>
        <v>1.0049507838987553</v>
      </c>
      <c r="F505" s="339">
        <f t="shared" si="190"/>
        <v>9.9302010056076404E-2</v>
      </c>
      <c r="G505" s="338">
        <f t="shared" si="191"/>
        <v>1</v>
      </c>
      <c r="H505" s="339">
        <f t="shared" si="192"/>
        <v>0</v>
      </c>
      <c r="I505" s="337">
        <f t="shared" si="193"/>
        <v>47833.466608504401</v>
      </c>
      <c r="J505" s="340">
        <f t="shared" si="194"/>
        <v>1.5707754209297988</v>
      </c>
      <c r="K505" s="348">
        <f t="shared" si="210"/>
        <v>11.252862988177947</v>
      </c>
      <c r="L505" s="349">
        <f t="shared" si="211"/>
        <v>1.481812669654861</v>
      </c>
      <c r="M505" s="337">
        <f t="shared" si="195"/>
        <v>1.1413886540562073</v>
      </c>
      <c r="N505" s="340">
        <f t="shared" si="196"/>
        <v>0.50303024472825808</v>
      </c>
      <c r="O505" s="341">
        <f t="shared" si="197"/>
        <v>1.0652989435492113</v>
      </c>
      <c r="P505" s="342">
        <f t="shared" si="198"/>
        <v>0.92721599712553915</v>
      </c>
      <c r="Q505" s="343">
        <f t="shared" si="199"/>
        <v>-2.525133753073975</v>
      </c>
      <c r="R505" s="344">
        <f t="shared" si="200"/>
        <v>-167.52671848055772</v>
      </c>
      <c r="S505" s="346">
        <f t="shared" si="201"/>
        <v>12.473281519442281</v>
      </c>
      <c r="U505" s="319">
        <f t="shared" si="207"/>
        <v>66069</v>
      </c>
      <c r="V505" s="319">
        <f t="shared" si="208"/>
        <v>4365112761</v>
      </c>
      <c r="X505" s="345">
        <f t="shared" si="202"/>
        <v>23.989176870852237</v>
      </c>
      <c r="Y505" s="346">
        <f t="shared" si="203"/>
        <v>-33.918700211045895</v>
      </c>
      <c r="AA505" s="345">
        <f t="shared" si="204"/>
        <v>35.727192998520813</v>
      </c>
      <c r="AB505" s="346">
        <f t="shared" si="205"/>
        <v>-133.60801826951186</v>
      </c>
      <c r="AD505">
        <f t="shared" si="209"/>
        <v>0</v>
      </c>
      <c r="AE505">
        <f t="shared" si="212"/>
        <v>0</v>
      </c>
    </row>
    <row r="506" spans="1:31" x14ac:dyDescent="0.25">
      <c r="A506" s="347">
        <v>66453.75</v>
      </c>
      <c r="B506" s="364">
        <f t="shared" si="206"/>
        <v>66.453749999999999</v>
      </c>
      <c r="C506" s="337">
        <f t="shared" si="187"/>
        <v>15.065691183127432</v>
      </c>
      <c r="D506" s="338">
        <f t="shared" si="188"/>
        <v>1.504371511459716</v>
      </c>
      <c r="E506" s="338">
        <f t="shared" si="189"/>
        <v>1.005008469049758</v>
      </c>
      <c r="F506" s="339">
        <f t="shared" si="190"/>
        <v>9.9876464041962168E-2</v>
      </c>
      <c r="G506" s="338">
        <f t="shared" si="191"/>
        <v>1</v>
      </c>
      <c r="H506" s="339">
        <f t="shared" si="192"/>
        <v>0</v>
      </c>
      <c r="I506" s="337">
        <f t="shared" si="193"/>
        <v>48112.02275843254</v>
      </c>
      <c r="J506" s="340">
        <f t="shared" si="194"/>
        <v>1.5707755419693428</v>
      </c>
      <c r="K506" s="348">
        <f t="shared" si="210"/>
        <v>11.317877532641694</v>
      </c>
      <c r="L506" s="349">
        <f t="shared" si="211"/>
        <v>1.4823251701133249</v>
      </c>
      <c r="M506" s="337">
        <f t="shared" si="195"/>
        <v>1.1429368490899103</v>
      </c>
      <c r="N506" s="340">
        <f t="shared" si="196"/>
        <v>0.50548654001239368</v>
      </c>
      <c r="O506" s="341">
        <f t="shared" si="197"/>
        <v>1.0667591432046348</v>
      </c>
      <c r="P506" s="342">
        <f t="shared" si="198"/>
        <v>0.93316755393644979</v>
      </c>
      <c r="Q506" s="343">
        <f t="shared" si="199"/>
        <v>-2.5989141274561147</v>
      </c>
      <c r="R506" s="344">
        <f t="shared" si="200"/>
        <v>-167.96827952219414</v>
      </c>
      <c r="S506" s="346">
        <f t="shared" si="201"/>
        <v>12.031720477805862</v>
      </c>
      <c r="U506" s="319">
        <f t="shared" si="207"/>
        <v>66453.75</v>
      </c>
      <c r="V506" s="319">
        <f t="shared" si="208"/>
        <v>4416100889.0625</v>
      </c>
      <c r="X506" s="345">
        <f t="shared" si="202"/>
        <v>23.977007183872697</v>
      </c>
      <c r="Y506" s="346">
        <f t="shared" si="203"/>
        <v>-34.030078385978541</v>
      </c>
      <c r="AA506" s="345">
        <f t="shared" si="204"/>
        <v>35.665582311118214</v>
      </c>
      <c r="AB506" s="346">
        <f t="shared" si="205"/>
        <v>-133.93820113621561</v>
      </c>
      <c r="AD506">
        <f t="shared" si="209"/>
        <v>0</v>
      </c>
      <c r="AE506">
        <f t="shared" si="212"/>
        <v>0</v>
      </c>
    </row>
    <row r="507" spans="1:31" x14ac:dyDescent="0.25">
      <c r="A507" s="347">
        <v>66838.5</v>
      </c>
      <c r="B507" s="364">
        <f t="shared" si="206"/>
        <v>66.838499999999996</v>
      </c>
      <c r="C507" s="337">
        <f t="shared" si="187"/>
        <v>15.152534434365018</v>
      </c>
      <c r="D507" s="338">
        <f t="shared" si="188"/>
        <v>1.5047527660238311</v>
      </c>
      <c r="E507" s="338">
        <f t="shared" si="189"/>
        <v>1.0050664858127909</v>
      </c>
      <c r="F507" s="339">
        <f t="shared" si="190"/>
        <v>0.10045085189746358</v>
      </c>
      <c r="G507" s="338">
        <f t="shared" si="191"/>
        <v>1</v>
      </c>
      <c r="H507" s="339">
        <f t="shared" si="192"/>
        <v>0</v>
      </c>
      <c r="I507" s="337">
        <f t="shared" si="193"/>
        <v>48390.578908361356</v>
      </c>
      <c r="J507" s="340">
        <f t="shared" si="194"/>
        <v>1.5707756616153796</v>
      </c>
      <c r="K507" s="348">
        <f t="shared" si="210"/>
        <v>11.382895015863639</v>
      </c>
      <c r="L507" s="349">
        <f t="shared" si="211"/>
        <v>1.4828318160436174</v>
      </c>
      <c r="M507" s="337">
        <f t="shared" si="195"/>
        <v>1.1444919212228291</v>
      </c>
      <c r="N507" s="340">
        <f t="shared" si="196"/>
        <v>0.50793617508719702</v>
      </c>
      <c r="O507" s="341">
        <f t="shared" si="197"/>
        <v>1.0682425758980885</v>
      </c>
      <c r="P507" s="342">
        <f t="shared" si="198"/>
        <v>0.93912111532313625</v>
      </c>
      <c r="Q507" s="343">
        <f t="shared" si="199"/>
        <v>-2.6726064430935943</v>
      </c>
      <c r="R507" s="344">
        <f t="shared" si="200"/>
        <v>-168.40965967358093</v>
      </c>
      <c r="S507" s="346">
        <f t="shared" si="201"/>
        <v>11.590340326419067</v>
      </c>
      <c r="U507" s="319">
        <f t="shared" si="207"/>
        <v>66838.5</v>
      </c>
      <c r="V507" s="319">
        <f t="shared" si="208"/>
        <v>4467385082.25</v>
      </c>
      <c r="X507" s="345">
        <f t="shared" si="202"/>
        <v>23.964808025868397</v>
      </c>
      <c r="Y507" s="346">
        <f t="shared" si="203"/>
        <v>-34.141410318938924</v>
      </c>
      <c r="AA507" s="345">
        <f t="shared" si="204"/>
        <v>35.604089153485035</v>
      </c>
      <c r="AB507" s="346">
        <f t="shared" si="205"/>
        <v>-134.26824935464202</v>
      </c>
      <c r="AD507">
        <f t="shared" si="209"/>
        <v>0</v>
      </c>
      <c r="AE507">
        <f t="shared" si="212"/>
        <v>0</v>
      </c>
    </row>
    <row r="508" spans="1:31" x14ac:dyDescent="0.25">
      <c r="A508" s="347">
        <v>67223.25</v>
      </c>
      <c r="B508" s="364">
        <f t="shared" si="206"/>
        <v>67.223249999999993</v>
      </c>
      <c r="C508" s="337">
        <f t="shared" si="187"/>
        <v>15.239379862997374</v>
      </c>
      <c r="D508" s="338">
        <f t="shared" si="188"/>
        <v>1.5051296752926857</v>
      </c>
      <c r="E508" s="338">
        <f t="shared" si="189"/>
        <v>1.0051248341304309</v>
      </c>
      <c r="F508" s="339">
        <f t="shared" si="190"/>
        <v>0.10102517325505925</v>
      </c>
      <c r="G508" s="338">
        <f t="shared" si="191"/>
        <v>1</v>
      </c>
      <c r="H508" s="339">
        <f t="shared" si="192"/>
        <v>0</v>
      </c>
      <c r="I508" s="337">
        <f t="shared" si="193"/>
        <v>48669.135058290871</v>
      </c>
      <c r="J508" s="340">
        <f t="shared" si="194"/>
        <v>1.5707757798918363</v>
      </c>
      <c r="K508" s="348">
        <f t="shared" si="210"/>
        <v>11.447915387772486</v>
      </c>
      <c r="L508" s="349">
        <f t="shared" si="211"/>
        <v>1.4833327069387445</v>
      </c>
      <c r="M508" s="337">
        <f t="shared" si="195"/>
        <v>1.1460538424605058</v>
      </c>
      <c r="N508" s="340">
        <f t="shared" si="196"/>
        <v>0.51037914772502202</v>
      </c>
      <c r="O508" s="341">
        <f t="shared" si="197"/>
        <v>1.0697494358071187</v>
      </c>
      <c r="P508" s="342">
        <f t="shared" si="198"/>
        <v>0.94507649399984595</v>
      </c>
      <c r="Q508" s="343">
        <f t="shared" si="199"/>
        <v>-2.7462145637553474</v>
      </c>
      <c r="R508" s="344">
        <f t="shared" si="200"/>
        <v>-168.85084672222075</v>
      </c>
      <c r="S508" s="346">
        <f t="shared" si="201"/>
        <v>11.149153277779249</v>
      </c>
      <c r="U508" s="319">
        <f t="shared" si="207"/>
        <v>67223.25</v>
      </c>
      <c r="V508" s="319">
        <f t="shared" si="208"/>
        <v>4518965340.5625</v>
      </c>
      <c r="X508" s="345">
        <f t="shared" si="202"/>
        <v>23.952579624503365</v>
      </c>
      <c r="Y508" s="346">
        <f t="shared" si="203"/>
        <v>-34.252690183133844</v>
      </c>
      <c r="AA508" s="345">
        <f t="shared" si="204"/>
        <v>35.542709434188311</v>
      </c>
      <c r="AB508" s="346">
        <f t="shared" si="205"/>
        <v>-134.59815653908694</v>
      </c>
      <c r="AD508">
        <f t="shared" si="209"/>
        <v>0</v>
      </c>
      <c r="AE508">
        <f t="shared" si="212"/>
        <v>0</v>
      </c>
    </row>
    <row r="509" spans="1:31" x14ac:dyDescent="0.25">
      <c r="A509" s="347">
        <v>67608</v>
      </c>
      <c r="B509" s="364">
        <f t="shared" si="206"/>
        <v>67.608000000000004</v>
      </c>
      <c r="C509" s="337">
        <f t="shared" si="187"/>
        <v>15.326227432010146</v>
      </c>
      <c r="D509" s="338">
        <f t="shared" si="188"/>
        <v>1.505502313027395</v>
      </c>
      <c r="E509" s="338">
        <f t="shared" si="189"/>
        <v>1.0051835139449405</v>
      </c>
      <c r="F509" s="339">
        <f t="shared" si="190"/>
        <v>0.10159942774748831</v>
      </c>
      <c r="G509" s="338">
        <f t="shared" si="191"/>
        <v>1</v>
      </c>
      <c r="H509" s="339">
        <f t="shared" si="192"/>
        <v>0</v>
      </c>
      <c r="I509" s="337">
        <f t="shared" si="193"/>
        <v>48947.691208221062</v>
      </c>
      <c r="J509" s="340">
        <f t="shared" si="194"/>
        <v>1.5707758968220953</v>
      </c>
      <c r="K509" s="348">
        <f t="shared" si="210"/>
        <v>11.512938599425866</v>
      </c>
      <c r="L509" s="349">
        <f t="shared" si="211"/>
        <v>1.4838279400557319</v>
      </c>
      <c r="M509" s="337">
        <f t="shared" si="195"/>
        <v>1.1476225848379229</v>
      </c>
      <c r="N509" s="340">
        <f t="shared" si="196"/>
        <v>0.51281545602841894</v>
      </c>
      <c r="O509" s="341">
        <f t="shared" si="197"/>
        <v>1.0712799161648321</v>
      </c>
      <c r="P509" s="342">
        <f t="shared" si="198"/>
        <v>0.951033500745323</v>
      </c>
      <c r="Q509" s="343">
        <f t="shared" si="199"/>
        <v>-2.8197422707925006</v>
      </c>
      <c r="R509" s="344">
        <f t="shared" si="200"/>
        <v>-169.29182839398425</v>
      </c>
      <c r="S509" s="346">
        <f t="shared" si="201"/>
        <v>10.708171606015753</v>
      </c>
      <c r="U509" s="319">
        <f t="shared" si="207"/>
        <v>67608</v>
      </c>
      <c r="V509" s="319">
        <f t="shared" si="208"/>
        <v>4570841664</v>
      </c>
      <c r="X509" s="345">
        <f t="shared" si="202"/>
        <v>23.940322210350136</v>
      </c>
      <c r="Y509" s="346">
        <f t="shared" si="203"/>
        <v>-34.363912298770124</v>
      </c>
      <c r="AA509" s="345">
        <f t="shared" si="204"/>
        <v>35.481439141304392</v>
      </c>
      <c r="AB509" s="346">
        <f t="shared" si="205"/>
        <v>-134.9279160952141</v>
      </c>
      <c r="AD509">
        <f t="shared" si="209"/>
        <v>0</v>
      </c>
      <c r="AE509">
        <f t="shared" si="212"/>
        <v>0</v>
      </c>
    </row>
    <row r="510" spans="1:31" x14ac:dyDescent="0.25">
      <c r="A510" s="347">
        <v>68001.75</v>
      </c>
      <c r="B510" s="364">
        <f t="shared" si="206"/>
        <v>68.001750000000001</v>
      </c>
      <c r="C510" s="337">
        <f t="shared" si="187"/>
        <v>15.41510870142463</v>
      </c>
      <c r="D510" s="338">
        <f t="shared" si="188"/>
        <v>1.5058793200783605</v>
      </c>
      <c r="E510" s="338">
        <f t="shared" si="189"/>
        <v>1.0052439095451466</v>
      </c>
      <c r="F510" s="339">
        <f t="shared" si="190"/>
        <v>0.10218704548099744</v>
      </c>
      <c r="G510" s="338">
        <f t="shared" si="191"/>
        <v>1</v>
      </c>
      <c r="H510" s="339">
        <f t="shared" si="192"/>
        <v>0</v>
      </c>
      <c r="I510" s="337">
        <f t="shared" si="193"/>
        <v>49232.763291483636</v>
      </c>
      <c r="J510" s="340">
        <f t="shared" si="194"/>
        <v>1.5707760151176067</v>
      </c>
      <c r="K510" s="348">
        <f t="shared" si="210"/>
        <v>11.57948571212318</v>
      </c>
      <c r="L510" s="349">
        <f t="shared" si="211"/>
        <v>1.4843289989288044</v>
      </c>
      <c r="M510" s="337">
        <f t="shared" si="195"/>
        <v>1.1492350561404101</v>
      </c>
      <c r="N510" s="340">
        <f t="shared" si="196"/>
        <v>0.51530185236881998</v>
      </c>
      <c r="O510" s="341">
        <f t="shared" si="197"/>
        <v>1.072870853528453</v>
      </c>
      <c r="P510" s="342">
        <f t="shared" si="198"/>
        <v>0.95713133890233426</v>
      </c>
      <c r="Q510" s="343">
        <f t="shared" si="199"/>
        <v>-2.8949105271934537</v>
      </c>
      <c r="R510" s="344">
        <f t="shared" si="200"/>
        <v>-169.74289991744078</v>
      </c>
      <c r="S510" s="346">
        <f t="shared" si="201"/>
        <v>10.257100082559219</v>
      </c>
      <c r="U510" s="319">
        <f t="shared" si="207"/>
        <v>68001.75</v>
      </c>
      <c r="V510" s="319">
        <f t="shared" si="208"/>
        <v>4624238003.0625</v>
      </c>
      <c r="X510" s="345">
        <f t="shared" si="202"/>
        <v>23.92774827780595</v>
      </c>
      <c r="Y510" s="346">
        <f t="shared" si="203"/>
        <v>-34.477670534520762</v>
      </c>
      <c r="AA510" s="345">
        <f t="shared" si="204"/>
        <v>35.418844817447621</v>
      </c>
      <c r="AB510" s="346">
        <f t="shared" si="205"/>
        <v>-135.26522938291998</v>
      </c>
      <c r="AD510">
        <f t="shared" si="209"/>
        <v>0</v>
      </c>
      <c r="AE510">
        <f t="shared" si="212"/>
        <v>0</v>
      </c>
    </row>
    <row r="511" spans="1:31" x14ac:dyDescent="0.25">
      <c r="A511" s="347">
        <v>68395.5</v>
      </c>
      <c r="B511" s="364">
        <f t="shared" si="206"/>
        <v>68.395499999999998</v>
      </c>
      <c r="C511" s="337">
        <f t="shared" si="187"/>
        <v>15.503992136733567</v>
      </c>
      <c r="D511" s="338">
        <f t="shared" si="188"/>
        <v>1.5062520044652259</v>
      </c>
      <c r="E511" s="338">
        <f t="shared" si="189"/>
        <v>1.0053046522088713</v>
      </c>
      <c r="F511" s="339">
        <f t="shared" si="190"/>
        <v>0.10277459240711488</v>
      </c>
      <c r="G511" s="338">
        <f t="shared" si="191"/>
        <v>1</v>
      </c>
      <c r="H511" s="339">
        <f t="shared" si="192"/>
        <v>0</v>
      </c>
      <c r="I511" s="337">
        <f t="shared" si="193"/>
        <v>49517.835374746886</v>
      </c>
      <c r="J511" s="340">
        <f t="shared" si="194"/>
        <v>1.5707761320510736</v>
      </c>
      <c r="K511" s="348">
        <f t="shared" si="210"/>
        <v>11.646035698741997</v>
      </c>
      <c r="L511" s="349">
        <f t="shared" si="211"/>
        <v>1.4848243314337113</v>
      </c>
      <c r="M511" s="337">
        <f t="shared" si="195"/>
        <v>1.1508546122710064</v>
      </c>
      <c r="N511" s="340">
        <f t="shared" si="196"/>
        <v>0.51778126596997098</v>
      </c>
      <c r="O511" s="341">
        <f t="shared" si="197"/>
        <v>1.0744869356244244</v>
      </c>
      <c r="P511" s="342">
        <f t="shared" si="198"/>
        <v>0.9632304752191041</v>
      </c>
      <c r="Q511" s="343">
        <f t="shared" si="199"/>
        <v>-2.9700023171699801</v>
      </c>
      <c r="R511" s="344">
        <f t="shared" si="200"/>
        <v>-170.19373014372778</v>
      </c>
      <c r="S511" s="346">
        <f t="shared" si="201"/>
        <v>9.8062698562722233</v>
      </c>
      <c r="U511" s="319">
        <f t="shared" si="207"/>
        <v>68395.5</v>
      </c>
      <c r="V511" s="319">
        <f t="shared" si="208"/>
        <v>4677944420.25</v>
      </c>
      <c r="X511" s="345">
        <f t="shared" si="202"/>
        <v>23.915144456518682</v>
      </c>
      <c r="Y511" s="346">
        <f t="shared" si="203"/>
        <v>-34.59135670747127</v>
      </c>
      <c r="AA511" s="345">
        <f t="shared" si="204"/>
        <v>35.356356848758359</v>
      </c>
      <c r="AB511" s="346">
        <f t="shared" si="205"/>
        <v>-135.60237343625647</v>
      </c>
      <c r="AD511">
        <f t="shared" si="209"/>
        <v>0</v>
      </c>
      <c r="AE511">
        <f t="shared" si="212"/>
        <v>0</v>
      </c>
    </row>
    <row r="512" spans="1:31" x14ac:dyDescent="0.25">
      <c r="A512" s="347">
        <v>68789.25</v>
      </c>
      <c r="B512" s="364">
        <f t="shared" si="206"/>
        <v>68.789249999999996</v>
      </c>
      <c r="C512" s="337">
        <f t="shared" si="187"/>
        <v>15.592877700898478</v>
      </c>
      <c r="D512" s="338">
        <f t="shared" si="188"/>
        <v>1.5066204400062493</v>
      </c>
      <c r="E512" s="338">
        <f t="shared" si="189"/>
        <v>1.0053657418732074</v>
      </c>
      <c r="F512" s="339">
        <f t="shared" si="190"/>
        <v>0.103362068133056</v>
      </c>
      <c r="G512" s="338">
        <f t="shared" si="191"/>
        <v>1</v>
      </c>
      <c r="H512" s="339">
        <f t="shared" si="192"/>
        <v>0</v>
      </c>
      <c r="I512" s="337">
        <f t="shared" si="193"/>
        <v>49802.907458010806</v>
      </c>
      <c r="J512" s="340">
        <f t="shared" si="194"/>
        <v>1.5707762476458849</v>
      </c>
      <c r="K512" s="348">
        <f t="shared" si="210"/>
        <v>11.712588510294145</v>
      </c>
      <c r="L512" s="349">
        <f t="shared" si="211"/>
        <v>1.485314034939728</v>
      </c>
      <c r="M512" s="337">
        <f t="shared" si="195"/>
        <v>1.1524812233612594</v>
      </c>
      <c r="N512" s="340">
        <f t="shared" si="196"/>
        <v>0.520253695849896</v>
      </c>
      <c r="O512" s="341">
        <f t="shared" si="197"/>
        <v>1.0761283662598924</v>
      </c>
      <c r="P512" s="342">
        <f t="shared" si="198"/>
        <v>0.96933070094294382</v>
      </c>
      <c r="Q512" s="343">
        <f t="shared" si="199"/>
        <v>-3.0450214320797797</v>
      </c>
      <c r="R512" s="344">
        <f t="shared" si="200"/>
        <v>-170.64430573040528</v>
      </c>
      <c r="S512" s="346">
        <f t="shared" si="201"/>
        <v>9.3556942695947214</v>
      </c>
      <c r="U512" s="319">
        <f t="shared" si="207"/>
        <v>68789.25</v>
      </c>
      <c r="V512" s="319">
        <f t="shared" si="208"/>
        <v>4731960915.5625</v>
      </c>
      <c r="X512" s="345">
        <f t="shared" si="202"/>
        <v>23.902511002024745</v>
      </c>
      <c r="Y512" s="346">
        <f t="shared" si="203"/>
        <v>-34.704965183850142</v>
      </c>
      <c r="AA512" s="345">
        <f t="shared" si="204"/>
        <v>35.293971188342496</v>
      </c>
      <c r="AB512" s="346">
        <f t="shared" si="205"/>
        <v>-135.93934054655514</v>
      </c>
      <c r="AD512">
        <f t="shared" si="209"/>
        <v>0</v>
      </c>
      <c r="AE512">
        <f t="shared" si="212"/>
        <v>0</v>
      </c>
    </row>
    <row r="513" spans="1:31" x14ac:dyDescent="0.25">
      <c r="A513" s="347">
        <v>69183</v>
      </c>
      <c r="B513" s="364">
        <f t="shared" si="206"/>
        <v>69.183000000000007</v>
      </c>
      <c r="C513" s="337">
        <f t="shared" si="187"/>
        <v>15.68176535771976</v>
      </c>
      <c r="D513" s="338">
        <f t="shared" si="188"/>
        <v>1.5069846988506908</v>
      </c>
      <c r="E513" s="338">
        <f t="shared" si="189"/>
        <v>1.0054271784749036</v>
      </c>
      <c r="F513" s="339">
        <f t="shared" si="190"/>
        <v>0.10394947226632795</v>
      </c>
      <c r="G513" s="338">
        <f t="shared" si="191"/>
        <v>1</v>
      </c>
      <c r="H513" s="339">
        <f t="shared" si="192"/>
        <v>0</v>
      </c>
      <c r="I513" s="337">
        <f t="shared" si="193"/>
        <v>50087.979541275403</v>
      </c>
      <c r="J513" s="340">
        <f t="shared" si="194"/>
        <v>1.5707763619248973</v>
      </c>
      <c r="K513" s="348">
        <f t="shared" si="210"/>
        <v>11.779144098896534</v>
      </c>
      <c r="L513" s="349">
        <f t="shared" si="211"/>
        <v>1.48579820462641</v>
      </c>
      <c r="M513" s="337">
        <f t="shared" si="195"/>
        <v>1.15411485958136</v>
      </c>
      <c r="N513" s="340">
        <f t="shared" si="196"/>
        <v>0.52271914137366737</v>
      </c>
      <c r="O513" s="341">
        <f t="shared" si="197"/>
        <v>1.0777953480494065</v>
      </c>
      <c r="P513" s="342">
        <f t="shared" si="198"/>
        <v>0.97543180544331654</v>
      </c>
      <c r="Q513" s="343">
        <f t="shared" si="199"/>
        <v>-3.1199715771686205</v>
      </c>
      <c r="R513" s="344">
        <f t="shared" si="200"/>
        <v>-171.09461327711287</v>
      </c>
      <c r="S513" s="346">
        <f t="shared" si="201"/>
        <v>8.9053867228871297</v>
      </c>
      <c r="U513" s="319">
        <f t="shared" si="207"/>
        <v>69183</v>
      </c>
      <c r="V513" s="319">
        <f t="shared" si="208"/>
        <v>4786287489</v>
      </c>
      <c r="X513" s="345">
        <f t="shared" si="202"/>
        <v>23.88984817235692</v>
      </c>
      <c r="Y513" s="346">
        <f t="shared" si="203"/>
        <v>-34.818490475201422</v>
      </c>
      <c r="AA513" s="345">
        <f t="shared" si="204"/>
        <v>35.231683872921479</v>
      </c>
      <c r="AB513" s="346">
        <f t="shared" si="205"/>
        <v>-136.27612280191138</v>
      </c>
      <c r="AD513">
        <f t="shared" si="209"/>
        <v>0</v>
      </c>
      <c r="AE513">
        <f t="shared" si="212"/>
        <v>0</v>
      </c>
    </row>
    <row r="514" spans="1:31" x14ac:dyDescent="0.25">
      <c r="A514" s="347">
        <v>69586</v>
      </c>
      <c r="B514" s="364">
        <f t="shared" si="206"/>
        <v>69.585999999999999</v>
      </c>
      <c r="C514" s="337">
        <f t="shared" si="187"/>
        <v>15.772743299070784</v>
      </c>
      <c r="D514" s="338">
        <f t="shared" si="188"/>
        <v>1.5073532634530846</v>
      </c>
      <c r="E514" s="338">
        <f t="shared" si="189"/>
        <v>1.0054904175412815</v>
      </c>
      <c r="F514" s="339">
        <f t="shared" si="190"/>
        <v>0.10455060119027397</v>
      </c>
      <c r="G514" s="338">
        <f t="shared" si="191"/>
        <v>1</v>
      </c>
      <c r="H514" s="339">
        <f t="shared" si="192"/>
        <v>0</v>
      </c>
      <c r="I514" s="337">
        <f t="shared" si="193"/>
        <v>50379.748556020517</v>
      </c>
      <c r="J514" s="340">
        <f t="shared" si="194"/>
        <v>1.570776477549342</v>
      </c>
      <c r="K514" s="348">
        <f t="shared" si="210"/>
        <v>11.847266042442193</v>
      </c>
      <c r="L514" s="349">
        <f t="shared" si="211"/>
        <v>1.4862881152078187</v>
      </c>
      <c r="M514" s="337">
        <f t="shared" si="195"/>
        <v>1.1557941168189365</v>
      </c>
      <c r="N514" s="340">
        <f t="shared" si="196"/>
        <v>0.52523527259904823</v>
      </c>
      <c r="O514" s="341">
        <f t="shared" si="197"/>
        <v>1.0795281594199759</v>
      </c>
      <c r="P514" s="342">
        <f t="shared" si="198"/>
        <v>0.98167692574199172</v>
      </c>
      <c r="Q514" s="343">
        <f t="shared" si="199"/>
        <v>-3.1966148141565505</v>
      </c>
      <c r="R514" s="344">
        <f t="shared" si="200"/>
        <v>-171.55520787526902</v>
      </c>
      <c r="S514" s="346">
        <f t="shared" si="201"/>
        <v>8.4447921247309807</v>
      </c>
      <c r="U514" s="319">
        <f t="shared" si="207"/>
        <v>69586</v>
      </c>
      <c r="V514" s="319">
        <f t="shared" si="208"/>
        <v>4842211396</v>
      </c>
      <c r="X514" s="345">
        <f t="shared" si="202"/>
        <v>23.876857720027125</v>
      </c>
      <c r="Y514" s="346">
        <f t="shared" si="203"/>
        <v>-34.934590991388681</v>
      </c>
      <c r="AA514" s="345">
        <f t="shared" si="204"/>
        <v>35.168031088263348</v>
      </c>
      <c r="AB514" s="346">
        <f t="shared" si="205"/>
        <v>-136.6206168838803</v>
      </c>
      <c r="AD514">
        <f t="shared" si="209"/>
        <v>0</v>
      </c>
      <c r="AE514">
        <f t="shared" si="212"/>
        <v>0</v>
      </c>
    </row>
    <row r="515" spans="1:31" x14ac:dyDescent="0.25">
      <c r="A515" s="347">
        <v>69989</v>
      </c>
      <c r="B515" s="364">
        <f t="shared" si="206"/>
        <v>69.989000000000004</v>
      </c>
      <c r="C515" s="337">
        <f t="shared" si="187"/>
        <v>15.863723358413871</v>
      </c>
      <c r="D515" s="338">
        <f t="shared" si="188"/>
        <v>1.5077176005938888</v>
      </c>
      <c r="E515" s="338">
        <f t="shared" si="189"/>
        <v>1.0055540199018604</v>
      </c>
      <c r="F515" s="339">
        <f t="shared" si="190"/>
        <v>0.10515165428730448</v>
      </c>
      <c r="G515" s="338">
        <f t="shared" si="191"/>
        <v>1</v>
      </c>
      <c r="H515" s="339">
        <f t="shared" si="192"/>
        <v>0</v>
      </c>
      <c r="I515" s="337">
        <f t="shared" si="193"/>
        <v>50671.5175707663</v>
      </c>
      <c r="J515" s="340">
        <f t="shared" si="194"/>
        <v>1.5707765918422445</v>
      </c>
      <c r="K515" s="348">
        <f t="shared" si="210"/>
        <v>11.915390796964692</v>
      </c>
      <c r="L515" s="349">
        <f t="shared" si="211"/>
        <v>1.486772423899583</v>
      </c>
      <c r="M515" s="337">
        <f t="shared" si="195"/>
        <v>1.1574806700339064</v>
      </c>
      <c r="N515" s="340">
        <f t="shared" si="196"/>
        <v>0.52774408721103627</v>
      </c>
      <c r="O515" s="341">
        <f t="shared" si="197"/>
        <v>1.0812881620296502</v>
      </c>
      <c r="P515" s="342">
        <f t="shared" si="198"/>
        <v>0.98792251437800349</v>
      </c>
      <c r="Q515" s="343">
        <f t="shared" si="199"/>
        <v>-3.2731933847460408</v>
      </c>
      <c r="R515" s="344">
        <f t="shared" si="200"/>
        <v>-172.01549311330709</v>
      </c>
      <c r="S515" s="346">
        <f t="shared" si="201"/>
        <v>7.9845068866929125</v>
      </c>
      <c r="U515" s="319">
        <f t="shared" si="207"/>
        <v>69989</v>
      </c>
      <c r="V515" s="319">
        <f t="shared" si="208"/>
        <v>4898460121</v>
      </c>
      <c r="X515" s="345">
        <f t="shared" si="202"/>
        <v>23.863837050421509</v>
      </c>
      <c r="Y515" s="346">
        <f t="shared" si="203"/>
        <v>-35.050593184850243</v>
      </c>
      <c r="AA515" s="345">
        <f t="shared" si="204"/>
        <v>35.104473187279474</v>
      </c>
      <c r="AB515" s="346">
        <f t="shared" si="205"/>
        <v>-136.9648999284569</v>
      </c>
      <c r="AD515">
        <f t="shared" si="209"/>
        <v>0</v>
      </c>
      <c r="AE515">
        <f t="shared" si="212"/>
        <v>0</v>
      </c>
    </row>
    <row r="516" spans="1:31" x14ac:dyDescent="0.25">
      <c r="A516" s="347">
        <v>70392</v>
      </c>
      <c r="B516" s="364">
        <f t="shared" si="206"/>
        <v>70.391999999999996</v>
      </c>
      <c r="C516" s="337">
        <f t="shared" si="187"/>
        <v>15.954705499516125</v>
      </c>
      <c r="D516" s="338">
        <f t="shared" si="188"/>
        <v>1.5080777824971847</v>
      </c>
      <c r="E516" s="338">
        <f t="shared" si="189"/>
        <v>1.0056179854877088</v>
      </c>
      <c r="F516" s="339">
        <f t="shared" si="190"/>
        <v>0.10575263113756973</v>
      </c>
      <c r="G516" s="338">
        <f t="shared" si="191"/>
        <v>1</v>
      </c>
      <c r="H516" s="339">
        <f t="shared" si="192"/>
        <v>0</v>
      </c>
      <c r="I516" s="337">
        <f t="shared" si="193"/>
        <v>50963.286585512731</v>
      </c>
      <c r="J516" s="340">
        <f t="shared" si="194"/>
        <v>1.5707767048264747</v>
      </c>
      <c r="K516" s="348">
        <f t="shared" si="210"/>
        <v>11.983518314523904</v>
      </c>
      <c r="L516" s="349">
        <f t="shared" si="211"/>
        <v>1.4872512260144821</v>
      </c>
      <c r="M516" s="337">
        <f t="shared" si="195"/>
        <v>1.1591744873801908</v>
      </c>
      <c r="N516" s="340">
        <f t="shared" si="196"/>
        <v>0.53024558563304114</v>
      </c>
      <c r="O516" s="341">
        <f t="shared" si="197"/>
        <v>1.0830755689771354</v>
      </c>
      <c r="P516" s="342">
        <f t="shared" si="198"/>
        <v>0.99416833984719388</v>
      </c>
      <c r="Q516" s="343">
        <f t="shared" si="199"/>
        <v>-3.34971098780135</v>
      </c>
      <c r="R516" s="344">
        <f t="shared" si="200"/>
        <v>-172.47545445375667</v>
      </c>
      <c r="S516" s="346">
        <f t="shared" si="201"/>
        <v>7.5245455462433313</v>
      </c>
      <c r="U516" s="319">
        <f t="shared" si="207"/>
        <v>70392</v>
      </c>
      <c r="V516" s="319">
        <f t="shared" si="208"/>
        <v>4955033664</v>
      </c>
      <c r="X516" s="345">
        <f t="shared" si="202"/>
        <v>23.850786447290972</v>
      </c>
      <c r="Y516" s="346">
        <f t="shared" si="203"/>
        <v>-35.166491620136071</v>
      </c>
      <c r="AA516" s="345">
        <f t="shared" si="204"/>
        <v>35.041006187354704</v>
      </c>
      <c r="AB516" s="346">
        <f t="shared" si="205"/>
        <v>-137.30896283362057</v>
      </c>
      <c r="AD516">
        <f t="shared" si="209"/>
        <v>0</v>
      </c>
      <c r="AE516">
        <f t="shared" si="212"/>
        <v>0</v>
      </c>
    </row>
    <row r="517" spans="1:31" x14ac:dyDescent="0.25">
      <c r="A517" s="347">
        <v>70795</v>
      </c>
      <c r="B517" s="364">
        <f t="shared" si="206"/>
        <v>70.795000000000002</v>
      </c>
      <c r="C517" s="337">
        <f t="shared" si="187"/>
        <v>16.045689686965627</v>
      </c>
      <c r="D517" s="338">
        <f t="shared" si="188"/>
        <v>1.5084338797532877</v>
      </c>
      <c r="E517" s="338">
        <f t="shared" si="189"/>
        <v>1.0056823142295186</v>
      </c>
      <c r="F517" s="339">
        <f t="shared" si="190"/>
        <v>0.10635353132154668</v>
      </c>
      <c r="G517" s="338">
        <f t="shared" si="191"/>
        <v>1</v>
      </c>
      <c r="H517" s="339">
        <f t="shared" si="192"/>
        <v>0</v>
      </c>
      <c r="I517" s="337">
        <f t="shared" si="193"/>
        <v>51255.05560025981</v>
      </c>
      <c r="J517" s="340">
        <f t="shared" si="194"/>
        <v>1.5707768165243807</v>
      </c>
      <c r="K517" s="348">
        <f t="shared" si="210"/>
        <v>12.051648548261804</v>
      </c>
      <c r="L517" s="349">
        <f t="shared" si="211"/>
        <v>1.4877246147202421</v>
      </c>
      <c r="M517" s="337">
        <f t="shared" si="195"/>
        <v>1.1608755370608115</v>
      </c>
      <c r="N517" s="340">
        <f t="shared" si="196"/>
        <v>0.5327397686522527</v>
      </c>
      <c r="O517" s="341">
        <f t="shared" si="197"/>
        <v>1.0848905918835146</v>
      </c>
      <c r="P517" s="342">
        <f t="shared" si="198"/>
        <v>1.0004141688817558</v>
      </c>
      <c r="Q517" s="343">
        <f t="shared" si="199"/>
        <v>-3.4261712320140609</v>
      </c>
      <c r="R517" s="344">
        <f t="shared" si="200"/>
        <v>-172.93507730818624</v>
      </c>
      <c r="S517" s="346">
        <f t="shared" si="201"/>
        <v>7.0649226918137629</v>
      </c>
      <c r="U517" s="319">
        <f t="shared" si="207"/>
        <v>70795</v>
      </c>
      <c r="V517" s="319">
        <f t="shared" si="208"/>
        <v>5011932025</v>
      </c>
      <c r="X517" s="345">
        <f t="shared" si="202"/>
        <v>23.83770619645712</v>
      </c>
      <c r="Y517" s="346">
        <f t="shared" si="203"/>
        <v>-35.282281005511777</v>
      </c>
      <c r="AA517" s="345">
        <f t="shared" si="204"/>
        <v>34.977626193975844</v>
      </c>
      <c r="AB517" s="346">
        <f t="shared" si="205"/>
        <v>-137.65279630267449</v>
      </c>
      <c r="AD517">
        <f t="shared" si="209"/>
        <v>0</v>
      </c>
      <c r="AE517">
        <f t="shared" si="212"/>
        <v>0</v>
      </c>
    </row>
    <row r="518" spans="1:31" x14ac:dyDescent="0.25">
      <c r="A518" s="347">
        <v>71207.25</v>
      </c>
      <c r="B518" s="364">
        <f t="shared" si="206"/>
        <v>71.207250000000002</v>
      </c>
      <c r="C518" s="337">
        <f t="shared" si="187"/>
        <v>16.138764302405679</v>
      </c>
      <c r="D518" s="338">
        <f t="shared" si="188"/>
        <v>1.5087939960362271</v>
      </c>
      <c r="E518" s="338">
        <f t="shared" si="189"/>
        <v>1.0057484951816873</v>
      </c>
      <c r="F518" s="339">
        <f t="shared" si="190"/>
        <v>0.10696814411637086</v>
      </c>
      <c r="G518" s="338">
        <f t="shared" si="191"/>
        <v>1</v>
      </c>
      <c r="H518" s="339">
        <f t="shared" si="192"/>
        <v>0</v>
      </c>
      <c r="I518" s="337">
        <f t="shared" si="193"/>
        <v>51553.521546487471</v>
      </c>
      <c r="J518" s="340">
        <f t="shared" si="194"/>
        <v>1.5707769294778935</v>
      </c>
      <c r="K518" s="348">
        <f t="shared" si="210"/>
        <v>12.121345327938686</v>
      </c>
      <c r="L518" s="349">
        <f t="shared" si="211"/>
        <v>1.4882033627840452</v>
      </c>
      <c r="M518" s="337">
        <f t="shared" si="195"/>
        <v>1.1626230808306142</v>
      </c>
      <c r="N518" s="340">
        <f t="shared" si="196"/>
        <v>0.53528363229295217</v>
      </c>
      <c r="O518" s="341">
        <f t="shared" si="197"/>
        <v>1.0867760678209446</v>
      </c>
      <c r="P518" s="342">
        <f t="shared" si="198"/>
        <v>1.0068031162307214</v>
      </c>
      <c r="Q518" s="343">
        <f t="shared" si="199"/>
        <v>-3.5043307772249399</v>
      </c>
      <c r="R518" s="344">
        <f t="shared" si="200"/>
        <v>-173.4048843298408</v>
      </c>
      <c r="S518" s="346">
        <f t="shared" si="201"/>
        <v>6.5951156701592026</v>
      </c>
      <c r="U518" s="319">
        <f t="shared" si="207"/>
        <v>71207.25</v>
      </c>
      <c r="V518" s="319">
        <f t="shared" si="208"/>
        <v>5070472452.5625</v>
      </c>
      <c r="X518" s="345">
        <f t="shared" si="202"/>
        <v>23.824295340288536</v>
      </c>
      <c r="Y518" s="346">
        <f t="shared" si="203"/>
        <v>-35.400609884169441</v>
      </c>
      <c r="AA518" s="345">
        <f t="shared" si="204"/>
        <v>34.912877504933547</v>
      </c>
      <c r="AB518" s="346">
        <f t="shared" si="205"/>
        <v>-138.00427444567131</v>
      </c>
      <c r="AD518">
        <f t="shared" si="209"/>
        <v>0</v>
      </c>
      <c r="AE518">
        <f t="shared" si="212"/>
        <v>0</v>
      </c>
    </row>
    <row r="519" spans="1:31" x14ac:dyDescent="0.25">
      <c r="A519" s="347">
        <v>71619.5</v>
      </c>
      <c r="B519" s="364">
        <f t="shared" si="206"/>
        <v>71.619500000000002</v>
      </c>
      <c r="C519" s="337">
        <f t="shared" si="187"/>
        <v>16.231840986778746</v>
      </c>
      <c r="D519" s="338">
        <f t="shared" si="188"/>
        <v>1.5091499824045713</v>
      </c>
      <c r="E519" s="338">
        <f t="shared" si="189"/>
        <v>1.0058150560041512</v>
      </c>
      <c r="F519" s="339">
        <f t="shared" si="190"/>
        <v>0.10758267579806904</v>
      </c>
      <c r="G519" s="338">
        <f t="shared" si="191"/>
        <v>1</v>
      </c>
      <c r="H519" s="339">
        <f t="shared" si="192"/>
        <v>0</v>
      </c>
      <c r="I519" s="337">
        <f t="shared" si="193"/>
        <v>51851.987492715787</v>
      </c>
      <c r="J519" s="340">
        <f t="shared" si="194"/>
        <v>1.5707770411310598</v>
      </c>
      <c r="K519" s="348">
        <f t="shared" si="210"/>
        <v>12.191044854057715</v>
      </c>
      <c r="L519" s="349">
        <f t="shared" si="211"/>
        <v>1.4886766366889626</v>
      </c>
      <c r="M519" s="337">
        <f t="shared" si="195"/>
        <v>1.1643781256041679</v>
      </c>
      <c r="N519" s="340">
        <f t="shared" si="196"/>
        <v>0.53781984367140034</v>
      </c>
      <c r="O519" s="341">
        <f t="shared" si="197"/>
        <v>1.0886908850622361</v>
      </c>
      <c r="P519" s="342">
        <f t="shared" si="198"/>
        <v>1.0131915681974484</v>
      </c>
      <c r="Q519" s="343">
        <f t="shared" si="199"/>
        <v>-3.5824376549679577</v>
      </c>
      <c r="R519" s="344">
        <f t="shared" si="200"/>
        <v>-173.87430611831246</v>
      </c>
      <c r="S519" s="346">
        <f t="shared" si="201"/>
        <v>6.125693881687539</v>
      </c>
      <c r="U519" s="319">
        <f t="shared" si="207"/>
        <v>71619.5</v>
      </c>
      <c r="V519" s="319">
        <f t="shared" si="208"/>
        <v>5129352780.25</v>
      </c>
      <c r="X519" s="345">
        <f t="shared" si="202"/>
        <v>23.810854070829194</v>
      </c>
      <c r="Y519" s="346">
        <f t="shared" si="203"/>
        <v>-35.518813892192405</v>
      </c>
      <c r="AA519" s="345">
        <f t="shared" si="204"/>
        <v>34.848211896649872</v>
      </c>
      <c r="AB519" s="346">
        <f t="shared" si="205"/>
        <v>-138.35549222612013</v>
      </c>
      <c r="AD519">
        <f t="shared" si="209"/>
        <v>0</v>
      </c>
      <c r="AE519">
        <f t="shared" si="212"/>
        <v>0</v>
      </c>
    </row>
    <row r="520" spans="1:31" x14ac:dyDescent="0.25">
      <c r="A520" s="347">
        <v>72031.75</v>
      </c>
      <c r="B520" s="364">
        <f t="shared" si="206"/>
        <v>72.031750000000002</v>
      </c>
      <c r="C520" s="337">
        <f t="shared" si="187"/>
        <v>16.324919704696701</v>
      </c>
      <c r="D520" s="338">
        <f t="shared" si="188"/>
        <v>1.5095019094090987</v>
      </c>
      <c r="E520" s="338">
        <f t="shared" si="189"/>
        <v>1.0058819966215005</v>
      </c>
      <c r="F520" s="339">
        <f t="shared" si="190"/>
        <v>0.10819712591863488</v>
      </c>
      <c r="G520" s="338">
        <f t="shared" si="191"/>
        <v>1</v>
      </c>
      <c r="H520" s="339">
        <f t="shared" si="192"/>
        <v>0</v>
      </c>
      <c r="I520" s="337">
        <f t="shared" si="193"/>
        <v>52150.453438944736</v>
      </c>
      <c r="J520" s="340">
        <f t="shared" si="194"/>
        <v>1.5707771515062057</v>
      </c>
      <c r="K520" s="348">
        <f t="shared" si="210"/>
        <v>12.260747079780215</v>
      </c>
      <c r="L520" s="349">
        <f t="shared" si="211"/>
        <v>1.4891445295827672</v>
      </c>
      <c r="M520" s="337">
        <f t="shared" si="195"/>
        <v>1.1661406375143806</v>
      </c>
      <c r="N520" s="340">
        <f t="shared" si="196"/>
        <v>0.54034840478362778</v>
      </c>
      <c r="O520" s="341">
        <f t="shared" si="197"/>
        <v>1.0906352650687727</v>
      </c>
      <c r="P520" s="342">
        <f t="shared" si="198"/>
        <v>1.0195792698694528</v>
      </c>
      <c r="Q520" s="343">
        <f t="shared" si="199"/>
        <v>-3.6604954419083451</v>
      </c>
      <c r="R520" s="344">
        <f t="shared" si="200"/>
        <v>-174.3433269147917</v>
      </c>
      <c r="S520" s="346">
        <f t="shared" si="201"/>
        <v>5.6566730852082969</v>
      </c>
      <c r="U520" s="319">
        <f t="shared" si="207"/>
        <v>72031.75</v>
      </c>
      <c r="V520" s="319">
        <f t="shared" si="208"/>
        <v>5188573008.0625</v>
      </c>
      <c r="X520" s="345">
        <f t="shared" si="202"/>
        <v>23.797382699781998</v>
      </c>
      <c r="Y520" s="346">
        <f t="shared" si="203"/>
        <v>-35.636887808249703</v>
      </c>
      <c r="AA520" s="345">
        <f t="shared" si="204"/>
        <v>34.783625480756683</v>
      </c>
      <c r="AB520" s="346">
        <f t="shared" si="205"/>
        <v>-138.70643910654204</v>
      </c>
      <c r="AD520">
        <f t="shared" si="209"/>
        <v>0</v>
      </c>
      <c r="AE520">
        <f t="shared" si="212"/>
        <v>0</v>
      </c>
    </row>
    <row r="521" spans="1:31" x14ac:dyDescent="0.25">
      <c r="A521" s="347">
        <v>72444</v>
      </c>
      <c r="B521" s="364">
        <f t="shared" si="206"/>
        <v>72.444000000000003</v>
      </c>
      <c r="C521" s="337">
        <f t="shared" si="187"/>
        <v>16.418000421573154</v>
      </c>
      <c r="D521" s="338">
        <f t="shared" si="188"/>
        <v>1.5098498460047316</v>
      </c>
      <c r="E521" s="338">
        <f t="shared" si="189"/>
        <v>1.0059493169579152</v>
      </c>
      <c r="F521" s="339">
        <f t="shared" si="190"/>
        <v>0.10881149403042731</v>
      </c>
      <c r="G521" s="338">
        <f t="shared" si="191"/>
        <v>1</v>
      </c>
      <c r="H521" s="339">
        <f t="shared" si="192"/>
        <v>0</v>
      </c>
      <c r="I521" s="337">
        <f t="shared" si="193"/>
        <v>52448.919385174311</v>
      </c>
      <c r="J521" s="340">
        <f t="shared" si="194"/>
        <v>1.5707772606251493</v>
      </c>
      <c r="K521" s="348">
        <f t="shared" si="210"/>
        <v>12.330451959324803</v>
      </c>
      <c r="L521" s="349">
        <f t="shared" si="211"/>
        <v>1.4896071325164959</v>
      </c>
      <c r="M521" s="337">
        <f t="shared" si="195"/>
        <v>1.167910582754939</v>
      </c>
      <c r="N521" s="340">
        <f t="shared" si="196"/>
        <v>0.54286931800494342</v>
      </c>
      <c r="O521" s="341">
        <f t="shared" si="197"/>
        <v>1.0926094275044558</v>
      </c>
      <c r="P521" s="342">
        <f t="shared" si="198"/>
        <v>1.0259659647570194</v>
      </c>
      <c r="Q521" s="343">
        <f t="shared" si="199"/>
        <v>-3.7385076203743979</v>
      </c>
      <c r="R521" s="344">
        <f t="shared" si="200"/>
        <v>-174.81193092047934</v>
      </c>
      <c r="S521" s="346">
        <f t="shared" si="201"/>
        <v>5.188069079520659</v>
      </c>
      <c r="U521" s="319">
        <f t="shared" si="207"/>
        <v>72444</v>
      </c>
      <c r="V521" s="319">
        <f t="shared" si="208"/>
        <v>5248133136</v>
      </c>
      <c r="X521" s="345">
        <f t="shared" si="202"/>
        <v>23.783881540475328</v>
      </c>
      <c r="Y521" s="346">
        <f t="shared" si="203"/>
        <v>-35.754826552846509</v>
      </c>
      <c r="AA521" s="345">
        <f t="shared" si="204"/>
        <v>34.719114461597293</v>
      </c>
      <c r="AB521" s="346">
        <f t="shared" si="205"/>
        <v>-139.05710436763283</v>
      </c>
      <c r="AD521">
        <f t="shared" si="209"/>
        <v>0</v>
      </c>
      <c r="AE521">
        <f t="shared" si="212"/>
        <v>0</v>
      </c>
    </row>
    <row r="522" spans="1:31" x14ac:dyDescent="0.25">
      <c r="A522" s="347">
        <v>72865.75</v>
      </c>
      <c r="B522" s="364">
        <f t="shared" si="206"/>
        <v>72.865750000000006</v>
      </c>
      <c r="C522" s="337">
        <f t="shared" si="187"/>
        <v>16.513228148888825</v>
      </c>
      <c r="D522" s="338">
        <f t="shared" si="188"/>
        <v>1.5102017414208189</v>
      </c>
      <c r="E522" s="338">
        <f t="shared" si="189"/>
        <v>1.0060185815082057</v>
      </c>
      <c r="F522" s="339">
        <f t="shared" si="190"/>
        <v>0.10943993447470575</v>
      </c>
      <c r="G522" s="338">
        <f t="shared" si="191"/>
        <v>1</v>
      </c>
      <c r="H522" s="339">
        <f t="shared" si="192"/>
        <v>0</v>
      </c>
      <c r="I522" s="337">
        <f t="shared" si="193"/>
        <v>52754.263261032625</v>
      </c>
      <c r="J522" s="340">
        <f t="shared" si="194"/>
        <v>1.570777370980935</v>
      </c>
      <c r="K522" s="348">
        <f t="shared" si="210"/>
        <v>12.401765836479489</v>
      </c>
      <c r="L522" s="349">
        <f t="shared" si="211"/>
        <v>1.4900750143861474</v>
      </c>
      <c r="M522" s="337">
        <f t="shared" si="195"/>
        <v>1.1697289721506734</v>
      </c>
      <c r="N522" s="340">
        <f t="shared" si="196"/>
        <v>0.54544041241728058</v>
      </c>
      <c r="O522" s="341">
        <f t="shared" si="197"/>
        <v>1.0946601300095125</v>
      </c>
      <c r="P522" s="342">
        <f t="shared" si="198"/>
        <v>1.0324985254891768</v>
      </c>
      <c r="Q522" s="343">
        <f t="shared" si="199"/>
        <v>-3.818273868861541</v>
      </c>
      <c r="R522" s="344">
        <f t="shared" si="200"/>
        <v>-175.29088574246711</v>
      </c>
      <c r="S522" s="346">
        <f t="shared" si="201"/>
        <v>4.7091142575328888</v>
      </c>
      <c r="U522" s="319">
        <f t="shared" si="207"/>
        <v>72865.75</v>
      </c>
      <c r="V522" s="319">
        <f t="shared" si="208"/>
        <v>5309417523.0625</v>
      </c>
      <c r="X522" s="345">
        <f t="shared" si="202"/>
        <v>23.770038759259119</v>
      </c>
      <c r="Y522" s="346">
        <f t="shared" si="203"/>
        <v>-35.87533807801983</v>
      </c>
      <c r="AA522" s="345">
        <f t="shared" si="204"/>
        <v>34.653190994326366</v>
      </c>
      <c r="AB522" s="346">
        <f t="shared" si="205"/>
        <v>-139.41554766444725</v>
      </c>
      <c r="AD522">
        <f t="shared" si="209"/>
        <v>0</v>
      </c>
      <c r="AE522">
        <f t="shared" si="212"/>
        <v>0</v>
      </c>
    </row>
    <row r="523" spans="1:31" x14ac:dyDescent="0.25">
      <c r="A523" s="347">
        <v>73287.5</v>
      </c>
      <c r="B523" s="364">
        <f t="shared" si="206"/>
        <v>73.287499999999994</v>
      </c>
      <c r="C523" s="337">
        <f t="shared" si="187"/>
        <v>16.608457897594782</v>
      </c>
      <c r="D523" s="338">
        <f t="shared" si="188"/>
        <v>1.5105496014763744</v>
      </c>
      <c r="E523" s="338">
        <f t="shared" si="189"/>
        <v>1.0060882433180529</v>
      </c>
      <c r="F523" s="339">
        <f t="shared" si="190"/>
        <v>0.11006828814035861</v>
      </c>
      <c r="G523" s="338">
        <f t="shared" si="191"/>
        <v>1</v>
      </c>
      <c r="H523" s="339">
        <f t="shared" si="192"/>
        <v>0</v>
      </c>
      <c r="I523" s="337">
        <f t="shared" si="193"/>
        <v>53059.607136891565</v>
      </c>
      <c r="J523" s="340">
        <f t="shared" si="194"/>
        <v>1.5707774800665844</v>
      </c>
      <c r="K523" s="348">
        <f t="shared" si="210"/>
        <v>12.473082397502489</v>
      </c>
      <c r="L523" s="349">
        <f t="shared" si="211"/>
        <v>1.4905375459984411</v>
      </c>
      <c r="M523" s="337">
        <f t="shared" si="195"/>
        <v>1.1715550700374351</v>
      </c>
      <c r="N523" s="340">
        <f t="shared" si="196"/>
        <v>0.54800350862135672</v>
      </c>
      <c r="O523" s="341">
        <f t="shared" si="197"/>
        <v>1.0967424625482796</v>
      </c>
      <c r="P523" s="342">
        <f t="shared" si="198"/>
        <v>1.0390294847653152</v>
      </c>
      <c r="Q523" s="343">
        <f t="shared" si="199"/>
        <v>-3.8979994581915776</v>
      </c>
      <c r="R523" s="344">
        <f t="shared" si="200"/>
        <v>-175.76937078152051</v>
      </c>
      <c r="S523" s="346">
        <f t="shared" si="201"/>
        <v>4.2306292184794927</v>
      </c>
      <c r="U523" s="319">
        <f t="shared" si="207"/>
        <v>73287.5</v>
      </c>
      <c r="V523" s="319">
        <f t="shared" si="208"/>
        <v>5371057656.25</v>
      </c>
      <c r="X523" s="345">
        <f t="shared" si="202"/>
        <v>23.756165469077342</v>
      </c>
      <c r="Y523" s="346">
        <f t="shared" si="203"/>
        <v>-35.99569781400843</v>
      </c>
      <c r="AA523" s="345">
        <f t="shared" si="204"/>
        <v>34.587338695178104</v>
      </c>
      <c r="AB523" s="346">
        <f t="shared" si="205"/>
        <v>-139.77367296751206</v>
      </c>
      <c r="AD523">
        <f t="shared" si="209"/>
        <v>0</v>
      </c>
      <c r="AE523">
        <f t="shared" si="212"/>
        <v>0</v>
      </c>
    </row>
    <row r="524" spans="1:31" x14ac:dyDescent="0.25">
      <c r="A524" s="347">
        <v>73709.25</v>
      </c>
      <c r="B524" s="364">
        <f t="shared" si="206"/>
        <v>73.709249999999997</v>
      </c>
      <c r="C524" s="337">
        <f t="shared" si="187"/>
        <v>16.703689633118458</v>
      </c>
      <c r="D524" s="338">
        <f t="shared" si="188"/>
        <v>1.5108934951061541</v>
      </c>
      <c r="E524" s="338">
        <f t="shared" si="189"/>
        <v>1.0061583023049439</v>
      </c>
      <c r="F524" s="339">
        <f t="shared" si="190"/>
        <v>0.11069655454927846</v>
      </c>
      <c r="G524" s="338">
        <f t="shared" si="191"/>
        <v>1</v>
      </c>
      <c r="H524" s="339">
        <f t="shared" si="192"/>
        <v>0</v>
      </c>
      <c r="I524" s="337">
        <f t="shared" si="193"/>
        <v>53364.951012751138</v>
      </c>
      <c r="J524" s="340">
        <f t="shared" si="194"/>
        <v>1.5707775879039001</v>
      </c>
      <c r="K524" s="348">
        <f t="shared" si="210"/>
        <v>12.54440159661938</v>
      </c>
      <c r="L524" s="349">
        <f t="shared" si="211"/>
        <v>1.4909948184078765</v>
      </c>
      <c r="M524" s="337">
        <f t="shared" si="195"/>
        <v>1.1733888404259805</v>
      </c>
      <c r="N524" s="340">
        <f t="shared" si="196"/>
        <v>0.55055861036135889</v>
      </c>
      <c r="O524" s="341">
        <f t="shared" si="197"/>
        <v>1.0988566542004452</v>
      </c>
      <c r="P524" s="342">
        <f t="shared" si="198"/>
        <v>1.045558563438352</v>
      </c>
      <c r="Q524" s="343">
        <f t="shared" si="199"/>
        <v>-3.9776878173635044</v>
      </c>
      <c r="R524" s="344">
        <f t="shared" si="200"/>
        <v>-176.24736901949069</v>
      </c>
      <c r="S524" s="346">
        <f t="shared" si="201"/>
        <v>3.7526309805093092</v>
      </c>
      <c r="U524" s="319">
        <f t="shared" si="207"/>
        <v>73709.25</v>
      </c>
      <c r="V524" s="319">
        <f t="shared" si="208"/>
        <v>5433053535.5625</v>
      </c>
      <c r="X524" s="345">
        <f t="shared" si="202"/>
        <v>23.742262009763522</v>
      </c>
      <c r="Y524" s="346">
        <f t="shared" si="203"/>
        <v>-36.115900759549078</v>
      </c>
      <c r="AA524" s="345">
        <f t="shared" si="204"/>
        <v>34.521553795320003</v>
      </c>
      <c r="AB524" s="346">
        <f t="shared" si="205"/>
        <v>-140.13146825994164</v>
      </c>
      <c r="AD524">
        <f t="shared" si="209"/>
        <v>0</v>
      </c>
      <c r="AE524">
        <f t="shared" si="212"/>
        <v>0</v>
      </c>
    </row>
    <row r="525" spans="1:31" x14ac:dyDescent="0.25">
      <c r="A525" s="347">
        <v>74131</v>
      </c>
      <c r="B525" s="364">
        <f t="shared" si="206"/>
        <v>74.131</v>
      </c>
      <c r="C525" s="337">
        <f t="shared" ref="C525:C588" si="213">SQRT(1+(A525/pole1)^2)</f>
        <v>16.798923321670529</v>
      </c>
      <c r="D525" s="338">
        <f t="shared" ref="D525:D588" si="214">ATAN(A525/pole1)</f>
        <v>1.5112334896855413</v>
      </c>
      <c r="E525" s="338">
        <f t="shared" ref="E525:E588" si="215">SQRT(1+(A525/Zero1)^2)</f>
        <v>1.0062287583859175</v>
      </c>
      <c r="F525" s="339">
        <f t="shared" ref="F525:F588" si="216">ATAN(A525/Zero1)</f>
        <v>0.1113247332237662</v>
      </c>
      <c r="G525" s="338">
        <f t="shared" ref="G525:G588" si="217">IF(VIN_nom&gt;Vout, 1, SQRT(1+(A525/z_RHP)^2))</f>
        <v>1</v>
      </c>
      <c r="H525" s="339">
        <f t="shared" ref="H525:H588" si="218">IF(VIN_nom&gt;Vout, 0, -ATAN(A525/z_RHP))</f>
        <v>0</v>
      </c>
      <c r="I525" s="337">
        <f t="shared" ref="I525:I588" si="219">SQRT(1+(A525/Pole2)^2)</f>
        <v>53670.294888611315</v>
      </c>
      <c r="J525" s="340">
        <f t="shared" ref="J525:J588" si="220">ATAN(A525/Pole2)</f>
        <v>1.5707776945141885</v>
      </c>
      <c r="K525" s="348">
        <f t="shared" si="210"/>
        <v>12.615723389089148</v>
      </c>
      <c r="L525" s="349">
        <f t="shared" si="211"/>
        <v>1.4914469206187935</v>
      </c>
      <c r="M525" s="337">
        <f t="shared" ref="M525:M588" si="221">SQRT(1+(A525/pole4)^2)</f>
        <v>1.1752302474009479</v>
      </c>
      <c r="N525" s="340">
        <f t="shared" ref="N525:N588" si="222">ATAN(A525/pole4)</f>
        <v>0.5531057217756894</v>
      </c>
      <c r="O525" s="341">
        <f t="shared" ref="O525:O588" si="223">SQRT((1-(V525/pterm2))^2+(A525/pterm1)^2)</f>
        <v>1.1010029318889649</v>
      </c>
      <c r="P525" s="342">
        <f t="shared" ref="P525:P588" si="224">IF((ATAN((A525/pterm1)/(1-A525^2/pterm2))&gt;0),ATAN((A525/pterm1)/(1-A525^2/pterm2)),PI()+ATAN((A525/pterm1)/(1-A525^2/pterm2)))</f>
        <v>1.0520854810498925</v>
      </c>
      <c r="Q525" s="343">
        <f t="shared" ref="Q525:Q588" si="225">20*LOG10(((E525*K525*G525)/(C525*I525*O525*M525))*Adc)</f>
        <v>-4.0573422766078506</v>
      </c>
      <c r="R525" s="344">
        <f t="shared" ref="R525:R588" si="226">((F525+L525+H525)-(D525+J525+P525+N525))*radconv</f>
        <v>-176.72486341375139</v>
      </c>
      <c r="S525" s="346">
        <f t="shared" ref="S525:S588" si="227">IF(R525&gt;0,R525,R525+180)</f>
        <v>3.2751365862486068</v>
      </c>
      <c r="U525" s="319">
        <f t="shared" si="207"/>
        <v>74131</v>
      </c>
      <c r="V525" s="319">
        <f t="shared" si="208"/>
        <v>5495405161</v>
      </c>
      <c r="X525" s="345">
        <f t="shared" ref="X525:X588" si="228">20*LOG10((K525/(I525*M525))*AEA)</f>
        <v>23.728328722316508</v>
      </c>
      <c r="Y525" s="346">
        <f t="shared" ref="Y525:Y588" si="229">(L525-(J525+N525))*radconv</f>
        <v>-36.235942053402489</v>
      </c>
      <c r="AA525" s="345">
        <f t="shared" ref="AA525:AA588" si="230">20*LOG10((E525*G525/(C525*O525))*Acs*Am)</f>
        <v>34.455832623522667</v>
      </c>
      <c r="AB525" s="346">
        <f t="shared" ref="AB525:AB588" si="231">(F525+H525-(D525+P525))*radconv</f>
        <v>-140.48892136034891</v>
      </c>
      <c r="AD525">
        <f t="shared" si="209"/>
        <v>0</v>
      </c>
      <c r="AE525">
        <f t="shared" si="212"/>
        <v>0</v>
      </c>
    </row>
    <row r="526" spans="1:31" x14ac:dyDescent="0.25">
      <c r="A526" s="347">
        <v>74562.75</v>
      </c>
      <c r="B526" s="364">
        <f t="shared" ref="B526:B589" si="232">A526/1000</f>
        <v>74.562749999999994</v>
      </c>
      <c r="C526" s="337">
        <f t="shared" si="213"/>
        <v>16.89641705897462</v>
      </c>
      <c r="D526" s="338">
        <f t="shared" si="214"/>
        <v>1.5115775757146064</v>
      </c>
      <c r="E526" s="338">
        <f t="shared" si="215"/>
        <v>1.0063012962736486</v>
      </c>
      <c r="F526" s="339">
        <f t="shared" si="216"/>
        <v>0.11196771509486579</v>
      </c>
      <c r="G526" s="338">
        <f t="shared" si="217"/>
        <v>1</v>
      </c>
      <c r="H526" s="339">
        <f t="shared" si="218"/>
        <v>0</v>
      </c>
      <c r="I526" s="337">
        <f t="shared" si="219"/>
        <v>53982.878690396494</v>
      </c>
      <c r="J526" s="340">
        <f t="shared" si="220"/>
        <v>1.5707778024030095</v>
      </c>
      <c r="K526" s="348">
        <f t="shared" si="210"/>
        <v>12.688738913920369</v>
      </c>
      <c r="L526" s="349">
        <f t="shared" si="211"/>
        <v>1.4919044777979884</v>
      </c>
      <c r="M526" s="337">
        <f t="shared" si="221"/>
        <v>1.1771231883970688</v>
      </c>
      <c r="N526" s="340">
        <f t="shared" si="222"/>
        <v>0.55570495503135486</v>
      </c>
      <c r="O526" s="341">
        <f t="shared" si="223"/>
        <v>1.1032335702197005</v>
      </c>
      <c r="P526" s="342">
        <f t="shared" si="224"/>
        <v>1.0587646240358146</v>
      </c>
      <c r="Q526" s="343">
        <f t="shared" si="225"/>
        <v>-4.138853660330212</v>
      </c>
      <c r="R526" s="344">
        <f t="shared" si="226"/>
        <v>-177.21313982974448</v>
      </c>
      <c r="S526" s="346">
        <f t="shared" si="227"/>
        <v>2.7868601702555225</v>
      </c>
      <c r="U526" s="319">
        <f t="shared" ref="U526:U589" si="233">IF(Q526&lt;0,A526,1000000000)</f>
        <v>74562.75</v>
      </c>
      <c r="V526" s="319">
        <f t="shared" ref="V526:V589" si="234">A526^2</f>
        <v>5559603687.5625</v>
      </c>
      <c r="X526" s="345">
        <f t="shared" si="228"/>
        <v>23.714034526166905</v>
      </c>
      <c r="Y526" s="346">
        <f t="shared" si="229"/>
        <v>-36.358657235382715</v>
      </c>
      <c r="AA526" s="345">
        <f t="shared" si="230"/>
        <v>34.388615435949909</v>
      </c>
      <c r="AB526" s="346">
        <f t="shared" si="231"/>
        <v>-140.85448259436174</v>
      </c>
      <c r="AD526">
        <f t="shared" ref="AD526:AD589" si="235">SUM((Q527&lt;0)*(Q526&gt;0))*A526</f>
        <v>0</v>
      </c>
      <c r="AE526">
        <f t="shared" si="212"/>
        <v>0</v>
      </c>
    </row>
    <row r="527" spans="1:31" x14ac:dyDescent="0.25">
      <c r="A527" s="347">
        <v>74994.5</v>
      </c>
      <c r="B527" s="364">
        <f t="shared" si="232"/>
        <v>74.994500000000002</v>
      </c>
      <c r="C527" s="337">
        <f t="shared" si="213"/>
        <v>16.993912773780039</v>
      </c>
      <c r="D527" s="338">
        <f t="shared" si="214"/>
        <v>1.5119177136741608</v>
      </c>
      <c r="E527" s="338">
        <f t="shared" si="215"/>
        <v>1.0063742501321102</v>
      </c>
      <c r="F527" s="339">
        <f t="shared" si="216"/>
        <v>0.11261060400992237</v>
      </c>
      <c r="G527" s="338">
        <f t="shared" si="217"/>
        <v>1</v>
      </c>
      <c r="H527" s="339">
        <f t="shared" si="218"/>
        <v>0</v>
      </c>
      <c r="I527" s="337">
        <f t="shared" si="219"/>
        <v>54295.462492182291</v>
      </c>
      <c r="J527" s="340">
        <f t="shared" si="220"/>
        <v>1.5707779090495795</v>
      </c>
      <c r="K527" s="348">
        <f t="shared" si="210"/>
        <v>12.761757064849606</v>
      </c>
      <c r="L527" s="349">
        <f t="shared" si="211"/>
        <v>1.492356799118125</v>
      </c>
      <c r="M527" s="337">
        <f t="shared" si="221"/>
        <v>1.1790240564858452</v>
      </c>
      <c r="N527" s="340">
        <f t="shared" si="222"/>
        <v>0.5582958245757077</v>
      </c>
      <c r="O527" s="341">
        <f t="shared" si="223"/>
        <v>1.1054983083362335</v>
      </c>
      <c r="P527" s="342">
        <f t="shared" si="224"/>
        <v>1.0654409037200043</v>
      </c>
      <c r="Q527" s="343">
        <f t="shared" si="225"/>
        <v>-4.2203362679623968</v>
      </c>
      <c r="R527" s="344">
        <f t="shared" si="226"/>
        <v>-177.70085202499209</v>
      </c>
      <c r="S527" s="346">
        <f t="shared" si="227"/>
        <v>2.2991479750079122</v>
      </c>
      <c r="U527" s="319">
        <f t="shared" si="233"/>
        <v>74994.5</v>
      </c>
      <c r="V527" s="319">
        <f t="shared" si="234"/>
        <v>5624175030.25</v>
      </c>
      <c r="X527" s="345">
        <f t="shared" si="228"/>
        <v>23.699709796956782</v>
      </c>
      <c r="Y527" s="346">
        <f t="shared" si="229"/>
        <v>-36.481193133453878</v>
      </c>
      <c r="AA527" s="345">
        <f t="shared" si="230"/>
        <v>34.321457557527843</v>
      </c>
      <c r="AB527" s="346">
        <f t="shared" si="231"/>
        <v>-141.21965889153824</v>
      </c>
      <c r="AD527">
        <f t="shared" si="235"/>
        <v>0</v>
      </c>
      <c r="AE527">
        <f t="shared" si="212"/>
        <v>0</v>
      </c>
    </row>
    <row r="528" spans="1:31" x14ac:dyDescent="0.25">
      <c r="A528" s="347">
        <v>75426.25</v>
      </c>
      <c r="B528" s="364">
        <f t="shared" si="232"/>
        <v>75.426249999999996</v>
      </c>
      <c r="C528" s="337">
        <f t="shared" si="213"/>
        <v>17.091410432245592</v>
      </c>
      <c r="D528" s="338">
        <f t="shared" si="214"/>
        <v>1.5122539710499048</v>
      </c>
      <c r="E528" s="338">
        <f t="shared" si="215"/>
        <v>1.0064476198708452</v>
      </c>
      <c r="F528" s="339">
        <f t="shared" si="216"/>
        <v>0.11325339945778826</v>
      </c>
      <c r="G528" s="338">
        <f t="shared" si="217"/>
        <v>1</v>
      </c>
      <c r="H528" s="339">
        <f t="shared" si="218"/>
        <v>0</v>
      </c>
      <c r="I528" s="337">
        <f t="shared" si="219"/>
        <v>54608.046293968699</v>
      </c>
      <c r="J528" s="340">
        <f t="shared" si="220"/>
        <v>1.5707780144752308</v>
      </c>
      <c r="K528" s="348">
        <f t="shared" si="210"/>
        <v>12.834777797056566</v>
      </c>
      <c r="L528" s="349">
        <f t="shared" si="211"/>
        <v>1.4928039737574319</v>
      </c>
      <c r="M528" s="337">
        <f t="shared" si="221"/>
        <v>1.1809328133881554</v>
      </c>
      <c r="N528" s="340">
        <f t="shared" si="222"/>
        <v>0.56087833609729143</v>
      </c>
      <c r="O528" s="341">
        <f t="shared" si="223"/>
        <v>1.1077973823730209</v>
      </c>
      <c r="P528" s="342">
        <f t="shared" si="224"/>
        <v>1.0721140156601592</v>
      </c>
      <c r="Q528" s="343">
        <f t="shared" si="225"/>
        <v>-4.3017933578736436</v>
      </c>
      <c r="R528" s="344">
        <f t="shared" si="226"/>
        <v>-178.18798166978323</v>
      </c>
      <c r="S528" s="346">
        <f t="shared" si="227"/>
        <v>1.8120183302167732</v>
      </c>
      <c r="U528" s="319">
        <f t="shared" si="233"/>
        <v>75426.25</v>
      </c>
      <c r="V528" s="319">
        <f t="shared" si="234"/>
        <v>5689119189.0625</v>
      </c>
      <c r="X528" s="345">
        <f t="shared" si="228"/>
        <v>23.685354903413405</v>
      </c>
      <c r="Y528" s="346">
        <f t="shared" si="229"/>
        <v>-36.603544965231642</v>
      </c>
      <c r="AA528" s="345">
        <f t="shared" si="230"/>
        <v>34.254355361159973</v>
      </c>
      <c r="AB528" s="346">
        <f t="shared" si="231"/>
        <v>-141.58443670455162</v>
      </c>
      <c r="AD528">
        <f t="shared" si="235"/>
        <v>0</v>
      </c>
      <c r="AE528">
        <f t="shared" si="212"/>
        <v>0</v>
      </c>
    </row>
    <row r="529" spans="1:31" x14ac:dyDescent="0.25">
      <c r="A529" s="347">
        <v>75858</v>
      </c>
      <c r="B529" s="364">
        <f t="shared" si="232"/>
        <v>75.858000000000004</v>
      </c>
      <c r="C529" s="337">
        <f t="shared" si="213"/>
        <v>17.18891000129722</v>
      </c>
      <c r="D529" s="338">
        <f t="shared" si="214"/>
        <v>1.5125864137999143</v>
      </c>
      <c r="E529" s="338">
        <f t="shared" si="215"/>
        <v>1.0065214053989076</v>
      </c>
      <c r="F529" s="339">
        <f t="shared" si="216"/>
        <v>0.11389610092777334</v>
      </c>
      <c r="G529" s="338">
        <f t="shared" si="217"/>
        <v>1</v>
      </c>
      <c r="H529" s="339">
        <f t="shared" si="218"/>
        <v>0</v>
      </c>
      <c r="I529" s="337">
        <f t="shared" si="219"/>
        <v>54920.630095755696</v>
      </c>
      <c r="J529" s="340">
        <f t="shared" si="220"/>
        <v>1.5707781187008105</v>
      </c>
      <c r="K529" s="348">
        <f t="shared" si="210"/>
        <v>12.907801066733608</v>
      </c>
      <c r="L529" s="349">
        <f t="shared" si="211"/>
        <v>1.4932460888844479</v>
      </c>
      <c r="M529" s="337">
        <f t="shared" si="221"/>
        <v>1.1828494209136087</v>
      </c>
      <c r="N529" s="340">
        <f t="shared" si="222"/>
        <v>0.56345249569394684</v>
      </c>
      <c r="O529" s="341">
        <f t="shared" si="223"/>
        <v>1.1101310259024171</v>
      </c>
      <c r="P529" s="342">
        <f t="shared" si="224"/>
        <v>1.0787836544584568</v>
      </c>
      <c r="Q529" s="343">
        <f t="shared" si="225"/>
        <v>-4.3832280848070688</v>
      </c>
      <c r="R529" s="344">
        <f t="shared" si="226"/>
        <v>-178.67451043067703</v>
      </c>
      <c r="S529" s="346">
        <f t="shared" si="227"/>
        <v>1.3254895693229685</v>
      </c>
      <c r="U529" s="319">
        <f t="shared" si="233"/>
        <v>75858</v>
      </c>
      <c r="V529" s="319">
        <f t="shared" si="234"/>
        <v>5754436164</v>
      </c>
      <c r="X529" s="345">
        <f t="shared" si="228"/>
        <v>23.670970214953833</v>
      </c>
      <c r="Y529" s="346">
        <f t="shared" si="229"/>
        <v>-36.725708086901619</v>
      </c>
      <c r="AA529" s="345">
        <f t="shared" si="230"/>
        <v>34.187305322686122</v>
      </c>
      <c r="AB529" s="346">
        <f t="shared" si="231"/>
        <v>-141.94880234377538</v>
      </c>
      <c r="AD529">
        <f t="shared" si="235"/>
        <v>0</v>
      </c>
      <c r="AE529">
        <f t="shared" si="212"/>
        <v>0</v>
      </c>
    </row>
    <row r="530" spans="1:31" x14ac:dyDescent="0.25">
      <c r="A530" s="347">
        <v>76299.75</v>
      </c>
      <c r="B530" s="364">
        <f t="shared" si="232"/>
        <v>76.299750000000003</v>
      </c>
      <c r="C530" s="337">
        <f t="shared" si="213"/>
        <v>17.288669755432736</v>
      </c>
      <c r="D530" s="338">
        <f t="shared" si="214"/>
        <v>1.5129226754990697</v>
      </c>
      <c r="E530" s="338">
        <f t="shared" si="215"/>
        <v>1.006597330165276</v>
      </c>
      <c r="F530" s="339">
        <f t="shared" si="216"/>
        <v>0.11455359056089609</v>
      </c>
      <c r="G530" s="338">
        <f t="shared" si="217"/>
        <v>1</v>
      </c>
      <c r="H530" s="339">
        <f t="shared" si="218"/>
        <v>0</v>
      </c>
      <c r="I530" s="337">
        <f t="shared" si="219"/>
        <v>55240.453823467738</v>
      </c>
      <c r="J530" s="340">
        <f t="shared" si="220"/>
        <v>1.5707782241195773</v>
      </c>
      <c r="K530" s="348">
        <f t="shared" si="210"/>
        <v>12.982518250304896</v>
      </c>
      <c r="L530" s="349">
        <f t="shared" si="211"/>
        <v>1.4936932963031191</v>
      </c>
      <c r="M530" s="337">
        <f t="shared" si="221"/>
        <v>1.1848185057837914</v>
      </c>
      <c r="N530" s="340">
        <f t="shared" si="222"/>
        <v>0.56607763927420429</v>
      </c>
      <c r="O530" s="341">
        <f t="shared" si="223"/>
        <v>1.1125547409073533</v>
      </c>
      <c r="P530" s="342">
        <f t="shared" si="224"/>
        <v>1.0856038583013947</v>
      </c>
      <c r="Q530" s="343">
        <f t="shared" si="225"/>
        <v>-4.4665290034222984</v>
      </c>
      <c r="R530" s="344">
        <f t="shared" si="226"/>
        <v>-179.17166691214453</v>
      </c>
      <c r="S530" s="346">
        <f t="shared" si="227"/>
        <v>0.82833308785546933</v>
      </c>
      <c r="U530" s="319">
        <f t="shared" si="233"/>
        <v>76299.75</v>
      </c>
      <c r="V530" s="319">
        <f t="shared" si="234"/>
        <v>5821651850.0625</v>
      </c>
      <c r="X530" s="345">
        <f t="shared" si="228"/>
        <v>23.656221902618238</v>
      </c>
      <c r="Y530" s="346">
        <f t="shared" si="229"/>
        <v>-36.850500677202447</v>
      </c>
      <c r="AA530" s="345">
        <f t="shared" si="230"/>
        <v>34.118752716406483</v>
      </c>
      <c r="AB530" s="346">
        <f t="shared" si="231"/>
        <v>-142.3211662349421</v>
      </c>
      <c r="AD530">
        <f t="shared" si="235"/>
        <v>0</v>
      </c>
      <c r="AE530">
        <f t="shared" si="212"/>
        <v>0</v>
      </c>
    </row>
    <row r="531" spans="1:31" x14ac:dyDescent="0.25">
      <c r="A531" s="347">
        <v>76741.5</v>
      </c>
      <c r="B531" s="364">
        <f t="shared" si="232"/>
        <v>76.741500000000002</v>
      </c>
      <c r="C531" s="337">
        <f t="shared" si="213"/>
        <v>17.388431442000762</v>
      </c>
      <c r="D531" s="338">
        <f t="shared" si="214"/>
        <v>1.5132550788041321</v>
      </c>
      <c r="E531" s="338">
        <f t="shared" si="215"/>
        <v>1.0066736900104911</v>
      </c>
      <c r="F531" s="339">
        <f t="shared" si="216"/>
        <v>0.11521098073222819</v>
      </c>
      <c r="G531" s="338">
        <f t="shared" si="217"/>
        <v>1</v>
      </c>
      <c r="H531" s="339">
        <f t="shared" si="218"/>
        <v>0</v>
      </c>
      <c r="I531" s="337">
        <f t="shared" si="219"/>
        <v>55560.277551180392</v>
      </c>
      <c r="J531" s="340">
        <f t="shared" si="220"/>
        <v>1.5707783283246921</v>
      </c>
      <c r="K531" s="348">
        <f t="shared" si="210"/>
        <v>13.057238000592786</v>
      </c>
      <c r="L531" s="349">
        <f t="shared" si="211"/>
        <v>1.4941353855406083</v>
      </c>
      <c r="M531" s="337">
        <f t="shared" si="221"/>
        <v>1.1867957285601616</v>
      </c>
      <c r="N531" s="340">
        <f t="shared" si="222"/>
        <v>0.5686940537635039</v>
      </c>
      <c r="O531" s="341">
        <f t="shared" si="223"/>
        <v>1.1150151316054693</v>
      </c>
      <c r="P531" s="342">
        <f t="shared" si="224"/>
        <v>1.0924197769039137</v>
      </c>
      <c r="Q531" s="343">
        <f t="shared" si="225"/>
        <v>-4.5498128657293151</v>
      </c>
      <c r="R531" s="344">
        <f t="shared" si="226"/>
        <v>-179.66815553703719</v>
      </c>
      <c r="S531" s="346">
        <f t="shared" si="227"/>
        <v>0.33184446296280612</v>
      </c>
      <c r="U531" s="319">
        <f t="shared" si="233"/>
        <v>76741.5</v>
      </c>
      <c r="V531" s="319">
        <f t="shared" si="234"/>
        <v>5889257822.25</v>
      </c>
      <c r="X531" s="345">
        <f t="shared" si="228"/>
        <v>23.64144318323892</v>
      </c>
      <c r="Y531" s="346">
        <f t="shared" si="229"/>
        <v>-36.975086308075561</v>
      </c>
      <c r="AA531" s="345">
        <f t="shared" si="230"/>
        <v>34.050247573478785</v>
      </c>
      <c r="AB531" s="346">
        <f t="shared" si="231"/>
        <v>-142.69306922896166</v>
      </c>
      <c r="AD531">
        <f t="shared" si="235"/>
        <v>0</v>
      </c>
      <c r="AE531">
        <f t="shared" si="212"/>
        <v>0</v>
      </c>
    </row>
    <row r="532" spans="1:31" x14ac:dyDescent="0.25">
      <c r="A532" s="347">
        <v>77183.25</v>
      </c>
      <c r="B532" s="364">
        <f t="shared" si="232"/>
        <v>77.183250000000001</v>
      </c>
      <c r="C532" s="337">
        <f t="shared" si="213"/>
        <v>17.488195027930519</v>
      </c>
      <c r="D532" s="338">
        <f t="shared" si="214"/>
        <v>1.5135836896730792</v>
      </c>
      <c r="E532" s="338">
        <f t="shared" si="215"/>
        <v>1.0067504848355533</v>
      </c>
      <c r="F532" s="339">
        <f t="shared" si="216"/>
        <v>0.11586827089626855</v>
      </c>
      <c r="G532" s="338">
        <f t="shared" si="217"/>
        <v>1</v>
      </c>
      <c r="H532" s="339">
        <f t="shared" si="218"/>
        <v>0</v>
      </c>
      <c r="I532" s="337">
        <f t="shared" si="219"/>
        <v>55880.101278893635</v>
      </c>
      <c r="J532" s="340">
        <f t="shared" si="220"/>
        <v>1.5707784313369937</v>
      </c>
      <c r="K532" s="348">
        <f t="shared" si="210"/>
        <v>13.13196027378407</v>
      </c>
      <c r="L532" s="349">
        <f t="shared" si="211"/>
        <v>1.4945724437916292</v>
      </c>
      <c r="M532" s="337">
        <f t="shared" si="221"/>
        <v>1.1887810486369577</v>
      </c>
      <c r="N532" s="340">
        <f t="shared" si="222"/>
        <v>0.57130174698484004</v>
      </c>
      <c r="O532" s="341">
        <f t="shared" si="223"/>
        <v>1.1175124395542682</v>
      </c>
      <c r="P532" s="342">
        <f t="shared" si="224"/>
        <v>1.0992310808657719</v>
      </c>
      <c r="Q532" s="343">
        <f t="shared" si="225"/>
        <v>-4.6330827217494939</v>
      </c>
      <c r="R532" s="344">
        <f t="shared" si="226"/>
        <v>-180.16395669600942</v>
      </c>
      <c r="S532" s="346">
        <f t="shared" si="227"/>
        <v>-0.16395669600942142</v>
      </c>
      <c r="U532" s="319">
        <f t="shared" si="233"/>
        <v>77183.25</v>
      </c>
      <c r="V532" s="319">
        <f t="shared" si="234"/>
        <v>5957254080.5625</v>
      </c>
      <c r="X532" s="345">
        <f t="shared" si="228"/>
        <v>23.626634453881422</v>
      </c>
      <c r="Y532" s="346">
        <f t="shared" si="229"/>
        <v>-37.099460433050346</v>
      </c>
      <c r="AA532" s="345">
        <f t="shared" si="230"/>
        <v>33.981786446816102</v>
      </c>
      <c r="AB532" s="346">
        <f t="shared" si="231"/>
        <v>-143.06449626295912</v>
      </c>
      <c r="AD532">
        <f t="shared" si="235"/>
        <v>0</v>
      </c>
      <c r="AE532">
        <f t="shared" si="212"/>
        <v>0</v>
      </c>
    </row>
    <row r="533" spans="1:31" x14ac:dyDescent="0.25">
      <c r="A533" s="347">
        <v>77625</v>
      </c>
      <c r="B533" s="364">
        <f t="shared" si="232"/>
        <v>77.625</v>
      </c>
      <c r="C533" s="337">
        <f t="shared" si="213"/>
        <v>17.587960480900961</v>
      </c>
      <c r="D533" s="338">
        <f t="shared" si="214"/>
        <v>1.5139085725706536</v>
      </c>
      <c r="E533" s="338">
        <f t="shared" si="215"/>
        <v>1.0068277145409299</v>
      </c>
      <c r="F533" s="339">
        <f t="shared" si="216"/>
        <v>0.11652546050802771</v>
      </c>
      <c r="G533" s="338">
        <f t="shared" si="217"/>
        <v>1</v>
      </c>
      <c r="H533" s="339">
        <f t="shared" si="218"/>
        <v>0</v>
      </c>
      <c r="I533" s="337">
        <f t="shared" si="219"/>
        <v>56199.92500660746</v>
      </c>
      <c r="J533" s="340">
        <f t="shared" si="220"/>
        <v>1.5707785331768458</v>
      </c>
      <c r="K533" s="348">
        <f t="shared" si="210"/>
        <v>13.206685027055645</v>
      </c>
      <c r="L533" s="349">
        <f t="shared" si="211"/>
        <v>1.4950045562852581</v>
      </c>
      <c r="M533" s="337">
        <f t="shared" si="221"/>
        <v>1.1907744255134796</v>
      </c>
      <c r="N533" s="340">
        <f t="shared" si="222"/>
        <v>0.57390072718358154</v>
      </c>
      <c r="O533" s="341">
        <f t="shared" si="223"/>
        <v>1.1200469033089846</v>
      </c>
      <c r="P533" s="342">
        <f t="shared" si="224"/>
        <v>1.1060374402946567</v>
      </c>
      <c r="Q533" s="343">
        <f t="shared" si="225"/>
        <v>-4.7163415131745756</v>
      </c>
      <c r="R533" s="344">
        <f t="shared" si="226"/>
        <v>-180.65905080273257</v>
      </c>
      <c r="S533" s="346">
        <f t="shared" si="227"/>
        <v>-0.65905080273256544</v>
      </c>
      <c r="U533" s="319">
        <f t="shared" si="233"/>
        <v>77625</v>
      </c>
      <c r="V533" s="319">
        <f t="shared" si="234"/>
        <v>6025640625</v>
      </c>
      <c r="X533" s="345">
        <f t="shared" si="228"/>
        <v>23.611796111804352</v>
      </c>
      <c r="Y533" s="346">
        <f t="shared" si="229"/>
        <v>-37.223618642452095</v>
      </c>
      <c r="AA533" s="345">
        <f t="shared" si="230"/>
        <v>33.913365997468098</v>
      </c>
      <c r="AB533" s="346">
        <f t="shared" si="231"/>
        <v>-143.43543216028047</v>
      </c>
      <c r="AD533">
        <f t="shared" si="235"/>
        <v>0</v>
      </c>
      <c r="AE533">
        <f t="shared" si="212"/>
        <v>0</v>
      </c>
    </row>
    <row r="534" spans="1:31" x14ac:dyDescent="0.25">
      <c r="A534" s="347">
        <v>78077</v>
      </c>
      <c r="B534" s="364">
        <f t="shared" si="232"/>
        <v>78.076999999999998</v>
      </c>
      <c r="C534" s="337">
        <f t="shared" si="213"/>
        <v>17.690042708134371</v>
      </c>
      <c r="D534" s="338">
        <f t="shared" si="214"/>
        <v>1.5142372007745284</v>
      </c>
      <c r="E534" s="338">
        <f t="shared" si="215"/>
        <v>1.0069071862491319</v>
      </c>
      <c r="F534" s="339">
        <f t="shared" si="216"/>
        <v>0.11719779435457926</v>
      </c>
      <c r="G534" s="338">
        <f t="shared" si="217"/>
        <v>1</v>
      </c>
      <c r="H534" s="339">
        <f t="shared" si="218"/>
        <v>0</v>
      </c>
      <c r="I534" s="337">
        <f t="shared" si="219"/>
        <v>56527.169658394472</v>
      </c>
      <c r="J534" s="340">
        <f t="shared" si="220"/>
        <v>1.5707786361868918</v>
      </c>
      <c r="K534" s="348">
        <f t="shared" si="210"/>
        <v>13.283146154829879</v>
      </c>
      <c r="L534" s="349">
        <f t="shared" si="211"/>
        <v>1.4954416628300058</v>
      </c>
      <c r="M534" s="337">
        <f t="shared" si="221"/>
        <v>1.1928223523012045</v>
      </c>
      <c r="N534" s="340">
        <f t="shared" si="222"/>
        <v>0.57655100237376156</v>
      </c>
      <c r="O534" s="341">
        <f t="shared" si="223"/>
        <v>1.1226788792963498</v>
      </c>
      <c r="P534" s="342">
        <f t="shared" si="224"/>
        <v>1.1129962664045199</v>
      </c>
      <c r="Q534" s="343">
        <f t="shared" si="225"/>
        <v>-4.801523675893149</v>
      </c>
      <c r="R534" s="344">
        <f t="shared" si="226"/>
        <v>-181.16488041182583</v>
      </c>
      <c r="S534" s="346">
        <f t="shared" si="227"/>
        <v>-1.164880411825834</v>
      </c>
      <c r="U534" s="319">
        <f t="shared" si="233"/>
        <v>78077</v>
      </c>
      <c r="V534" s="319">
        <f t="shared" si="234"/>
        <v>6096017929</v>
      </c>
      <c r="X534" s="345">
        <f t="shared" si="228"/>
        <v>23.596583236250325</v>
      </c>
      <c r="Y534" s="346">
        <f t="shared" si="229"/>
        <v>-37.350429767371821</v>
      </c>
      <c r="AA534" s="345">
        <f t="shared" si="230"/>
        <v>33.843396710303551</v>
      </c>
      <c r="AB534" s="346">
        <f t="shared" si="231"/>
        <v>-143.81445064445396</v>
      </c>
      <c r="AD534">
        <f t="shared" si="235"/>
        <v>0</v>
      </c>
      <c r="AE534">
        <f t="shared" si="212"/>
        <v>0</v>
      </c>
    </row>
    <row r="535" spans="1:31" x14ac:dyDescent="0.25">
      <c r="A535" s="347">
        <v>78529</v>
      </c>
      <c r="B535" s="364">
        <f t="shared" si="232"/>
        <v>78.528999999999996</v>
      </c>
      <c r="C535" s="337">
        <f t="shared" si="213"/>
        <v>17.792126823907754</v>
      </c>
      <c r="D535" s="338">
        <f t="shared" si="214"/>
        <v>1.5145620579384576</v>
      </c>
      <c r="E535" s="338">
        <f t="shared" si="215"/>
        <v>1.006987113040448</v>
      </c>
      <c r="F535" s="339">
        <f t="shared" si="216"/>
        <v>0.11787002177571473</v>
      </c>
      <c r="G535" s="338">
        <f t="shared" si="217"/>
        <v>1</v>
      </c>
      <c r="H535" s="339">
        <f t="shared" si="218"/>
        <v>0</v>
      </c>
      <c r="I535" s="337">
        <f t="shared" si="219"/>
        <v>56854.414310182088</v>
      </c>
      <c r="J535" s="340">
        <f t="shared" si="220"/>
        <v>1.57077873801112</v>
      </c>
      <c r="K535" s="348">
        <f t="shared" ref="K535:K598" si="236">SQRT(1+(A535/Zero2)^2)</f>
        <v>13.359609791459622</v>
      </c>
      <c r="L535" s="349">
        <f t="shared" ref="L535:L598" si="237">ATAN(A535/Zero2)</f>
        <v>1.4958737659037988</v>
      </c>
      <c r="M535" s="337">
        <f t="shared" si="221"/>
        <v>1.194878628669872</v>
      </c>
      <c r="N535" s="340">
        <f t="shared" si="222"/>
        <v>0.57919217430200687</v>
      </c>
      <c r="O535" s="341">
        <f t="shared" si="223"/>
        <v>1.1253502508437137</v>
      </c>
      <c r="P535" s="342">
        <f t="shared" si="224"/>
        <v>1.1199492161205575</v>
      </c>
      <c r="Q535" s="343">
        <f t="shared" si="225"/>
        <v>-4.8867001439439157</v>
      </c>
      <c r="R535" s="344">
        <f t="shared" si="226"/>
        <v>-181.66992839274465</v>
      </c>
      <c r="S535" s="346">
        <f t="shared" si="227"/>
        <v>-1.6699283927446515</v>
      </c>
      <c r="U535" s="319">
        <f t="shared" si="233"/>
        <v>78529</v>
      </c>
      <c r="V535" s="319">
        <f t="shared" si="234"/>
        <v>6166803841</v>
      </c>
      <c r="X535" s="345">
        <f t="shared" si="228"/>
        <v>23.581340199353782</v>
      </c>
      <c r="Y535" s="346">
        <f t="shared" si="229"/>
        <v>-37.477005923628909</v>
      </c>
      <c r="AA535" s="345">
        <f t="shared" si="230"/>
        <v>33.773463279149325</v>
      </c>
      <c r="AB535" s="346">
        <f t="shared" si="231"/>
        <v>-144.19292246911579</v>
      </c>
      <c r="AD535">
        <f t="shared" si="235"/>
        <v>0</v>
      </c>
      <c r="AE535">
        <f t="shared" si="212"/>
        <v>0</v>
      </c>
    </row>
    <row r="536" spans="1:31" x14ac:dyDescent="0.25">
      <c r="A536" s="347">
        <v>78981</v>
      </c>
      <c r="B536" s="364">
        <f t="shared" si="232"/>
        <v>78.980999999999995</v>
      </c>
      <c r="C536" s="337">
        <f t="shared" si="213"/>
        <v>17.894212795899502</v>
      </c>
      <c r="D536" s="338">
        <f t="shared" si="214"/>
        <v>1.5148832085343069</v>
      </c>
      <c r="E536" s="338">
        <f t="shared" si="215"/>
        <v>1.0070674948065239</v>
      </c>
      <c r="F536" s="339">
        <f t="shared" si="216"/>
        <v>0.11854214218930118</v>
      </c>
      <c r="G536" s="338">
        <f t="shared" si="217"/>
        <v>1</v>
      </c>
      <c r="H536" s="339">
        <f t="shared" si="218"/>
        <v>0</v>
      </c>
      <c r="I536" s="337">
        <f t="shared" si="219"/>
        <v>57181.658961970279</v>
      </c>
      <c r="J536" s="340">
        <f t="shared" si="220"/>
        <v>1.5707788386698893</v>
      </c>
      <c r="K536" s="348">
        <f t="shared" si="236"/>
        <v>13.436075894111786</v>
      </c>
      <c r="L536" s="349">
        <f t="shared" si="237"/>
        <v>1.4963009507697025</v>
      </c>
      <c r="M536" s="337">
        <f t="shared" si="221"/>
        <v>1.1969432115872509</v>
      </c>
      <c r="N536" s="340">
        <f t="shared" si="222"/>
        <v>0.58182425313131581</v>
      </c>
      <c r="O536" s="341">
        <f t="shared" si="223"/>
        <v>1.12806126344978</v>
      </c>
      <c r="P536" s="342">
        <f t="shared" si="224"/>
        <v>1.1268959353776888</v>
      </c>
      <c r="Q536" s="343">
        <f t="shared" si="225"/>
        <v>-4.971873724940937</v>
      </c>
      <c r="R536" s="344">
        <f t="shared" si="226"/>
        <v>-182.17417388462357</v>
      </c>
      <c r="S536" s="346">
        <f t="shared" si="227"/>
        <v>-2.1741738846235705</v>
      </c>
      <c r="U536" s="319">
        <f t="shared" si="233"/>
        <v>78981</v>
      </c>
      <c r="V536" s="319">
        <f t="shared" si="234"/>
        <v>6237998361</v>
      </c>
      <c r="X536" s="345">
        <f t="shared" si="228"/>
        <v>23.566067426481109</v>
      </c>
      <c r="Y536" s="346">
        <f t="shared" si="229"/>
        <v>-37.603342809472899</v>
      </c>
      <c r="AA536" s="345">
        <f t="shared" si="230"/>
        <v>33.703562471024981</v>
      </c>
      <c r="AB536" s="346">
        <f t="shared" si="231"/>
        <v>-144.57083107515066</v>
      </c>
      <c r="AD536">
        <f t="shared" si="235"/>
        <v>0</v>
      </c>
      <c r="AE536">
        <f t="shared" si="212"/>
        <v>0</v>
      </c>
    </row>
    <row r="537" spans="1:31" x14ac:dyDescent="0.25">
      <c r="A537" s="347">
        <v>79433</v>
      </c>
      <c r="B537" s="364">
        <f t="shared" si="232"/>
        <v>79.433000000000007</v>
      </c>
      <c r="C537" s="337">
        <f t="shared" si="213"/>
        <v>17.996300592520814</v>
      </c>
      <c r="D537" s="338">
        <f t="shared" si="214"/>
        <v>1.5152007155741196</v>
      </c>
      <c r="E537" s="338">
        <f t="shared" si="215"/>
        <v>1.0071483314384233</v>
      </c>
      <c r="F537" s="339">
        <f t="shared" si="216"/>
        <v>0.11921415501377758</v>
      </c>
      <c r="G537" s="338">
        <f t="shared" si="217"/>
        <v>1</v>
      </c>
      <c r="H537" s="339">
        <f t="shared" si="218"/>
        <v>0</v>
      </c>
      <c r="I537" s="337">
        <f t="shared" si="219"/>
        <v>57508.903613759045</v>
      </c>
      <c r="J537" s="340">
        <f t="shared" si="220"/>
        <v>1.5707789381830954</v>
      </c>
      <c r="K537" s="348">
        <f t="shared" si="236"/>
        <v>13.512544420921468</v>
      </c>
      <c r="L537" s="349">
        <f t="shared" si="237"/>
        <v>1.4967233007680159</v>
      </c>
      <c r="M537" s="337">
        <f t="shared" si="221"/>
        <v>1.1990160581442622</v>
      </c>
      <c r="N537" s="340">
        <f t="shared" si="222"/>
        <v>0.58444724945879223</v>
      </c>
      <c r="O537" s="341">
        <f t="shared" si="223"/>
        <v>1.130812159132613</v>
      </c>
      <c r="P537" s="342">
        <f t="shared" si="224"/>
        <v>1.1338360701979631</v>
      </c>
      <c r="Q537" s="343">
        <f t="shared" si="225"/>
        <v>-5.0570471135179575</v>
      </c>
      <c r="R537" s="344">
        <f t="shared" si="226"/>
        <v>-182.67759608292684</v>
      </c>
      <c r="S537" s="346">
        <f t="shared" si="227"/>
        <v>-2.6775960829268399</v>
      </c>
      <c r="U537" s="319">
        <f t="shared" si="233"/>
        <v>79433</v>
      </c>
      <c r="V537" s="319">
        <f t="shared" si="234"/>
        <v>6309601489</v>
      </c>
      <c r="X537" s="345">
        <f t="shared" si="228"/>
        <v>23.550765342675426</v>
      </c>
      <c r="Y537" s="346">
        <f t="shared" si="229"/>
        <v>-37.729436258165713</v>
      </c>
      <c r="AA537" s="345">
        <f t="shared" si="230"/>
        <v>33.633691166253648</v>
      </c>
      <c r="AB537" s="346">
        <f t="shared" si="231"/>
        <v>-144.94815982476112</v>
      </c>
      <c r="AD537">
        <f t="shared" si="235"/>
        <v>0</v>
      </c>
      <c r="AE537">
        <f t="shared" si="212"/>
        <v>0</v>
      </c>
    </row>
    <row r="538" spans="1:31" x14ac:dyDescent="0.25">
      <c r="A538" s="347">
        <v>79895.5</v>
      </c>
      <c r="B538" s="364">
        <f t="shared" si="232"/>
        <v>79.895499999999998</v>
      </c>
      <c r="C538" s="337">
        <f t="shared" si="213"/>
        <v>18.100761754189172</v>
      </c>
      <c r="D538" s="338">
        <f t="shared" si="214"/>
        <v>1.51552189107263</v>
      </c>
      <c r="E538" s="338">
        <f t="shared" si="215"/>
        <v>1.0072315166366053</v>
      </c>
      <c r="F538" s="339">
        <f t="shared" si="216"/>
        <v>0.11990166678249971</v>
      </c>
      <c r="G538" s="338">
        <f t="shared" si="217"/>
        <v>1</v>
      </c>
      <c r="H538" s="339">
        <f t="shared" si="218"/>
        <v>0</v>
      </c>
      <c r="I538" s="337">
        <f t="shared" si="219"/>
        <v>57843.750187769147</v>
      </c>
      <c r="J538" s="340">
        <f t="shared" si="220"/>
        <v>1.5707790388424938</v>
      </c>
      <c r="K538" s="348">
        <f t="shared" si="236"/>
        <v>13.590791784974389</v>
      </c>
      <c r="L538" s="349">
        <f t="shared" si="237"/>
        <v>1.4971505423245739</v>
      </c>
      <c r="M538" s="337">
        <f t="shared" si="221"/>
        <v>1.2011455662986223</v>
      </c>
      <c r="N538" s="340">
        <f t="shared" si="222"/>
        <v>0.58712178829165984</v>
      </c>
      <c r="O538" s="341">
        <f t="shared" si="223"/>
        <v>1.1336684906935768</v>
      </c>
      <c r="P538" s="342">
        <f t="shared" si="224"/>
        <v>1.1409302403280057</v>
      </c>
      <c r="Q538" s="343">
        <f t="shared" si="225"/>
        <v>-5.1442015821167679</v>
      </c>
      <c r="R538" s="344">
        <f t="shared" si="226"/>
        <v>-183.19183898555048</v>
      </c>
      <c r="S538" s="346">
        <f t="shared" si="227"/>
        <v>-3.1918389855504756</v>
      </c>
      <c r="U538" s="319">
        <f t="shared" si="233"/>
        <v>79895.5</v>
      </c>
      <c r="V538" s="319">
        <f t="shared" si="234"/>
        <v>6383290920.25</v>
      </c>
      <c r="X538" s="345">
        <f t="shared" si="228"/>
        <v>23.535077892831843</v>
      </c>
      <c r="Y538" s="346">
        <f t="shared" si="229"/>
        <v>-37.85820267491534</v>
      </c>
      <c r="AA538" s="345">
        <f t="shared" si="230"/>
        <v>33.562224147498412</v>
      </c>
      <c r="AB538" s="346">
        <f t="shared" si="231"/>
        <v>-145.33363631063511</v>
      </c>
      <c r="AD538">
        <f t="shared" si="235"/>
        <v>0</v>
      </c>
      <c r="AE538">
        <f t="shared" ref="AE538:AE601" si="238">IF(AD538&gt;0,S538,0)</f>
        <v>0</v>
      </c>
    </row>
    <row r="539" spans="1:31" x14ac:dyDescent="0.25">
      <c r="A539" s="347">
        <v>80358</v>
      </c>
      <c r="B539" s="364">
        <f t="shared" si="232"/>
        <v>80.358000000000004</v>
      </c>
      <c r="C539" s="337">
        <f t="shared" si="213"/>
        <v>18.205224761590532</v>
      </c>
      <c r="D539" s="338">
        <f t="shared" si="214"/>
        <v>1.515839380743182</v>
      </c>
      <c r="E539" s="338">
        <f t="shared" si="215"/>
        <v>1.0073151778465947</v>
      </c>
      <c r="F539" s="339">
        <f t="shared" si="216"/>
        <v>0.12058906467535678</v>
      </c>
      <c r="G539" s="338">
        <f t="shared" si="217"/>
        <v>1</v>
      </c>
      <c r="H539" s="339">
        <f t="shared" si="218"/>
        <v>0</v>
      </c>
      <c r="I539" s="337">
        <f t="shared" si="219"/>
        <v>58178.596761779831</v>
      </c>
      <c r="J539" s="340">
        <f t="shared" si="220"/>
        <v>1.5707791383432028</v>
      </c>
      <c r="K539" s="348">
        <f t="shared" si="236"/>
        <v>13.669041601424658</v>
      </c>
      <c r="L539" s="349">
        <f t="shared" si="237"/>
        <v>1.4975728923821563</v>
      </c>
      <c r="M539" s="337">
        <f t="shared" si="221"/>
        <v>1.2032836359898995</v>
      </c>
      <c r="N539" s="340">
        <f t="shared" si="222"/>
        <v>0.58978684155570615</v>
      </c>
      <c r="O539" s="341">
        <f t="shared" si="223"/>
        <v>1.1365670811568462</v>
      </c>
      <c r="P539" s="342">
        <f t="shared" si="224"/>
        <v>1.1480167676735951</v>
      </c>
      <c r="Q539" s="343">
        <f t="shared" si="225"/>
        <v>-5.2313612013603983</v>
      </c>
      <c r="R539" s="344">
        <f t="shared" si="226"/>
        <v>-183.70517604389963</v>
      </c>
      <c r="S539" s="346">
        <f t="shared" si="227"/>
        <v>-3.7051760438996268</v>
      </c>
      <c r="U539" s="319">
        <f t="shared" si="233"/>
        <v>80358</v>
      </c>
      <c r="V539" s="319">
        <f t="shared" si="234"/>
        <v>6457408164</v>
      </c>
      <c r="X539" s="345">
        <f t="shared" si="228"/>
        <v>23.519360653270539</v>
      </c>
      <c r="Y539" s="346">
        <f t="shared" si="229"/>
        <v>-37.986705804463675</v>
      </c>
      <c r="AA539" s="345">
        <f t="shared" si="230"/>
        <v>33.490781767816095</v>
      </c>
      <c r="AB539" s="346">
        <f t="shared" si="231"/>
        <v>-145.7184702394359</v>
      </c>
      <c r="AD539">
        <f t="shared" si="235"/>
        <v>0</v>
      </c>
      <c r="AE539">
        <f t="shared" si="238"/>
        <v>0</v>
      </c>
    </row>
    <row r="540" spans="1:31" x14ac:dyDescent="0.25">
      <c r="A540" s="347">
        <v>80820.5</v>
      </c>
      <c r="B540" s="364">
        <f t="shared" si="232"/>
        <v>80.820499999999996</v>
      </c>
      <c r="C540" s="337">
        <f t="shared" si="213"/>
        <v>18.309689583133295</v>
      </c>
      <c r="D540" s="338">
        <f t="shared" si="214"/>
        <v>1.516153247609018</v>
      </c>
      <c r="E540" s="338">
        <f t="shared" si="215"/>
        <v>1.0073993149497977</v>
      </c>
      <c r="F540" s="339">
        <f t="shared" si="216"/>
        <v>0.12127634807118834</v>
      </c>
      <c r="G540" s="338">
        <f t="shared" si="217"/>
        <v>1</v>
      </c>
      <c r="H540" s="339">
        <f t="shared" si="218"/>
        <v>0</v>
      </c>
      <c r="I540" s="337">
        <f t="shared" si="219"/>
        <v>58513.443335791082</v>
      </c>
      <c r="J540" s="340">
        <f t="shared" si="220"/>
        <v>1.5707792367051148</v>
      </c>
      <c r="K540" s="348">
        <f t="shared" si="236"/>
        <v>13.747293828395023</v>
      </c>
      <c r="L540" s="349">
        <f t="shared" si="237"/>
        <v>1.4979904343188284</v>
      </c>
      <c r="M540" s="337">
        <f t="shared" si="221"/>
        <v>1.2054302216613406</v>
      </c>
      <c r="N540" s="340">
        <f t="shared" si="222"/>
        <v>0.59244242196811425</v>
      </c>
      <c r="O540" s="341">
        <f t="shared" si="223"/>
        <v>1.1395081782098073</v>
      </c>
      <c r="P540" s="342">
        <f t="shared" si="224"/>
        <v>1.1550952743279947</v>
      </c>
      <c r="Q540" s="343">
        <f t="shared" si="225"/>
        <v>-5.3185285002563001</v>
      </c>
      <c r="R540" s="344">
        <f t="shared" si="226"/>
        <v>-184.21758520463828</v>
      </c>
      <c r="S540" s="346">
        <f t="shared" si="227"/>
        <v>-4.2175852046382829</v>
      </c>
      <c r="U540" s="319">
        <f t="shared" si="233"/>
        <v>80820.5</v>
      </c>
      <c r="V540" s="319">
        <f t="shared" si="234"/>
        <v>6531953220.25</v>
      </c>
      <c r="X540" s="345">
        <f t="shared" si="228"/>
        <v>23.503614077522776</v>
      </c>
      <c r="Y540" s="346">
        <f t="shared" si="229"/>
        <v>-38.114941599380202</v>
      </c>
      <c r="AA540" s="345">
        <f t="shared" si="230"/>
        <v>33.419361044667951</v>
      </c>
      <c r="AB540" s="346">
        <f t="shared" si="231"/>
        <v>-146.10264360525812</v>
      </c>
      <c r="AD540">
        <f t="shared" si="235"/>
        <v>0</v>
      </c>
      <c r="AE540">
        <f t="shared" si="238"/>
        <v>0</v>
      </c>
    </row>
    <row r="541" spans="1:31" x14ac:dyDescent="0.25">
      <c r="A541" s="347">
        <v>81283</v>
      </c>
      <c r="B541" s="364">
        <f t="shared" si="232"/>
        <v>81.283000000000001</v>
      </c>
      <c r="C541" s="337">
        <f t="shared" si="213"/>
        <v>18.414156187942194</v>
      </c>
      <c r="D541" s="338">
        <f t="shared" si="214"/>
        <v>1.516463553266107</v>
      </c>
      <c r="E541" s="338">
        <f t="shared" si="215"/>
        <v>1.0074839278269858</v>
      </c>
      <c r="F541" s="339">
        <f t="shared" si="216"/>
        <v>0.12196351634947347</v>
      </c>
      <c r="G541" s="338">
        <f t="shared" si="217"/>
        <v>1</v>
      </c>
      <c r="H541" s="339">
        <f t="shared" si="218"/>
        <v>0</v>
      </c>
      <c r="I541" s="337">
        <f t="shared" si="219"/>
        <v>58848.289909802894</v>
      </c>
      <c r="J541" s="340">
        <f t="shared" si="220"/>
        <v>1.570779333947669</v>
      </c>
      <c r="K541" s="348">
        <f t="shared" si="236"/>
        <v>13.825548424955048</v>
      </c>
      <c r="L541" s="349">
        <f t="shared" si="237"/>
        <v>1.4984032496317223</v>
      </c>
      <c r="M541" s="337">
        <f t="shared" si="221"/>
        <v>1.2075852778993068</v>
      </c>
      <c r="N541" s="340">
        <f t="shared" si="222"/>
        <v>0.59508854269025069</v>
      </c>
      <c r="O541" s="341">
        <f t="shared" si="223"/>
        <v>1.1424920255458579</v>
      </c>
      <c r="P541" s="342">
        <f t="shared" si="224"/>
        <v>1.1621653831761944</v>
      </c>
      <c r="Q541" s="343">
        <f t="shared" si="225"/>
        <v>-5.4057058903980639</v>
      </c>
      <c r="R541" s="344">
        <f t="shared" si="226"/>
        <v>-184.72904451117319</v>
      </c>
      <c r="S541" s="346">
        <f t="shared" si="227"/>
        <v>-4.7290445111731856</v>
      </c>
      <c r="U541" s="319">
        <f t="shared" si="233"/>
        <v>81283</v>
      </c>
      <c r="V541" s="319">
        <f t="shared" si="234"/>
        <v>6606926089</v>
      </c>
      <c r="X541" s="345">
        <f t="shared" si="228"/>
        <v>23.487838618259737</v>
      </c>
      <c r="Y541" s="346">
        <f t="shared" si="229"/>
        <v>-38.242906145427696</v>
      </c>
      <c r="AA541" s="345">
        <f t="shared" si="230"/>
        <v>33.347959113789223</v>
      </c>
      <c r="AB541" s="346">
        <f t="shared" si="231"/>
        <v>-146.48613836574546</v>
      </c>
      <c r="AD541">
        <f t="shared" si="235"/>
        <v>0</v>
      </c>
      <c r="AE541">
        <f t="shared" si="238"/>
        <v>0</v>
      </c>
    </row>
    <row r="542" spans="1:31" x14ac:dyDescent="0.25">
      <c r="A542" s="347">
        <v>81756.25</v>
      </c>
      <c r="B542" s="364">
        <f t="shared" si="232"/>
        <v>81.756249999999994</v>
      </c>
      <c r="C542" s="337">
        <f t="shared" si="213"/>
        <v>18.52105274990129</v>
      </c>
      <c r="D542" s="338">
        <f t="shared" si="214"/>
        <v>1.5167774479002112</v>
      </c>
      <c r="E542" s="338">
        <f t="shared" si="215"/>
        <v>1.0075709997471196</v>
      </c>
      <c r="F542" s="339">
        <f t="shared" si="216"/>
        <v>0.1226665368383746</v>
      </c>
      <c r="G542" s="338">
        <f t="shared" si="217"/>
        <v>1</v>
      </c>
      <c r="H542" s="339">
        <f t="shared" si="218"/>
        <v>0</v>
      </c>
      <c r="I542" s="337">
        <f t="shared" si="219"/>
        <v>59190.919404184198</v>
      </c>
      <c r="J542" s="340">
        <f t="shared" si="220"/>
        <v>1.5707794323115853</v>
      </c>
      <c r="K542" s="348">
        <f t="shared" si="236"/>
        <v>13.905624323251615</v>
      </c>
      <c r="L542" s="349">
        <f t="shared" si="237"/>
        <v>1.4988208505138163</v>
      </c>
      <c r="M542" s="337">
        <f t="shared" si="221"/>
        <v>1.2097991455921189</v>
      </c>
      <c r="N542" s="340">
        <f t="shared" si="222"/>
        <v>0.59778638997066724</v>
      </c>
      <c r="O542" s="341">
        <f t="shared" si="223"/>
        <v>1.1455897294630442</v>
      </c>
      <c r="P542" s="342">
        <f t="shared" si="224"/>
        <v>1.1693907390454574</v>
      </c>
      <c r="Q542" s="343">
        <f t="shared" si="225"/>
        <v>-5.4949224058209847</v>
      </c>
      <c r="R542" s="344">
        <f t="shared" si="226"/>
        <v>-185.25138577009065</v>
      </c>
      <c r="S542" s="346">
        <f t="shared" si="227"/>
        <v>-5.2513857700906499</v>
      </c>
      <c r="U542" s="319">
        <f t="shared" si="233"/>
        <v>81756.25</v>
      </c>
      <c r="V542" s="319">
        <f t="shared" si="234"/>
        <v>6684084414.0625</v>
      </c>
      <c r="X542" s="345">
        <f t="shared" si="228"/>
        <v>23.47166705900554</v>
      </c>
      <c r="Y542" s="346">
        <f t="shared" si="229"/>
        <v>-38.373560276288053</v>
      </c>
      <c r="AA542" s="345">
        <f t="shared" si="230"/>
        <v>33.274914157620501</v>
      </c>
      <c r="AB542" s="346">
        <f t="shared" si="231"/>
        <v>-146.87782549380259</v>
      </c>
      <c r="AD542">
        <f t="shared" si="235"/>
        <v>0</v>
      </c>
      <c r="AE542">
        <f t="shared" si="238"/>
        <v>0</v>
      </c>
    </row>
    <row r="543" spans="1:31" x14ac:dyDescent="0.25">
      <c r="A543" s="347">
        <v>82229.5</v>
      </c>
      <c r="B543" s="364">
        <f t="shared" si="232"/>
        <v>82.229500000000002</v>
      </c>
      <c r="C543" s="337">
        <f t="shared" si="213"/>
        <v>18.627951115792552</v>
      </c>
      <c r="D543" s="338">
        <f t="shared" si="214"/>
        <v>1.5170877399329126</v>
      </c>
      <c r="E543" s="338">
        <f t="shared" si="215"/>
        <v>1.0076585695607307</v>
      </c>
      <c r="F543" s="339">
        <f t="shared" si="216"/>
        <v>0.12336943548368608</v>
      </c>
      <c r="G543" s="338">
        <f t="shared" si="217"/>
        <v>1</v>
      </c>
      <c r="H543" s="339">
        <f t="shared" si="218"/>
        <v>0</v>
      </c>
      <c r="I543" s="337">
        <f t="shared" si="219"/>
        <v>59533.54889856607</v>
      </c>
      <c r="J543" s="340">
        <f t="shared" si="220"/>
        <v>1.5707795295432874</v>
      </c>
      <c r="K543" s="348">
        <f t="shared" si="236"/>
        <v>13.985702618787633</v>
      </c>
      <c r="L543" s="349">
        <f t="shared" si="237"/>
        <v>1.4992336693310933</v>
      </c>
      <c r="M543" s="337">
        <f t="shared" si="221"/>
        <v>1.2120217864578253</v>
      </c>
      <c r="N543" s="340">
        <f t="shared" si="222"/>
        <v>0.60047436197362414</v>
      </c>
      <c r="O543" s="341">
        <f t="shared" si="223"/>
        <v>1.1487326973340797</v>
      </c>
      <c r="P543" s="342">
        <f t="shared" si="224"/>
        <v>1.1766065065956306</v>
      </c>
      <c r="Q543" s="343">
        <f t="shared" si="225"/>
        <v>-5.584154226318514</v>
      </c>
      <c r="R543" s="344">
        <f t="shared" si="226"/>
        <v>-185.77268634159856</v>
      </c>
      <c r="S543" s="346">
        <f t="shared" si="227"/>
        <v>-5.7726863415985576</v>
      </c>
      <c r="U543" s="319">
        <f t="shared" si="233"/>
        <v>82229.5</v>
      </c>
      <c r="V543" s="319">
        <f t="shared" si="234"/>
        <v>6761690670.25</v>
      </c>
      <c r="X543" s="345">
        <f t="shared" si="228"/>
        <v>23.455466213627165</v>
      </c>
      <c r="Y543" s="346">
        <f t="shared" si="229"/>
        <v>-38.503922522688377</v>
      </c>
      <c r="AA543" s="345">
        <f t="shared" si="230"/>
        <v>33.201883182501348</v>
      </c>
      <c r="AB543" s="346">
        <f t="shared" si="231"/>
        <v>-147.2687638189102</v>
      </c>
      <c r="AD543">
        <f t="shared" si="235"/>
        <v>0</v>
      </c>
      <c r="AE543">
        <f t="shared" si="238"/>
        <v>0</v>
      </c>
    </row>
    <row r="544" spans="1:31" x14ac:dyDescent="0.25">
      <c r="A544" s="347">
        <v>82702.75</v>
      </c>
      <c r="B544" s="364">
        <f t="shared" si="232"/>
        <v>82.702749999999995</v>
      </c>
      <c r="C544" s="337">
        <f t="shared" si="213"/>
        <v>18.734851254737045</v>
      </c>
      <c r="D544" s="338">
        <f t="shared" si="214"/>
        <v>1.5173944909727421</v>
      </c>
      <c r="E544" s="338">
        <f t="shared" si="215"/>
        <v>1.0077466371380239</v>
      </c>
      <c r="F544" s="339">
        <f t="shared" si="216"/>
        <v>0.12407221162270488</v>
      </c>
      <c r="G544" s="338">
        <f t="shared" si="217"/>
        <v>1</v>
      </c>
      <c r="H544" s="339">
        <f t="shared" si="218"/>
        <v>0</v>
      </c>
      <c r="I544" s="337">
        <f t="shared" si="219"/>
        <v>59876.178392948503</v>
      </c>
      <c r="J544" s="340">
        <f t="shared" si="220"/>
        <v>1.5707796256622111</v>
      </c>
      <c r="K544" s="348">
        <f t="shared" si="236"/>
        <v>14.065783270619729</v>
      </c>
      <c r="L544" s="349">
        <f t="shared" si="237"/>
        <v>1.499641787618748</v>
      </c>
      <c r="M544" s="337">
        <f t="shared" si="221"/>
        <v>1.2142531523196218</v>
      </c>
      <c r="N544" s="340">
        <f t="shared" si="222"/>
        <v>0.6031524741923695</v>
      </c>
      <c r="O544" s="341">
        <f t="shared" si="223"/>
        <v>1.151921177008618</v>
      </c>
      <c r="P544" s="342">
        <f t="shared" si="224"/>
        <v>1.1838122855082256</v>
      </c>
      <c r="Q544" s="343">
        <f t="shared" si="225"/>
        <v>-5.6734035645646923</v>
      </c>
      <c r="R544" s="344">
        <f t="shared" si="226"/>
        <v>-186.29292307420479</v>
      </c>
      <c r="S544" s="346">
        <f t="shared" si="227"/>
        <v>-6.2929230742047935</v>
      </c>
      <c r="U544" s="319">
        <f t="shared" si="233"/>
        <v>82702.75</v>
      </c>
      <c r="V544" s="319">
        <f t="shared" si="234"/>
        <v>6839744857.5625</v>
      </c>
      <c r="X544" s="345">
        <f t="shared" si="228"/>
        <v>23.439236563573242</v>
      </c>
      <c r="Y544" s="346">
        <f t="shared" si="229"/>
        <v>-38.633989101817455</v>
      </c>
      <c r="AA544" s="345">
        <f t="shared" si="230"/>
        <v>33.128863494309087</v>
      </c>
      <c r="AB544" s="346">
        <f t="shared" si="231"/>
        <v>-147.65893397238727</v>
      </c>
      <c r="AD544">
        <f t="shared" si="235"/>
        <v>0</v>
      </c>
      <c r="AE544">
        <f t="shared" si="238"/>
        <v>0</v>
      </c>
    </row>
    <row r="545" spans="1:31" x14ac:dyDescent="0.25">
      <c r="A545" s="347">
        <v>83176</v>
      </c>
      <c r="B545" s="364">
        <f t="shared" si="232"/>
        <v>83.176000000000002</v>
      </c>
      <c r="C545" s="337">
        <f t="shared" si="213"/>
        <v>18.841753136556111</v>
      </c>
      <c r="D545" s="338">
        <f t="shared" si="214"/>
        <v>1.5176977612327456</v>
      </c>
      <c r="E545" s="338">
        <f t="shared" si="215"/>
        <v>1.0078352023485109</v>
      </c>
      <c r="F545" s="339">
        <f t="shared" si="216"/>
        <v>0.12477486459344306</v>
      </c>
      <c r="G545" s="338">
        <f t="shared" si="217"/>
        <v>1</v>
      </c>
      <c r="H545" s="339">
        <f t="shared" si="218"/>
        <v>0</v>
      </c>
      <c r="I545" s="337">
        <f t="shared" si="219"/>
        <v>60218.807887331473</v>
      </c>
      <c r="J545" s="340">
        <f t="shared" si="220"/>
        <v>1.5707797206873511</v>
      </c>
      <c r="K545" s="348">
        <f t="shared" si="236"/>
        <v>14.145866238730482</v>
      </c>
      <c r="L545" s="349">
        <f t="shared" si="237"/>
        <v>1.5000452850719639</v>
      </c>
      <c r="M545" s="337">
        <f t="shared" si="221"/>
        <v>1.2164931951657525</v>
      </c>
      <c r="N545" s="340">
        <f t="shared" si="222"/>
        <v>0.6058207425724359</v>
      </c>
      <c r="O545" s="341">
        <f t="shared" si="223"/>
        <v>1.1551554117990119</v>
      </c>
      <c r="P545" s="342">
        <f t="shared" si="224"/>
        <v>1.1910076770935052</v>
      </c>
      <c r="Q545" s="343">
        <f t="shared" si="225"/>
        <v>-5.7626725117969277</v>
      </c>
      <c r="R545" s="344">
        <f t="shared" si="226"/>
        <v>-186.81207296105478</v>
      </c>
      <c r="S545" s="346">
        <f t="shared" si="227"/>
        <v>-6.8120729610547812</v>
      </c>
      <c r="U545" s="319">
        <f t="shared" si="233"/>
        <v>83176</v>
      </c>
      <c r="V545" s="319">
        <f t="shared" si="234"/>
        <v>6918246976</v>
      </c>
      <c r="X545" s="345">
        <f t="shared" si="228"/>
        <v>23.422978588874276</v>
      </c>
      <c r="Y545" s="346">
        <f t="shared" si="229"/>
        <v>-38.763756362177688</v>
      </c>
      <c r="AA545" s="345">
        <f t="shared" si="230"/>
        <v>33.055852521775819</v>
      </c>
      <c r="AB545" s="346">
        <f t="shared" si="231"/>
        <v>-148.04831659887714</v>
      </c>
      <c r="AD545">
        <f t="shared" si="235"/>
        <v>0</v>
      </c>
      <c r="AE545">
        <f t="shared" si="238"/>
        <v>0</v>
      </c>
    </row>
    <row r="546" spans="1:31" x14ac:dyDescent="0.25">
      <c r="A546" s="347">
        <v>83660.5</v>
      </c>
      <c r="B546" s="364">
        <f t="shared" si="232"/>
        <v>83.660499999999999</v>
      </c>
      <c r="C546" s="337">
        <f t="shared" si="213"/>
        <v>18.951198042264377</v>
      </c>
      <c r="D546" s="338">
        <f t="shared" si="214"/>
        <v>1.5180046963371097</v>
      </c>
      <c r="E546" s="338">
        <f t="shared" si="215"/>
        <v>1.0079263882939267</v>
      </c>
      <c r="F546" s="339">
        <f t="shared" si="216"/>
        <v>0.1254940925981754</v>
      </c>
      <c r="G546" s="338">
        <f t="shared" si="217"/>
        <v>1</v>
      </c>
      <c r="H546" s="339">
        <f t="shared" si="218"/>
        <v>0</v>
      </c>
      <c r="I546" s="337">
        <f t="shared" si="219"/>
        <v>60569.582298380214</v>
      </c>
      <c r="J546" s="340">
        <f t="shared" si="220"/>
        <v>1.5707798168576954</v>
      </c>
      <c r="K546" s="348">
        <f t="shared" si="236"/>
        <v>14.227855281093703</v>
      </c>
      <c r="L546" s="349">
        <f t="shared" si="237"/>
        <v>1.5004536688092631</v>
      </c>
      <c r="M546" s="337">
        <f t="shared" si="221"/>
        <v>1.218795426722973</v>
      </c>
      <c r="N546" s="340">
        <f t="shared" si="222"/>
        <v>0.60854225995717914</v>
      </c>
      <c r="O546" s="341">
        <f t="shared" si="223"/>
        <v>1.1585141789610798</v>
      </c>
      <c r="P546" s="342">
        <f t="shared" si="224"/>
        <v>1.1983629409893664</v>
      </c>
      <c r="Q546" s="343">
        <f t="shared" si="225"/>
        <v>-5.8540859134787144</v>
      </c>
      <c r="R546" s="344">
        <f t="shared" si="226"/>
        <v>-187.34241420258741</v>
      </c>
      <c r="S546" s="346">
        <f t="shared" si="227"/>
        <v>-7.3424142025874062</v>
      </c>
      <c r="U546" s="319">
        <f t="shared" si="233"/>
        <v>83660.5</v>
      </c>
      <c r="V546" s="319">
        <f t="shared" si="234"/>
        <v>6999079260.25</v>
      </c>
      <c r="X546" s="345">
        <f t="shared" si="228"/>
        <v>23.406305289983091</v>
      </c>
      <c r="Y546" s="346">
        <f t="shared" si="229"/>
        <v>-38.89629466793221</v>
      </c>
      <c r="AA546" s="345">
        <f t="shared" si="230"/>
        <v>32.981112418985219</v>
      </c>
      <c r="AB546" s="346">
        <f t="shared" si="231"/>
        <v>-148.44611953465514</v>
      </c>
      <c r="AD546">
        <f t="shared" si="235"/>
        <v>0</v>
      </c>
      <c r="AE546">
        <f t="shared" si="238"/>
        <v>0</v>
      </c>
    </row>
    <row r="547" spans="1:31" x14ac:dyDescent="0.25">
      <c r="A547" s="347">
        <v>84145</v>
      </c>
      <c r="B547" s="364">
        <f t="shared" si="232"/>
        <v>84.144999999999996</v>
      </c>
      <c r="C547" s="337">
        <f t="shared" si="213"/>
        <v>19.060644712845946</v>
      </c>
      <c r="D547" s="338">
        <f t="shared" si="214"/>
        <v>1.518308106612597</v>
      </c>
      <c r="E547" s="338">
        <f t="shared" si="215"/>
        <v>1.0080180955340103</v>
      </c>
      <c r="F547" s="339">
        <f t="shared" si="216"/>
        <v>0.12621319010731033</v>
      </c>
      <c r="G547" s="338">
        <f t="shared" si="217"/>
        <v>1</v>
      </c>
      <c r="H547" s="339">
        <f t="shared" si="218"/>
        <v>0</v>
      </c>
      <c r="I547" s="337">
        <f t="shared" si="219"/>
        <v>60920.356709429499</v>
      </c>
      <c r="J547" s="340">
        <f t="shared" si="220"/>
        <v>1.5707799119205581</v>
      </c>
      <c r="K547" s="348">
        <f t="shared" si="236"/>
        <v>14.309846669148527</v>
      </c>
      <c r="L547" s="349">
        <f t="shared" si="237"/>
        <v>1.5008573727658334</v>
      </c>
      <c r="M547" s="337">
        <f t="shared" si="221"/>
        <v>1.2211066514016737</v>
      </c>
      <c r="N547" s="340">
        <f t="shared" si="222"/>
        <v>0.61125349516701299</v>
      </c>
      <c r="O547" s="341">
        <f t="shared" si="223"/>
        <v>1.161921403844222</v>
      </c>
      <c r="P547" s="342">
        <f t="shared" si="224"/>
        <v>1.2057064782005755</v>
      </c>
      <c r="Q547" s="343">
        <f t="shared" si="225"/>
        <v>-5.9455239213786149</v>
      </c>
      <c r="R547" s="344">
        <f t="shared" si="226"/>
        <v>-187.87156801661342</v>
      </c>
      <c r="S547" s="346">
        <f t="shared" si="227"/>
        <v>-7.8715680166134234</v>
      </c>
      <c r="U547" s="319">
        <f t="shared" si="233"/>
        <v>84145</v>
      </c>
      <c r="V547" s="319">
        <f t="shared" si="234"/>
        <v>7080381025</v>
      </c>
      <c r="X547" s="345">
        <f t="shared" si="228"/>
        <v>23.389603316983468</v>
      </c>
      <c r="Y547" s="346">
        <f t="shared" si="229"/>
        <v>-39.028511916690668</v>
      </c>
      <c r="AA547" s="345">
        <f t="shared" si="230"/>
        <v>32.906376384084936</v>
      </c>
      <c r="AB547" s="346">
        <f t="shared" si="231"/>
        <v>-148.84305609992279</v>
      </c>
      <c r="AD547">
        <f t="shared" si="235"/>
        <v>0</v>
      </c>
      <c r="AE547">
        <f t="shared" si="238"/>
        <v>0</v>
      </c>
    </row>
    <row r="548" spans="1:31" x14ac:dyDescent="0.25">
      <c r="A548" s="347">
        <v>84629.5</v>
      </c>
      <c r="B548" s="364">
        <f t="shared" si="232"/>
        <v>84.629499999999993</v>
      </c>
      <c r="C548" s="337">
        <f t="shared" si="213"/>
        <v>19.170093118072558</v>
      </c>
      <c r="D548" s="338">
        <f t="shared" si="214"/>
        <v>1.518608052376105</v>
      </c>
      <c r="E548" s="338">
        <f t="shared" si="215"/>
        <v>1.0081103239264964</v>
      </c>
      <c r="F548" s="339">
        <f t="shared" si="216"/>
        <v>0.12693215641287078</v>
      </c>
      <c r="G548" s="338">
        <f t="shared" si="217"/>
        <v>1</v>
      </c>
      <c r="H548" s="339">
        <f t="shared" si="218"/>
        <v>0</v>
      </c>
      <c r="I548" s="337">
        <f t="shared" si="219"/>
        <v>61271.131120479338</v>
      </c>
      <c r="J548" s="340">
        <f t="shared" si="220"/>
        <v>1.5707800058949597</v>
      </c>
      <c r="K548" s="348">
        <f t="shared" si="236"/>
        <v>14.391840362804219</v>
      </c>
      <c r="L548" s="349">
        <f t="shared" si="237"/>
        <v>1.501256476794377</v>
      </c>
      <c r="M548" s="337">
        <f t="shared" si="221"/>
        <v>1.223426818234056</v>
      </c>
      <c r="N548" s="340">
        <f t="shared" si="222"/>
        <v>0.61395446672875498</v>
      </c>
      <c r="O548" s="341">
        <f t="shared" si="223"/>
        <v>1.1653773325415575</v>
      </c>
      <c r="P548" s="342">
        <f t="shared" si="224"/>
        <v>1.21303786745301</v>
      </c>
      <c r="Q548" s="343">
        <f t="shared" si="225"/>
        <v>-6.0369883961457891</v>
      </c>
      <c r="R548" s="344">
        <f t="shared" si="226"/>
        <v>-188.39951024974695</v>
      </c>
      <c r="S548" s="346">
        <f t="shared" si="227"/>
        <v>-8.3995102497469531</v>
      </c>
      <c r="U548" s="319">
        <f t="shared" si="233"/>
        <v>84629.5</v>
      </c>
      <c r="V548" s="319">
        <f t="shared" si="234"/>
        <v>7162152270.25</v>
      </c>
      <c r="X548" s="345">
        <f t="shared" si="228"/>
        <v>23.372873179657176</v>
      </c>
      <c r="Y548" s="346">
        <f t="shared" si="229"/>
        <v>-39.160404595828403</v>
      </c>
      <c r="AA548" s="345">
        <f t="shared" si="230"/>
        <v>32.831642046644063</v>
      </c>
      <c r="AB548" s="346">
        <f t="shared" si="231"/>
        <v>-149.23910565391853</v>
      </c>
      <c r="AD548">
        <f t="shared" si="235"/>
        <v>0</v>
      </c>
      <c r="AE548">
        <f t="shared" si="238"/>
        <v>0</v>
      </c>
    </row>
    <row r="549" spans="1:31" x14ac:dyDescent="0.25">
      <c r="A549" s="347">
        <v>85114</v>
      </c>
      <c r="B549" s="364">
        <f t="shared" si="232"/>
        <v>85.114000000000004</v>
      </c>
      <c r="C549" s="337">
        <f t="shared" si="213"/>
        <v>19.279543228401899</v>
      </c>
      <c r="D549" s="338">
        <f t="shared" si="214"/>
        <v>1.5189045925773785</v>
      </c>
      <c r="E549" s="338">
        <f t="shared" si="215"/>
        <v>1.0082030733283627</v>
      </c>
      <c r="F549" s="339">
        <f t="shared" si="216"/>
        <v>0.12765099080768044</v>
      </c>
      <c r="G549" s="338">
        <f t="shared" si="217"/>
        <v>1</v>
      </c>
      <c r="H549" s="339">
        <f t="shared" si="218"/>
        <v>0</v>
      </c>
      <c r="I549" s="337">
        <f t="shared" si="219"/>
        <v>61621.905531529708</v>
      </c>
      <c r="J549" s="340">
        <f t="shared" si="220"/>
        <v>1.5707800987994878</v>
      </c>
      <c r="K549" s="348">
        <f t="shared" si="236"/>
        <v>14.473836322877373</v>
      </c>
      <c r="L549" s="349">
        <f t="shared" si="237"/>
        <v>1.5016510589440353</v>
      </c>
      <c r="M549" s="337">
        <f t="shared" si="221"/>
        <v>1.2257558764417673</v>
      </c>
      <c r="N549" s="340">
        <f t="shared" si="222"/>
        <v>0.61664519362822623</v>
      </c>
      <c r="O549" s="341">
        <f t="shared" si="223"/>
        <v>1.1688822060320327</v>
      </c>
      <c r="P549" s="342">
        <f t="shared" si="224"/>
        <v>1.220356690079768</v>
      </c>
      <c r="Q549" s="343">
        <f t="shared" si="225"/>
        <v>-6.1284810733457507</v>
      </c>
      <c r="R549" s="344">
        <f t="shared" si="226"/>
        <v>-188.92621694921715</v>
      </c>
      <c r="S549" s="346">
        <f t="shared" si="227"/>
        <v>-8.9262169492171495</v>
      </c>
      <c r="U549" s="319">
        <f t="shared" si="233"/>
        <v>85114</v>
      </c>
      <c r="V549" s="319">
        <f t="shared" si="234"/>
        <v>7244392996</v>
      </c>
      <c r="X549" s="345">
        <f t="shared" si="228"/>
        <v>23.356115385784008</v>
      </c>
      <c r="Y549" s="346">
        <f t="shared" si="229"/>
        <v>-39.291969322331525</v>
      </c>
      <c r="AA549" s="345">
        <f t="shared" si="230"/>
        <v>32.756907163317265</v>
      </c>
      <c r="AB549" s="346">
        <f t="shared" si="231"/>
        <v>-149.63424762688564</v>
      </c>
      <c r="AD549">
        <f t="shared" si="235"/>
        <v>0</v>
      </c>
      <c r="AE549">
        <f t="shared" si="238"/>
        <v>0</v>
      </c>
    </row>
    <row r="550" spans="1:31" x14ac:dyDescent="0.25">
      <c r="A550" s="347">
        <v>85609.5</v>
      </c>
      <c r="B550" s="364">
        <f t="shared" si="232"/>
        <v>85.609499999999997</v>
      </c>
      <c r="C550" s="337">
        <f t="shared" si="213"/>
        <v>19.391480007678659</v>
      </c>
      <c r="D550" s="338">
        <f t="shared" si="214"/>
        <v>1.5192044029962748</v>
      </c>
      <c r="E550" s="338">
        <f t="shared" si="215"/>
        <v>1.0082984672329771</v>
      </c>
      <c r="F550" s="339">
        <f t="shared" si="216"/>
        <v>0.12838600831482869</v>
      </c>
      <c r="G550" s="338">
        <f t="shared" si="217"/>
        <v>1</v>
      </c>
      <c r="H550" s="339">
        <f t="shared" si="218"/>
        <v>0</v>
      </c>
      <c r="I550" s="337">
        <f t="shared" si="219"/>
        <v>61980.643861097764</v>
      </c>
      <c r="J550" s="340">
        <f t="shared" si="220"/>
        <v>1.5707801927256493</v>
      </c>
      <c r="K550" s="348">
        <f t="shared" si="236"/>
        <v>14.55769620861061</v>
      </c>
      <c r="L550" s="349">
        <f t="shared" si="237"/>
        <v>1.5020500020761576</v>
      </c>
      <c r="M550" s="337">
        <f t="shared" si="221"/>
        <v>1.2281469569155128</v>
      </c>
      <c r="N550" s="340">
        <f t="shared" si="222"/>
        <v>0.6193864343675215</v>
      </c>
      <c r="O550" s="341">
        <f t="shared" si="223"/>
        <v>1.1725175235397887</v>
      </c>
      <c r="P550" s="342">
        <f t="shared" si="224"/>
        <v>1.227828246728373</v>
      </c>
      <c r="Q550" s="343">
        <f t="shared" si="225"/>
        <v>-6.2220818336782147</v>
      </c>
      <c r="R550" s="344">
        <f t="shared" si="226"/>
        <v>-189.46357923164535</v>
      </c>
      <c r="S550" s="346">
        <f t="shared" si="227"/>
        <v>-9.4635792316453546</v>
      </c>
      <c r="U550" s="319">
        <f t="shared" si="233"/>
        <v>85609.5</v>
      </c>
      <c r="V550" s="319">
        <f t="shared" si="234"/>
        <v>7328986490.25</v>
      </c>
      <c r="X550" s="345">
        <f t="shared" si="228"/>
        <v>23.338949047439073</v>
      </c>
      <c r="Y550" s="346">
        <f t="shared" si="229"/>
        <v>-39.426178471312113</v>
      </c>
      <c r="AA550" s="345">
        <f t="shared" si="230"/>
        <v>32.680472741329737</v>
      </c>
      <c r="AB550" s="346">
        <f t="shared" si="231"/>
        <v>-150.03740076033327</v>
      </c>
      <c r="AD550">
        <f t="shared" si="235"/>
        <v>0</v>
      </c>
      <c r="AE550">
        <f t="shared" si="238"/>
        <v>0</v>
      </c>
    </row>
    <row r="551" spans="1:31" x14ac:dyDescent="0.25">
      <c r="A551" s="347">
        <v>86105</v>
      </c>
      <c r="B551" s="364">
        <f t="shared" si="232"/>
        <v>86.105000000000004</v>
      </c>
      <c r="C551" s="337">
        <f t="shared" si="213"/>
        <v>19.503418509975802</v>
      </c>
      <c r="D551" s="338">
        <f t="shared" si="214"/>
        <v>1.5195007719598235</v>
      </c>
      <c r="E551" s="338">
        <f t="shared" si="215"/>
        <v>1.0083944057683452</v>
      </c>
      <c r="F551" s="339">
        <f t="shared" si="216"/>
        <v>0.12912088635995933</v>
      </c>
      <c r="G551" s="338">
        <f t="shared" si="217"/>
        <v>1</v>
      </c>
      <c r="H551" s="339">
        <f t="shared" si="218"/>
        <v>0</v>
      </c>
      <c r="I551" s="337">
        <f t="shared" si="219"/>
        <v>62339.382190666358</v>
      </c>
      <c r="J551" s="340">
        <f t="shared" si="220"/>
        <v>1.5707802855707955</v>
      </c>
      <c r="K551" s="348">
        <f t="shared" si="236"/>
        <v>14.641558384742183</v>
      </c>
      <c r="L551" s="349">
        <f t="shared" si="237"/>
        <v>1.5024443752324332</v>
      </c>
      <c r="M551" s="337">
        <f t="shared" si="221"/>
        <v>1.2305472302723799</v>
      </c>
      <c r="N551" s="340">
        <f t="shared" si="222"/>
        <v>0.62211700157336713</v>
      </c>
      <c r="O551" s="341">
        <f t="shared" si="223"/>
        <v>1.1762045268741959</v>
      </c>
      <c r="P551" s="342">
        <f t="shared" si="224"/>
        <v>1.2352857831239756</v>
      </c>
      <c r="Q551" s="343">
        <f t="shared" si="225"/>
        <v>-6.3157153720600441</v>
      </c>
      <c r="R551" s="344">
        <f t="shared" si="226"/>
        <v>-189.99959925243732</v>
      </c>
      <c r="S551" s="346">
        <f t="shared" si="227"/>
        <v>-9.9995992524373207</v>
      </c>
      <c r="U551" s="319">
        <f t="shared" si="233"/>
        <v>86105</v>
      </c>
      <c r="V551" s="319">
        <f t="shared" si="234"/>
        <v>7414071025</v>
      </c>
      <c r="X551" s="345">
        <f t="shared" si="228"/>
        <v>23.32175484989645</v>
      </c>
      <c r="Y551" s="346">
        <f t="shared" si="229"/>
        <v>-39.560037850264024</v>
      </c>
      <c r="AA551" s="345">
        <f t="shared" si="230"/>
        <v>32.604033400490529</v>
      </c>
      <c r="AB551" s="346">
        <f t="shared" si="231"/>
        <v>-150.43956140217321</v>
      </c>
      <c r="AD551">
        <f t="shared" si="235"/>
        <v>0</v>
      </c>
      <c r="AE551">
        <f t="shared" si="238"/>
        <v>0</v>
      </c>
    </row>
    <row r="552" spans="1:31" x14ac:dyDescent="0.25">
      <c r="A552" s="347">
        <v>86600.5</v>
      </c>
      <c r="B552" s="364">
        <f t="shared" si="232"/>
        <v>86.600499999999997</v>
      </c>
      <c r="C552" s="337">
        <f t="shared" si="213"/>
        <v>19.615358705795174</v>
      </c>
      <c r="D552" s="338">
        <f t="shared" si="214"/>
        <v>1.5197937583342171</v>
      </c>
      <c r="E552" s="338">
        <f t="shared" si="215"/>
        <v>1.0084908887790336</v>
      </c>
      <c r="F552" s="339">
        <f t="shared" si="216"/>
        <v>0.12985562418925198</v>
      </c>
      <c r="G552" s="338">
        <f t="shared" si="217"/>
        <v>1</v>
      </c>
      <c r="H552" s="339">
        <f t="shared" si="218"/>
        <v>0</v>
      </c>
      <c r="I552" s="337">
        <f t="shared" si="219"/>
        <v>62698.120520235476</v>
      </c>
      <c r="J552" s="340">
        <f t="shared" si="220"/>
        <v>1.5707803773534821</v>
      </c>
      <c r="K552" s="348">
        <f t="shared" si="236"/>
        <v>14.72542281214022</v>
      </c>
      <c r="L552" s="349">
        <f t="shared" si="237"/>
        <v>1.5028342563700932</v>
      </c>
      <c r="M552" s="337">
        <f t="shared" si="221"/>
        <v>1.2329566428232983</v>
      </c>
      <c r="N552" s="340">
        <f t="shared" si="222"/>
        <v>0.62483691698286914</v>
      </c>
      <c r="O552" s="341">
        <f t="shared" si="223"/>
        <v>1.1799434570558507</v>
      </c>
      <c r="P552" s="342">
        <f t="shared" si="224"/>
        <v>1.2427288611828466</v>
      </c>
      <c r="Q552" s="343">
        <f t="shared" si="225"/>
        <v>-6.4093831530224072</v>
      </c>
      <c r="R552" s="344">
        <f t="shared" si="226"/>
        <v>-190.53425210710643</v>
      </c>
      <c r="S552" s="346">
        <f t="shared" si="227"/>
        <v>-10.534252107106425</v>
      </c>
      <c r="U552" s="319">
        <f t="shared" si="233"/>
        <v>86600.5</v>
      </c>
      <c r="V552" s="319">
        <f t="shared" si="234"/>
        <v>7499646600.25</v>
      </c>
      <c r="X552" s="345">
        <f t="shared" si="228"/>
        <v>23.304533329184597</v>
      </c>
      <c r="Y552" s="346">
        <f t="shared" si="229"/>
        <v>-39.693544239074548</v>
      </c>
      <c r="AA552" s="345">
        <f t="shared" si="230"/>
        <v>32.527587140240016</v>
      </c>
      <c r="AB552" s="346">
        <f t="shared" si="231"/>
        <v>-150.84070786803187</v>
      </c>
      <c r="AD552">
        <f t="shared" si="235"/>
        <v>0</v>
      </c>
      <c r="AE552">
        <f t="shared" si="238"/>
        <v>0</v>
      </c>
    </row>
    <row r="553" spans="1:31" x14ac:dyDescent="0.25">
      <c r="A553" s="347">
        <v>87096</v>
      </c>
      <c r="B553" s="364">
        <f t="shared" si="232"/>
        <v>87.096000000000004</v>
      </c>
      <c r="C553" s="337">
        <f t="shared" si="213"/>
        <v>19.727300566307708</v>
      </c>
      <c r="D553" s="338">
        <f t="shared" si="214"/>
        <v>1.5200834196518651</v>
      </c>
      <c r="E553" s="338">
        <f t="shared" si="215"/>
        <v>1.0085879161087863</v>
      </c>
      <c r="F553" s="339">
        <f t="shared" si="216"/>
        <v>0.13059022104977952</v>
      </c>
      <c r="G553" s="338">
        <f t="shared" si="217"/>
        <v>1</v>
      </c>
      <c r="H553" s="339">
        <f t="shared" si="218"/>
        <v>0</v>
      </c>
      <c r="I553" s="337">
        <f t="shared" si="219"/>
        <v>63056.858849805125</v>
      </c>
      <c r="J553" s="340">
        <f t="shared" si="220"/>
        <v>1.5707804680918422</v>
      </c>
      <c r="K553" s="348">
        <f t="shared" si="236"/>
        <v>14.809289452558225</v>
      </c>
      <c r="L553" s="349">
        <f t="shared" si="237"/>
        <v>1.5032197216859806</v>
      </c>
      <c r="M553" s="337">
        <f t="shared" si="221"/>
        <v>1.2353751410944174</v>
      </c>
      <c r="N553" s="340">
        <f t="shared" si="222"/>
        <v>0.62754620279428674</v>
      </c>
      <c r="O553" s="341">
        <f t="shared" si="223"/>
        <v>1.183734549421477</v>
      </c>
      <c r="P553" s="342">
        <f t="shared" si="224"/>
        <v>1.2501570465308862</v>
      </c>
      <c r="Q553" s="343">
        <f t="shared" si="225"/>
        <v>-6.5030865137568084</v>
      </c>
      <c r="R553" s="344">
        <f t="shared" si="226"/>
        <v>-191.06751315450197</v>
      </c>
      <c r="S553" s="346">
        <f t="shared" si="227"/>
        <v>-11.067513154501967</v>
      </c>
      <c r="U553" s="319">
        <f t="shared" si="233"/>
        <v>87096</v>
      </c>
      <c r="V553" s="319">
        <f t="shared" si="234"/>
        <v>7585713216</v>
      </c>
      <c r="X553" s="345">
        <f t="shared" si="228"/>
        <v>23.287285018732966</v>
      </c>
      <c r="Y553" s="346">
        <f t="shared" si="229"/>
        <v>-39.826694544891652</v>
      </c>
      <c r="AA553" s="345">
        <f t="shared" si="230"/>
        <v>32.451132089957248</v>
      </c>
      <c r="AB553" s="346">
        <f t="shared" si="231"/>
        <v>-151.24081860961027</v>
      </c>
      <c r="AD553">
        <f t="shared" si="235"/>
        <v>0</v>
      </c>
      <c r="AE553">
        <f t="shared" si="238"/>
        <v>0</v>
      </c>
    </row>
    <row r="554" spans="1:31" x14ac:dyDescent="0.25">
      <c r="A554" s="347">
        <v>87603.25</v>
      </c>
      <c r="B554" s="364">
        <f t="shared" si="232"/>
        <v>87.603250000000003</v>
      </c>
      <c r="C554" s="337">
        <f t="shared" si="213"/>
        <v>19.841898646220962</v>
      </c>
      <c r="D554" s="338">
        <f t="shared" si="214"/>
        <v>1.5203765642707991</v>
      </c>
      <c r="E554" s="338">
        <f t="shared" si="215"/>
        <v>1.0086878079580446</v>
      </c>
      <c r="F554" s="339">
        <f t="shared" si="216"/>
        <v>0.13134209090694887</v>
      </c>
      <c r="G554" s="338">
        <f t="shared" si="217"/>
        <v>1</v>
      </c>
      <c r="H554" s="339">
        <f t="shared" si="218"/>
        <v>0</v>
      </c>
      <c r="I554" s="337">
        <f t="shared" si="219"/>
        <v>63424.104092336842</v>
      </c>
      <c r="J554" s="340">
        <f t="shared" si="220"/>
        <v>1.5707805599186537</v>
      </c>
      <c r="K554" s="348">
        <f t="shared" si="236"/>
        <v>14.89514711124281</v>
      </c>
      <c r="L554" s="349">
        <f t="shared" si="237"/>
        <v>1.5036098313241351</v>
      </c>
      <c r="M554" s="337">
        <f t="shared" si="221"/>
        <v>1.2378603460869235</v>
      </c>
      <c r="N554" s="340">
        <f t="shared" si="222"/>
        <v>0.6303087480067322</v>
      </c>
      <c r="O554" s="341">
        <f t="shared" si="223"/>
        <v>1.1876698135383938</v>
      </c>
      <c r="P554" s="342">
        <f t="shared" si="224"/>
        <v>1.2577455035394838</v>
      </c>
      <c r="Q554" s="343">
        <f t="shared" si="225"/>
        <v>-6.5990500219758097</v>
      </c>
      <c r="R554" s="344">
        <f t="shared" si="226"/>
        <v>-191.61195250148842</v>
      </c>
      <c r="S554" s="346">
        <f t="shared" si="227"/>
        <v>-11.611952501488418</v>
      </c>
      <c r="U554" s="319">
        <f t="shared" si="233"/>
        <v>87603.25</v>
      </c>
      <c r="V554" s="319">
        <f t="shared" si="234"/>
        <v>7674329410.5625</v>
      </c>
      <c r="X554" s="345">
        <f t="shared" si="228"/>
        <v>23.269600495746943</v>
      </c>
      <c r="Y554" s="346">
        <f t="shared" si="229"/>
        <v>-39.962630351909304</v>
      </c>
      <c r="AA554" s="345">
        <f t="shared" si="230"/>
        <v>32.372853104724271</v>
      </c>
      <c r="AB554" s="346">
        <f t="shared" si="231"/>
        <v>-151.64932214957918</v>
      </c>
      <c r="AD554">
        <f t="shared" si="235"/>
        <v>0</v>
      </c>
      <c r="AE554">
        <f t="shared" si="238"/>
        <v>0</v>
      </c>
    </row>
    <row r="555" spans="1:31" x14ac:dyDescent="0.25">
      <c r="A555" s="347">
        <v>88110.5</v>
      </c>
      <c r="B555" s="364">
        <f t="shared" si="232"/>
        <v>88.110500000000002</v>
      </c>
      <c r="C555" s="337">
        <f t="shared" si="213"/>
        <v>19.956498411640659</v>
      </c>
      <c r="D555" s="338">
        <f t="shared" si="214"/>
        <v>1.5206663421609847</v>
      </c>
      <c r="E555" s="338">
        <f t="shared" si="215"/>
        <v>1.0087882699137589</v>
      </c>
      <c r="F555" s="339">
        <f t="shared" si="216"/>
        <v>0.13209381143643514</v>
      </c>
      <c r="G555" s="338">
        <f t="shared" si="217"/>
        <v>1</v>
      </c>
      <c r="H555" s="339">
        <f t="shared" si="218"/>
        <v>0</v>
      </c>
      <c r="I555" s="337">
        <f t="shared" si="219"/>
        <v>63791.349334869097</v>
      </c>
      <c r="J555" s="340">
        <f t="shared" si="220"/>
        <v>1.5707806506881759</v>
      </c>
      <c r="K555" s="348">
        <f t="shared" si="236"/>
        <v>14.981007010770234</v>
      </c>
      <c r="L555" s="349">
        <f t="shared" si="237"/>
        <v>1.5039954693885302</v>
      </c>
      <c r="M555" s="337">
        <f t="shared" si="221"/>
        <v>1.240354960105702</v>
      </c>
      <c r="N555" s="340">
        <f t="shared" si="222"/>
        <v>0.63306020203125424</v>
      </c>
      <c r="O555" s="341">
        <f t="shared" si="223"/>
        <v>1.1916602238647358</v>
      </c>
      <c r="P555" s="342">
        <f t="shared" si="224"/>
        <v>1.265317444707148</v>
      </c>
      <c r="Q555" s="343">
        <f t="shared" si="225"/>
        <v>-6.6950532550282897</v>
      </c>
      <c r="R555" s="344">
        <f t="shared" si="226"/>
        <v>-192.15488188045879</v>
      </c>
      <c r="S555" s="346">
        <f t="shared" si="227"/>
        <v>-12.154881880458788</v>
      </c>
      <c r="U555" s="319">
        <f t="shared" si="233"/>
        <v>88110.5</v>
      </c>
      <c r="V555" s="319">
        <f t="shared" si="234"/>
        <v>7763460210.25</v>
      </c>
      <c r="X555" s="345">
        <f t="shared" si="228"/>
        <v>23.251889019985875</v>
      </c>
      <c r="Y555" s="346">
        <f t="shared" si="229"/>
        <v>-40.09818682239468</v>
      </c>
      <c r="AA555" s="345">
        <f t="shared" si="230"/>
        <v>32.294561347432861</v>
      </c>
      <c r="AB555" s="346">
        <f t="shared" si="231"/>
        <v>-152.05669505806409</v>
      </c>
      <c r="AD555">
        <f t="shared" si="235"/>
        <v>0</v>
      </c>
      <c r="AE555">
        <f t="shared" si="238"/>
        <v>0</v>
      </c>
    </row>
    <row r="556" spans="1:31" x14ac:dyDescent="0.25">
      <c r="A556" s="347">
        <v>88617.75</v>
      </c>
      <c r="B556" s="364">
        <f t="shared" si="232"/>
        <v>88.617750000000001</v>
      </c>
      <c r="C556" s="337">
        <f t="shared" si="213"/>
        <v>20.071099833695623</v>
      </c>
      <c r="D556" s="338">
        <f t="shared" si="214"/>
        <v>1.5209528109431039</v>
      </c>
      <c r="E556" s="338">
        <f t="shared" si="215"/>
        <v>1.0088893018056206</v>
      </c>
      <c r="F556" s="339">
        <f t="shared" si="216"/>
        <v>0.13284538183340436</v>
      </c>
      <c r="G556" s="338">
        <f t="shared" si="217"/>
        <v>1</v>
      </c>
      <c r="H556" s="339">
        <f t="shared" si="218"/>
        <v>0</v>
      </c>
      <c r="I556" s="337">
        <f t="shared" si="219"/>
        <v>64158.594577401862</v>
      </c>
      <c r="J556" s="340">
        <f t="shared" si="220"/>
        <v>1.5707807404185643</v>
      </c>
      <c r="K556" s="348">
        <f t="shared" si="236"/>
        <v>15.06686911283157</v>
      </c>
      <c r="L556" s="349">
        <f t="shared" si="237"/>
        <v>1.5043767122104208</v>
      </c>
      <c r="M556" s="337">
        <f t="shared" si="221"/>
        <v>1.242858926494552</v>
      </c>
      <c r="N556" s="340">
        <f t="shared" si="222"/>
        <v>0.63580059011869849</v>
      </c>
      <c r="O556" s="341">
        <f t="shared" si="223"/>
        <v>1.1957060142947593</v>
      </c>
      <c r="P556" s="342">
        <f t="shared" si="224"/>
        <v>1.2728724174323625</v>
      </c>
      <c r="Q556" s="343">
        <f t="shared" si="225"/>
        <v>-6.7910972488416368</v>
      </c>
      <c r="R556" s="344">
        <f t="shared" si="226"/>
        <v>-192.69627578114009</v>
      </c>
      <c r="S556" s="346">
        <f t="shared" si="227"/>
        <v>-12.696275781140088</v>
      </c>
      <c r="U556" s="319">
        <f t="shared" si="233"/>
        <v>88617.75</v>
      </c>
      <c r="V556" s="319">
        <f t="shared" si="234"/>
        <v>7853105615.0625</v>
      </c>
      <c r="X556" s="345">
        <f t="shared" si="228"/>
        <v>23.234151154693457</v>
      </c>
      <c r="Y556" s="346">
        <f t="shared" si="229"/>
        <v>-40.23336103069618</v>
      </c>
      <c r="AA556" s="345">
        <f t="shared" si="230"/>
        <v>32.216255218911932</v>
      </c>
      <c r="AB556" s="346">
        <f t="shared" si="231"/>
        <v>-152.46291475044387</v>
      </c>
      <c r="AD556">
        <f t="shared" si="235"/>
        <v>0</v>
      </c>
      <c r="AE556">
        <f t="shared" si="238"/>
        <v>0</v>
      </c>
    </row>
    <row r="557" spans="1:31" x14ac:dyDescent="0.25">
      <c r="A557" s="347">
        <v>89125</v>
      </c>
      <c r="B557" s="364">
        <f t="shared" si="232"/>
        <v>89.125</v>
      </c>
      <c r="C557" s="337">
        <f t="shared" si="213"/>
        <v>20.185702884169945</v>
      </c>
      <c r="D557" s="338">
        <f t="shared" si="214"/>
        <v>1.5212360269314886</v>
      </c>
      <c r="E557" s="338">
        <f t="shared" si="215"/>
        <v>1.0089909034624245</v>
      </c>
      <c r="F557" s="339">
        <f t="shared" si="216"/>
        <v>0.13359680129402246</v>
      </c>
      <c r="G557" s="338">
        <f t="shared" si="217"/>
        <v>1</v>
      </c>
      <c r="H557" s="339">
        <f t="shared" si="218"/>
        <v>0</v>
      </c>
      <c r="I557" s="337">
        <f t="shared" si="219"/>
        <v>64525.839819935143</v>
      </c>
      <c r="J557" s="340">
        <f t="shared" si="220"/>
        <v>1.5707808291275616</v>
      </c>
      <c r="K557" s="348">
        <f t="shared" si="236"/>
        <v>15.152733379985218</v>
      </c>
      <c r="L557" s="349">
        <f t="shared" si="237"/>
        <v>1.504753634396089</v>
      </c>
      <c r="M557" s="337">
        <f t="shared" si="221"/>
        <v>1.2453721888413742</v>
      </c>
      <c r="N557" s="340">
        <f t="shared" si="222"/>
        <v>0.63852993798202962</v>
      </c>
      <c r="O557" s="341">
        <f t="shared" si="223"/>
        <v>1.1998074124434399</v>
      </c>
      <c r="P557" s="342">
        <f t="shared" si="224"/>
        <v>1.2804099740687305</v>
      </c>
      <c r="Q557" s="343">
        <f t="shared" si="225"/>
        <v>-6.887182910368673</v>
      </c>
      <c r="R557" s="344">
        <f t="shared" si="226"/>
        <v>-193.23610902754874</v>
      </c>
      <c r="S557" s="346">
        <f t="shared" si="227"/>
        <v>-13.236109027548736</v>
      </c>
      <c r="U557" s="319">
        <f t="shared" si="233"/>
        <v>89125</v>
      </c>
      <c r="V557" s="319">
        <f t="shared" si="234"/>
        <v>7943265625</v>
      </c>
      <c r="X557" s="345">
        <f t="shared" si="228"/>
        <v>23.216387459885848</v>
      </c>
      <c r="Y557" s="346">
        <f t="shared" si="229"/>
        <v>-40.368150176449639</v>
      </c>
      <c r="AA557" s="345">
        <f t="shared" si="230"/>
        <v>32.137933252192504</v>
      </c>
      <c r="AB557" s="346">
        <f t="shared" si="231"/>
        <v>-152.8679588510991</v>
      </c>
      <c r="AD557">
        <f t="shared" si="235"/>
        <v>0</v>
      </c>
      <c r="AE557">
        <f t="shared" si="238"/>
        <v>0</v>
      </c>
    </row>
    <row r="558" spans="1:31" x14ac:dyDescent="0.25">
      <c r="A558" s="347">
        <v>89644</v>
      </c>
      <c r="B558" s="364">
        <f t="shared" si="232"/>
        <v>89.644000000000005</v>
      </c>
      <c r="C558" s="337">
        <f t="shared" si="213"/>
        <v>20.302962270163299</v>
      </c>
      <c r="D558" s="338">
        <f t="shared" si="214"/>
        <v>1.5215224940850443</v>
      </c>
      <c r="E558" s="338">
        <f t="shared" si="215"/>
        <v>1.0090954481676739</v>
      </c>
      <c r="F558" s="339">
        <f t="shared" si="216"/>
        <v>0.13436546966673196</v>
      </c>
      <c r="G558" s="338">
        <f t="shared" si="217"/>
        <v>1</v>
      </c>
      <c r="H558" s="339">
        <f t="shared" si="218"/>
        <v>0</v>
      </c>
      <c r="I558" s="337">
        <f t="shared" si="219"/>
        <v>64901.591975430529</v>
      </c>
      <c r="J558" s="340">
        <f t="shared" si="220"/>
        <v>1.5707809188523547</v>
      </c>
      <c r="K558" s="348">
        <f t="shared" si="236"/>
        <v>15.240588820083154</v>
      </c>
      <c r="L558" s="349">
        <f t="shared" si="237"/>
        <v>1.5051348917878122</v>
      </c>
      <c r="M558" s="337">
        <f t="shared" si="221"/>
        <v>1.2479532315702009</v>
      </c>
      <c r="N558" s="340">
        <f t="shared" si="222"/>
        <v>0.64131110928783175</v>
      </c>
      <c r="O558" s="341">
        <f t="shared" si="223"/>
        <v>1.2040616014826511</v>
      </c>
      <c r="P558" s="342">
        <f t="shared" si="224"/>
        <v>1.2881036441887888</v>
      </c>
      <c r="Q558" s="343">
        <f t="shared" si="225"/>
        <v>-6.9855382519890563</v>
      </c>
      <c r="R558" s="344">
        <f t="shared" si="226"/>
        <v>-193.78680583961309</v>
      </c>
      <c r="S558" s="346">
        <f t="shared" si="227"/>
        <v>-13.786805839613095</v>
      </c>
      <c r="U558" s="319">
        <f t="shared" si="233"/>
        <v>89644</v>
      </c>
      <c r="V558" s="319">
        <f t="shared" si="234"/>
        <v>8036046736</v>
      </c>
      <c r="X558" s="345">
        <f t="shared" si="228"/>
        <v>23.19818613142159</v>
      </c>
      <c r="Y558" s="346">
        <f t="shared" si="229"/>
        <v>-40.505660255930167</v>
      </c>
      <c r="AA558" s="345">
        <f t="shared" si="230"/>
        <v>32.057779239036378</v>
      </c>
      <c r="AB558" s="346">
        <f t="shared" si="231"/>
        <v>-153.2811455836829</v>
      </c>
      <c r="AD558">
        <f t="shared" si="235"/>
        <v>0</v>
      </c>
      <c r="AE558">
        <f t="shared" si="238"/>
        <v>0</v>
      </c>
    </row>
    <row r="559" spans="1:31" x14ac:dyDescent="0.25">
      <c r="A559" s="347">
        <v>90163</v>
      </c>
      <c r="B559" s="364">
        <f t="shared" si="232"/>
        <v>90.162999999999997</v>
      </c>
      <c r="C559" s="337">
        <f t="shared" si="213"/>
        <v>20.420223303152394</v>
      </c>
      <c r="D559" s="338">
        <f t="shared" si="214"/>
        <v>1.521805671245259</v>
      </c>
      <c r="E559" s="338">
        <f t="shared" si="215"/>
        <v>1.0092005889743125</v>
      </c>
      <c r="F559" s="339">
        <f t="shared" si="216"/>
        <v>0.13513397833020757</v>
      </c>
      <c r="G559" s="338">
        <f t="shared" si="217"/>
        <v>1</v>
      </c>
      <c r="H559" s="339">
        <f t="shared" si="218"/>
        <v>0</v>
      </c>
      <c r="I559" s="337">
        <f t="shared" si="219"/>
        <v>65277.344130926431</v>
      </c>
      <c r="J559" s="340">
        <f t="shared" si="220"/>
        <v>1.5707810075441926</v>
      </c>
      <c r="K559" s="348">
        <f t="shared" si="236"/>
        <v>15.328446450115754</v>
      </c>
      <c r="L559" s="349">
        <f t="shared" si="237"/>
        <v>1.5055117787490278</v>
      </c>
      <c r="M559" s="337">
        <f t="shared" si="221"/>
        <v>1.2505438872207204</v>
      </c>
      <c r="N559" s="340">
        <f t="shared" si="222"/>
        <v>0.64408077886535631</v>
      </c>
      <c r="O559" s="341">
        <f t="shared" si="223"/>
        <v>1.208374466248006</v>
      </c>
      <c r="P559" s="342">
        <f t="shared" si="224"/>
        <v>1.2957781506845125</v>
      </c>
      <c r="Q559" s="343">
        <f t="shared" si="225"/>
        <v>-7.0839387335271962</v>
      </c>
      <c r="R559" s="344">
        <f t="shared" si="226"/>
        <v>-194.33581665236426</v>
      </c>
      <c r="S559" s="346">
        <f t="shared" si="227"/>
        <v>-14.335816652364258</v>
      </c>
      <c r="U559" s="319">
        <f t="shared" si="233"/>
        <v>90163</v>
      </c>
      <c r="V559" s="319">
        <f t="shared" si="234"/>
        <v>8129366569</v>
      </c>
      <c r="X559" s="345">
        <f t="shared" si="228"/>
        <v>23.179958938354815</v>
      </c>
      <c r="Y559" s="346">
        <f t="shared" si="229"/>
        <v>-40.642761682961606</v>
      </c>
      <c r="AA559" s="345">
        <f t="shared" si="230"/>
        <v>31.977605950565014</v>
      </c>
      <c r="AB559" s="346">
        <f t="shared" si="231"/>
        <v>-153.69305496940265</v>
      </c>
      <c r="AD559">
        <f t="shared" si="235"/>
        <v>0</v>
      </c>
      <c r="AE559">
        <f t="shared" si="238"/>
        <v>0</v>
      </c>
    </row>
    <row r="560" spans="1:31" x14ac:dyDescent="0.25">
      <c r="A560" s="347">
        <v>90682</v>
      </c>
      <c r="B560" s="364">
        <f t="shared" si="232"/>
        <v>90.682000000000002</v>
      </c>
      <c r="C560" s="337">
        <f t="shared" si="213"/>
        <v>20.537485954926129</v>
      </c>
      <c r="D560" s="338">
        <f t="shared" si="214"/>
        <v>1.5220856147208377</v>
      </c>
      <c r="E560" s="338">
        <f t="shared" si="215"/>
        <v>1.0093063256960502</v>
      </c>
      <c r="F560" s="339">
        <f t="shared" si="216"/>
        <v>0.13590232642673214</v>
      </c>
      <c r="G560" s="338">
        <f t="shared" si="217"/>
        <v>1</v>
      </c>
      <c r="H560" s="339">
        <f t="shared" si="218"/>
        <v>0</v>
      </c>
      <c r="I560" s="337">
        <f t="shared" si="219"/>
        <v>65653.096286422835</v>
      </c>
      <c r="J560" s="340">
        <f t="shared" si="220"/>
        <v>1.570781095220811</v>
      </c>
      <c r="K560" s="348">
        <f t="shared" si="236"/>
        <v>15.416306232641659</v>
      </c>
      <c r="L560" s="349">
        <f t="shared" si="237"/>
        <v>1.5058843698949076</v>
      </c>
      <c r="M560" s="337">
        <f t="shared" si="221"/>
        <v>1.2531440961738449</v>
      </c>
      <c r="N560" s="340">
        <f t="shared" si="222"/>
        <v>0.64683897568699267</v>
      </c>
      <c r="O560" s="341">
        <f t="shared" si="223"/>
        <v>1.2127462301513179</v>
      </c>
      <c r="P560" s="342">
        <f t="shared" si="224"/>
        <v>1.3034330315181</v>
      </c>
      <c r="Q560" s="343">
        <f t="shared" si="225"/>
        <v>-7.1823849254928751</v>
      </c>
      <c r="R560" s="344">
        <f t="shared" si="226"/>
        <v>-194.8831156542584</v>
      </c>
      <c r="S560" s="346">
        <f t="shared" si="227"/>
        <v>-14.883115654258404</v>
      </c>
      <c r="U560" s="319">
        <f t="shared" si="233"/>
        <v>90682</v>
      </c>
      <c r="V560" s="319">
        <f t="shared" si="234"/>
        <v>8223225124</v>
      </c>
      <c r="X560" s="345">
        <f t="shared" si="228"/>
        <v>23.161706469517096</v>
      </c>
      <c r="Y560" s="346">
        <f t="shared" si="229"/>
        <v>-40.779451843421299</v>
      </c>
      <c r="AA560" s="345">
        <f t="shared" si="230"/>
        <v>31.897412227437059</v>
      </c>
      <c r="AB560" s="346">
        <f t="shared" si="231"/>
        <v>-154.10366381083713</v>
      </c>
      <c r="AD560">
        <f t="shared" si="235"/>
        <v>0</v>
      </c>
      <c r="AE560">
        <f t="shared" si="238"/>
        <v>0</v>
      </c>
    </row>
    <row r="561" spans="1:31" x14ac:dyDescent="0.25">
      <c r="A561" s="347">
        <v>91201</v>
      </c>
      <c r="B561" s="364">
        <f t="shared" si="232"/>
        <v>91.200999999999993</v>
      </c>
      <c r="C561" s="337">
        <f t="shared" si="213"/>
        <v>20.654750197913653</v>
      </c>
      <c r="D561" s="338">
        <f t="shared" si="214"/>
        <v>1.5223623795438017</v>
      </c>
      <c r="E561" s="338">
        <f t="shared" si="215"/>
        <v>1.0094126581456191</v>
      </c>
      <c r="F561" s="339">
        <f t="shared" si="216"/>
        <v>0.13667051309970524</v>
      </c>
      <c r="G561" s="338">
        <f t="shared" si="217"/>
        <v>1</v>
      </c>
      <c r="H561" s="339">
        <f t="shared" si="218"/>
        <v>0</v>
      </c>
      <c r="I561" s="337">
        <f t="shared" si="219"/>
        <v>66028.848441919748</v>
      </c>
      <c r="J561" s="340">
        <f t="shared" si="220"/>
        <v>1.5707811818995421</v>
      </c>
      <c r="K561" s="348">
        <f t="shared" si="236"/>
        <v>15.504168131067305</v>
      </c>
      <c r="L561" s="349">
        <f t="shared" si="237"/>
        <v>1.5062527381540844</v>
      </c>
      <c r="M561" s="337">
        <f t="shared" si="221"/>
        <v>1.2557537990853407</v>
      </c>
      <c r="N561" s="340">
        <f t="shared" si="222"/>
        <v>0.64958572918385415</v>
      </c>
      <c r="O561" s="341">
        <f t="shared" si="223"/>
        <v>1.2171771097515593</v>
      </c>
      <c r="P561" s="342">
        <f t="shared" si="224"/>
        <v>1.3110678309600066</v>
      </c>
      <c r="Q561" s="343">
        <f t="shared" si="225"/>
        <v>-7.2808772694453481</v>
      </c>
      <c r="R561" s="344">
        <f t="shared" si="226"/>
        <v>-195.42867744486688</v>
      </c>
      <c r="S561" s="346">
        <f t="shared" si="227"/>
        <v>-15.428677444866878</v>
      </c>
      <c r="U561" s="319">
        <f t="shared" si="233"/>
        <v>91201</v>
      </c>
      <c r="V561" s="319">
        <f t="shared" si="234"/>
        <v>8317622401</v>
      </c>
      <c r="X561" s="345">
        <f t="shared" si="228"/>
        <v>23.143429309868967</v>
      </c>
      <c r="Y561" s="346">
        <f t="shared" si="229"/>
        <v>-40.915728246078018</v>
      </c>
      <c r="AA561" s="345">
        <f t="shared" si="230"/>
        <v>31.817197043132705</v>
      </c>
      <c r="AB561" s="346">
        <f t="shared" si="231"/>
        <v>-154.51294919878885</v>
      </c>
      <c r="AD561">
        <f t="shared" si="235"/>
        <v>0</v>
      </c>
      <c r="AE561">
        <f t="shared" si="238"/>
        <v>0</v>
      </c>
    </row>
    <row r="562" spans="1:31" x14ac:dyDescent="0.25">
      <c r="A562" s="347">
        <v>91732</v>
      </c>
      <c r="B562" s="364">
        <f t="shared" si="232"/>
        <v>91.731999999999999</v>
      </c>
      <c r="C562" s="337">
        <f t="shared" si="213"/>
        <v>20.774727371601731</v>
      </c>
      <c r="D562" s="338">
        <f t="shared" si="214"/>
        <v>1.5226423099018873</v>
      </c>
      <c r="E562" s="338">
        <f t="shared" si="215"/>
        <v>1.0095220655007555</v>
      </c>
      <c r="F562" s="339">
        <f t="shared" si="216"/>
        <v>0.13745629335685164</v>
      </c>
      <c r="G562" s="338">
        <f t="shared" si="217"/>
        <v>1</v>
      </c>
      <c r="H562" s="339">
        <f t="shared" si="218"/>
        <v>0</v>
      </c>
      <c r="I562" s="337">
        <f t="shared" si="219"/>
        <v>66413.288508526923</v>
      </c>
      <c r="J562" s="340">
        <f t="shared" si="220"/>
        <v>1.5707812695673071</v>
      </c>
      <c r="K562" s="348">
        <f t="shared" si="236"/>
        <v>15.59406367102282</v>
      </c>
      <c r="L562" s="349">
        <f t="shared" si="237"/>
        <v>1.5066253274643813</v>
      </c>
      <c r="M562" s="337">
        <f t="shared" si="221"/>
        <v>1.2584336061132921</v>
      </c>
      <c r="N562" s="340">
        <f t="shared" si="222"/>
        <v>0.65238417933348902</v>
      </c>
      <c r="O562" s="341">
        <f t="shared" si="223"/>
        <v>1.2217718378745892</v>
      </c>
      <c r="P562" s="342">
        <f t="shared" si="224"/>
        <v>1.318857905871397</v>
      </c>
      <c r="Q562" s="343">
        <f t="shared" si="225"/>
        <v>-7.3816949865734429</v>
      </c>
      <c r="R562" s="344">
        <f t="shared" si="226"/>
        <v>-195.98502940650576</v>
      </c>
      <c r="S562" s="346">
        <f t="shared" si="227"/>
        <v>-15.98502940650576</v>
      </c>
      <c r="U562" s="319">
        <f t="shared" si="233"/>
        <v>91732</v>
      </c>
      <c r="V562" s="319">
        <f t="shared" si="234"/>
        <v>8414759824</v>
      </c>
      <c r="X562" s="345">
        <f t="shared" si="228"/>
        <v>23.124704609128891</v>
      </c>
      <c r="Y562" s="346">
        <f t="shared" si="229"/>
        <v>-41.05472485700993</v>
      </c>
      <c r="AA562" s="345">
        <f t="shared" si="230"/>
        <v>31.735104026744697</v>
      </c>
      <c r="AB562" s="346">
        <f t="shared" si="231"/>
        <v>-154.9303045494959</v>
      </c>
      <c r="AD562">
        <f t="shared" si="235"/>
        <v>0</v>
      </c>
      <c r="AE562">
        <f t="shared" si="238"/>
        <v>0</v>
      </c>
    </row>
    <row r="563" spans="1:31" x14ac:dyDescent="0.25">
      <c r="A563" s="347">
        <v>92263</v>
      </c>
      <c r="B563" s="364">
        <f t="shared" si="232"/>
        <v>92.263000000000005</v>
      </c>
      <c r="C563" s="337">
        <f t="shared" si="213"/>
        <v>20.894706154523163</v>
      </c>
      <c r="D563" s="338">
        <f t="shared" si="214"/>
        <v>1.5229190255242362</v>
      </c>
      <c r="E563" s="338">
        <f t="shared" si="215"/>
        <v>1.0096320960505925</v>
      </c>
      <c r="F563" s="339">
        <f t="shared" si="216"/>
        <v>0.13824190282900659</v>
      </c>
      <c r="G563" s="338">
        <f t="shared" si="217"/>
        <v>1</v>
      </c>
      <c r="H563" s="339">
        <f t="shared" si="218"/>
        <v>0</v>
      </c>
      <c r="I563" s="337">
        <f t="shared" si="219"/>
        <v>66797.728575134606</v>
      </c>
      <c r="J563" s="340">
        <f t="shared" si="220"/>
        <v>1.570781356225966</v>
      </c>
      <c r="K563" s="348">
        <f t="shared" si="236"/>
        <v>15.683961350973613</v>
      </c>
      <c r="L563" s="349">
        <f t="shared" si="237"/>
        <v>1.5069936455938617</v>
      </c>
      <c r="M563" s="337">
        <f t="shared" si="221"/>
        <v>1.2611232264133243</v>
      </c>
      <c r="N563" s="340">
        <f t="shared" si="222"/>
        <v>0.65517071461757426</v>
      </c>
      <c r="O563" s="341">
        <f t="shared" si="223"/>
        <v>1.2264288837085038</v>
      </c>
      <c r="P563" s="342">
        <f t="shared" si="224"/>
        <v>1.3266260159950019</v>
      </c>
      <c r="Q563" s="343">
        <f t="shared" si="225"/>
        <v>-7.4825615499552747</v>
      </c>
      <c r="R563" s="344">
        <f t="shared" si="226"/>
        <v>-196.53951046428114</v>
      </c>
      <c r="S563" s="346">
        <f t="shared" si="227"/>
        <v>-16.539510464281136</v>
      </c>
      <c r="U563" s="319">
        <f t="shared" si="233"/>
        <v>92263</v>
      </c>
      <c r="V563" s="319">
        <f t="shared" si="234"/>
        <v>8512461169</v>
      </c>
      <c r="X563" s="345">
        <f t="shared" si="228"/>
        <v>23.105955288697491</v>
      </c>
      <c r="Y563" s="346">
        <f t="shared" si="229"/>
        <v>-41.193283459248647</v>
      </c>
      <c r="AA563" s="345">
        <f t="shared" si="230"/>
        <v>31.652986783794258</v>
      </c>
      <c r="AB563" s="346">
        <f t="shared" si="231"/>
        <v>-155.34622700503249</v>
      </c>
      <c r="AD563">
        <f t="shared" si="235"/>
        <v>0</v>
      </c>
      <c r="AE563">
        <f t="shared" si="238"/>
        <v>0</v>
      </c>
    </row>
    <row r="564" spans="1:31" x14ac:dyDescent="0.25">
      <c r="A564" s="347">
        <v>92794</v>
      </c>
      <c r="B564" s="364">
        <f t="shared" si="232"/>
        <v>92.793999999999997</v>
      </c>
      <c r="C564" s="337">
        <f t="shared" si="213"/>
        <v>21.014686519115244</v>
      </c>
      <c r="D564" s="338">
        <f t="shared" si="214"/>
        <v>1.523192581430334</v>
      </c>
      <c r="E564" s="338">
        <f t="shared" si="215"/>
        <v>1.0097427495914035</v>
      </c>
      <c r="F564" s="339">
        <f t="shared" si="216"/>
        <v>0.13902734060243166</v>
      </c>
      <c r="G564" s="338">
        <f t="shared" si="217"/>
        <v>1</v>
      </c>
      <c r="H564" s="339">
        <f t="shared" si="218"/>
        <v>0</v>
      </c>
      <c r="I564" s="337">
        <f t="shared" si="219"/>
        <v>67182.16864174277</v>
      </c>
      <c r="J564" s="340">
        <f t="shared" si="220"/>
        <v>1.5707814418928421</v>
      </c>
      <c r="K564" s="348">
        <f t="shared" si="236"/>
        <v>15.77386113433119</v>
      </c>
      <c r="L564" s="349">
        <f t="shared" si="237"/>
        <v>1.5073577654698043</v>
      </c>
      <c r="M564" s="337">
        <f t="shared" si="221"/>
        <v>1.2638225973327157</v>
      </c>
      <c r="N564" s="340">
        <f t="shared" si="222"/>
        <v>0.65794536797073899</v>
      </c>
      <c r="O564" s="341">
        <f t="shared" si="223"/>
        <v>1.2311484570482472</v>
      </c>
      <c r="P564" s="342">
        <f t="shared" si="224"/>
        <v>1.3343716950506177</v>
      </c>
      <c r="Q564" s="343">
        <f t="shared" si="225"/>
        <v>-7.5834770341301008</v>
      </c>
      <c r="R564" s="344">
        <f t="shared" si="226"/>
        <v>-197.09209481662535</v>
      </c>
      <c r="S564" s="346">
        <f t="shared" si="227"/>
        <v>-17.092094816625348</v>
      </c>
      <c r="U564" s="319">
        <f t="shared" si="233"/>
        <v>92794</v>
      </c>
      <c r="V564" s="319">
        <f t="shared" si="234"/>
        <v>8610726436</v>
      </c>
      <c r="X564" s="345">
        <f t="shared" si="228"/>
        <v>23.087181962019159</v>
      </c>
      <c r="Y564" s="346">
        <f t="shared" si="229"/>
        <v>-41.331401762376736</v>
      </c>
      <c r="AA564" s="345">
        <f t="shared" si="230"/>
        <v>31.570844626297763</v>
      </c>
      <c r="AB564" s="346">
        <f t="shared" si="231"/>
        <v>-155.76069305424863</v>
      </c>
      <c r="AD564">
        <f t="shared" si="235"/>
        <v>0</v>
      </c>
      <c r="AE564">
        <f t="shared" si="238"/>
        <v>0</v>
      </c>
    </row>
    <row r="565" spans="1:31" x14ac:dyDescent="0.25">
      <c r="A565" s="347">
        <v>93325</v>
      </c>
      <c r="B565" s="364">
        <f t="shared" si="232"/>
        <v>93.325000000000003</v>
      </c>
      <c r="C565" s="337">
        <f t="shared" si="213"/>
        <v>21.134668438440801</v>
      </c>
      <c r="D565" s="338">
        <f t="shared" si="214"/>
        <v>1.5234630313921955</v>
      </c>
      <c r="E565" s="338">
        <f t="shared" si="215"/>
        <v>1.0098540259183983</v>
      </c>
      <c r="F565" s="339">
        <f t="shared" si="216"/>
        <v>0.13981260576463511</v>
      </c>
      <c r="G565" s="338">
        <f t="shared" si="217"/>
        <v>1</v>
      </c>
      <c r="H565" s="339">
        <f t="shared" si="218"/>
        <v>0</v>
      </c>
      <c r="I565" s="337">
        <f t="shared" si="219"/>
        <v>67566.608708351443</v>
      </c>
      <c r="J565" s="340">
        <f t="shared" si="220"/>
        <v>1.5707815265848646</v>
      </c>
      <c r="K565" s="348">
        <f t="shared" si="236"/>
        <v>15.863762985335596</v>
      </c>
      <c r="L565" s="349">
        <f t="shared" si="237"/>
        <v>1.5077177583708479</v>
      </c>
      <c r="M565" s="337">
        <f t="shared" si="221"/>
        <v>1.2665316565267057</v>
      </c>
      <c r="N565" s="340">
        <f t="shared" si="222"/>
        <v>0.66070817277915062</v>
      </c>
      <c r="O565" s="341">
        <f t="shared" si="223"/>
        <v>1.2359307602875944</v>
      </c>
      <c r="P565" s="342">
        <f t="shared" si="224"/>
        <v>1.3420944845142686</v>
      </c>
      <c r="Q565" s="343">
        <f t="shared" si="225"/>
        <v>-7.6844413863656964</v>
      </c>
      <c r="R565" s="344">
        <f t="shared" si="226"/>
        <v>-197.64275715513247</v>
      </c>
      <c r="S565" s="346">
        <f t="shared" si="227"/>
        <v>-17.642757155132472</v>
      </c>
      <c r="U565" s="319">
        <f t="shared" si="233"/>
        <v>93325</v>
      </c>
      <c r="V565" s="319">
        <f t="shared" si="234"/>
        <v>8709555625</v>
      </c>
      <c r="X565" s="345">
        <f t="shared" si="228"/>
        <v>23.068385238004829</v>
      </c>
      <c r="Y565" s="346">
        <f t="shared" si="229"/>
        <v>-41.469077596285487</v>
      </c>
      <c r="AA565" s="345">
        <f t="shared" si="230"/>
        <v>31.4886769980765</v>
      </c>
      <c r="AB565" s="346">
        <f t="shared" si="231"/>
        <v>-156.17367955884706</v>
      </c>
      <c r="AD565">
        <f t="shared" si="235"/>
        <v>0</v>
      </c>
      <c r="AE565">
        <f t="shared" si="238"/>
        <v>0</v>
      </c>
    </row>
    <row r="566" spans="1:31" x14ac:dyDescent="0.25">
      <c r="A566" s="347">
        <v>93868.5</v>
      </c>
      <c r="B566" s="364">
        <f t="shared" si="232"/>
        <v>93.868499999999997</v>
      </c>
      <c r="C566" s="337">
        <f t="shared" si="213"/>
        <v>21.257476373481946</v>
      </c>
      <c r="D566" s="338">
        <f t="shared" si="214"/>
        <v>1.5237366862505732</v>
      </c>
      <c r="E566" s="338">
        <f t="shared" si="215"/>
        <v>1.0099685664795397</v>
      </c>
      <c r="F566" s="339">
        <f t="shared" si="216"/>
        <v>0.14061617674811325</v>
      </c>
      <c r="G566" s="338">
        <f t="shared" si="217"/>
        <v>1</v>
      </c>
      <c r="H566" s="339">
        <f t="shared" si="218"/>
        <v>0</v>
      </c>
      <c r="I566" s="337">
        <f t="shared" si="219"/>
        <v>67960.098682366632</v>
      </c>
      <c r="J566" s="340">
        <f t="shared" si="220"/>
        <v>1.5707816122782989</v>
      </c>
      <c r="K566" s="348">
        <f t="shared" si="236"/>
        <v>15.955783274684354</v>
      </c>
      <c r="L566" s="349">
        <f t="shared" si="237"/>
        <v>1.5080820245486093</v>
      </c>
      <c r="M566" s="337">
        <f t="shared" si="221"/>
        <v>1.2693144566144863</v>
      </c>
      <c r="N566" s="340">
        <f t="shared" si="222"/>
        <v>0.66352378046344396</v>
      </c>
      <c r="O566" s="341">
        <f t="shared" si="223"/>
        <v>1.2408908071180487</v>
      </c>
      <c r="P566" s="342">
        <f t="shared" si="224"/>
        <v>1.3499748978160517</v>
      </c>
      <c r="Q566" s="343">
        <f t="shared" si="225"/>
        <v>-7.7878329111505487</v>
      </c>
      <c r="R566" s="344">
        <f t="shared" si="226"/>
        <v>-198.20436605366262</v>
      </c>
      <c r="S566" s="346">
        <f t="shared" si="227"/>
        <v>-18.204366053662625</v>
      </c>
      <c r="U566" s="319">
        <f t="shared" si="233"/>
        <v>93868.5</v>
      </c>
      <c r="V566" s="319">
        <f t="shared" si="234"/>
        <v>8811295292.25</v>
      </c>
      <c r="X566" s="345">
        <f t="shared" si="228"/>
        <v>23.049122430611462</v>
      </c>
      <c r="Y566" s="346">
        <f t="shared" si="229"/>
        <v>-41.609534028787621</v>
      </c>
      <c r="AA566" s="345">
        <f t="shared" si="230"/>
        <v>31.404548280685013</v>
      </c>
      <c r="AB566" s="346">
        <f t="shared" si="231"/>
        <v>-156.59483202487505</v>
      </c>
      <c r="AD566">
        <f t="shared" si="235"/>
        <v>0</v>
      </c>
      <c r="AE566">
        <f t="shared" si="238"/>
        <v>0</v>
      </c>
    </row>
    <row r="567" spans="1:31" x14ac:dyDescent="0.25">
      <c r="A567" s="347">
        <v>94412</v>
      </c>
      <c r="B567" s="364">
        <f t="shared" si="232"/>
        <v>94.412000000000006</v>
      </c>
      <c r="C567" s="337">
        <f t="shared" si="213"/>
        <v>21.380285882143475</v>
      </c>
      <c r="D567" s="338">
        <f t="shared" si="214"/>
        <v>1.5240071973526514</v>
      </c>
      <c r="E567" s="338">
        <f t="shared" si="215"/>
        <v>1.01008375905582</v>
      </c>
      <c r="F567" s="339">
        <f t="shared" si="216"/>
        <v>0.14141956496761637</v>
      </c>
      <c r="G567" s="338">
        <f t="shared" si="217"/>
        <v>1</v>
      </c>
      <c r="H567" s="339">
        <f t="shared" si="218"/>
        <v>0</v>
      </c>
      <c r="I567" s="337">
        <f t="shared" si="219"/>
        <v>68353.58865638233</v>
      </c>
      <c r="J567" s="340">
        <f t="shared" si="220"/>
        <v>1.5707816969851136</v>
      </c>
      <c r="K567" s="348">
        <f t="shared" si="236"/>
        <v>16.047805656923124</v>
      </c>
      <c r="L567" s="349">
        <f t="shared" si="237"/>
        <v>1.5084421131755661</v>
      </c>
      <c r="M567" s="337">
        <f t="shared" si="221"/>
        <v>1.2721072753070819</v>
      </c>
      <c r="N567" s="340">
        <f t="shared" si="222"/>
        <v>0.66632704736752169</v>
      </c>
      <c r="O567" s="341">
        <f t="shared" si="223"/>
        <v>1.2459169774771972</v>
      </c>
      <c r="P567" s="342">
        <f t="shared" si="224"/>
        <v>1.3578303848343878</v>
      </c>
      <c r="Q567" s="343">
        <f t="shared" si="225"/>
        <v>-7.8912751269413119</v>
      </c>
      <c r="R567" s="344">
        <f t="shared" si="226"/>
        <v>-198.76390935386493</v>
      </c>
      <c r="S567" s="346">
        <f t="shared" si="227"/>
        <v>-18.763909353864932</v>
      </c>
      <c r="U567" s="319">
        <f t="shared" si="233"/>
        <v>94412</v>
      </c>
      <c r="V567" s="319">
        <f t="shared" si="234"/>
        <v>8913625744</v>
      </c>
      <c r="X567" s="345">
        <f t="shared" si="228"/>
        <v>23.029836387386165</v>
      </c>
      <c r="Y567" s="346">
        <f t="shared" si="229"/>
        <v>-41.749522686167609</v>
      </c>
      <c r="AA567" s="345">
        <f t="shared" si="230"/>
        <v>31.320392108119549</v>
      </c>
      <c r="AB567" s="346">
        <f t="shared" si="231"/>
        <v>-157.01438666769738</v>
      </c>
      <c r="AD567">
        <f t="shared" si="235"/>
        <v>0</v>
      </c>
      <c r="AE567">
        <f t="shared" si="238"/>
        <v>0</v>
      </c>
    </row>
    <row r="568" spans="1:31" x14ac:dyDescent="0.25">
      <c r="A568" s="347">
        <v>94955.5</v>
      </c>
      <c r="B568" s="364">
        <f t="shared" si="232"/>
        <v>94.955500000000001</v>
      </c>
      <c r="C568" s="337">
        <f t="shared" si="213"/>
        <v>21.503096937463393</v>
      </c>
      <c r="D568" s="338">
        <f t="shared" si="214"/>
        <v>1.5242746185234868</v>
      </c>
      <c r="E568" s="338">
        <f t="shared" si="215"/>
        <v>1.010199603424192</v>
      </c>
      <c r="F568" s="339">
        <f t="shared" si="216"/>
        <v>0.14222276944877821</v>
      </c>
      <c r="G568" s="338">
        <f t="shared" si="217"/>
        <v>1</v>
      </c>
      <c r="H568" s="339">
        <f t="shared" si="218"/>
        <v>0</v>
      </c>
      <c r="I568" s="337">
        <f t="shared" si="219"/>
        <v>68747.078630398493</v>
      </c>
      <c r="J568" s="340">
        <f t="shared" si="220"/>
        <v>1.5707817807222495</v>
      </c>
      <c r="K568" s="348">
        <f t="shared" si="236"/>
        <v>16.139830096253633</v>
      </c>
      <c r="L568" s="349">
        <f t="shared" si="237"/>
        <v>1.5087980956149301</v>
      </c>
      <c r="M568" s="337">
        <f t="shared" si="221"/>
        <v>1.27491004676421</v>
      </c>
      <c r="N568" s="340">
        <f t="shared" si="222"/>
        <v>0.66911801067925303</v>
      </c>
      <c r="O568" s="341">
        <f t="shared" si="223"/>
        <v>1.2510094645754315</v>
      </c>
      <c r="P568" s="342">
        <f t="shared" si="224"/>
        <v>1.3656604803435808</v>
      </c>
      <c r="Q568" s="343">
        <f t="shared" si="225"/>
        <v>-7.9947675862975629</v>
      </c>
      <c r="R568" s="344">
        <f t="shared" si="226"/>
        <v>-199.32136158291405</v>
      </c>
      <c r="S568" s="346">
        <f t="shared" si="227"/>
        <v>-19.321361582914051</v>
      </c>
      <c r="U568" s="319">
        <f t="shared" si="233"/>
        <v>94955.5</v>
      </c>
      <c r="V568" s="319">
        <f t="shared" si="234"/>
        <v>9016546980.25</v>
      </c>
      <c r="X568" s="345">
        <f t="shared" si="228"/>
        <v>23.010527746118342</v>
      </c>
      <c r="Y568" s="346">
        <f t="shared" si="229"/>
        <v>-41.889041611293244</v>
      </c>
      <c r="AA568" s="345">
        <f t="shared" si="230"/>
        <v>31.236208290031119</v>
      </c>
      <c r="AB568" s="346">
        <f t="shared" si="231"/>
        <v>-157.43231997162079</v>
      </c>
      <c r="AD568">
        <f t="shared" si="235"/>
        <v>0</v>
      </c>
      <c r="AE568">
        <f t="shared" si="238"/>
        <v>0</v>
      </c>
    </row>
    <row r="569" spans="1:31" x14ac:dyDescent="0.25">
      <c r="A569" s="347">
        <v>95499</v>
      </c>
      <c r="B569" s="364">
        <f t="shared" si="232"/>
        <v>95.498999999999995</v>
      </c>
      <c r="C569" s="337">
        <f t="shared" si="213"/>
        <v>21.625909513091813</v>
      </c>
      <c r="D569" s="338">
        <f t="shared" si="214"/>
        <v>1.524539002367246</v>
      </c>
      <c r="E569" s="338">
        <f t="shared" si="215"/>
        <v>1.0103160993604496</v>
      </c>
      <c r="F569" s="339">
        <f t="shared" si="216"/>
        <v>0.1430257892186263</v>
      </c>
      <c r="G569" s="338">
        <f t="shared" si="217"/>
        <v>1</v>
      </c>
      <c r="H569" s="339">
        <f t="shared" si="218"/>
        <v>0</v>
      </c>
      <c r="I569" s="337">
        <f t="shared" si="219"/>
        <v>69140.568604415152</v>
      </c>
      <c r="J569" s="340">
        <f t="shared" si="220"/>
        <v>1.5707818635062627</v>
      </c>
      <c r="K569" s="348">
        <f t="shared" si="236"/>
        <v>16.231856557688616</v>
      </c>
      <c r="L569" s="349">
        <f t="shared" si="237"/>
        <v>1.5091500416157568</v>
      </c>
      <c r="M569" s="337">
        <f t="shared" si="221"/>
        <v>1.2777227054896787</v>
      </c>
      <c r="N569" s="340">
        <f t="shared" si="222"/>
        <v>0.6718967080275029</v>
      </c>
      <c r="O569" s="341">
        <f t="shared" si="223"/>
        <v>1.2561684537005293</v>
      </c>
      <c r="P569" s="342">
        <f t="shared" si="224"/>
        <v>1.3734647284069861</v>
      </c>
      <c r="Q569" s="343">
        <f t="shared" si="225"/>
        <v>-8.0983097178504586</v>
      </c>
      <c r="R569" s="344">
        <f t="shared" si="226"/>
        <v>-199.87669784790546</v>
      </c>
      <c r="S569" s="346">
        <f t="shared" si="227"/>
        <v>-19.876697847905461</v>
      </c>
      <c r="U569" s="319">
        <f t="shared" si="233"/>
        <v>95499</v>
      </c>
      <c r="V569" s="319">
        <f t="shared" si="234"/>
        <v>9120059001</v>
      </c>
      <c r="X569" s="345">
        <f t="shared" si="228"/>
        <v>22.991197139374737</v>
      </c>
      <c r="Y569" s="346">
        <f t="shared" si="229"/>
        <v>-42.028088964761743</v>
      </c>
      <c r="AA569" s="345">
        <f t="shared" si="230"/>
        <v>31.151996765221828</v>
      </c>
      <c r="AB569" s="346">
        <f t="shared" si="231"/>
        <v>-157.84860888314373</v>
      </c>
      <c r="AD569">
        <f t="shared" si="235"/>
        <v>0</v>
      </c>
      <c r="AE569">
        <f t="shared" si="238"/>
        <v>0</v>
      </c>
    </row>
    <row r="570" spans="1:31" x14ac:dyDescent="0.25">
      <c r="A570" s="347">
        <v>96611.5</v>
      </c>
      <c r="B570" s="364">
        <f t="shared" si="232"/>
        <v>96.611500000000007</v>
      </c>
      <c r="C570" s="337">
        <f t="shared" si="213"/>
        <v>21.8773014331301</v>
      </c>
      <c r="D570" s="338">
        <f t="shared" si="214"/>
        <v>1.5250709178858308</v>
      </c>
      <c r="E570" s="338">
        <f t="shared" si="215"/>
        <v>1.0105565879010332</v>
      </c>
      <c r="F570" s="339">
        <f t="shared" si="216"/>
        <v>0.14466892485036534</v>
      </c>
      <c r="G570" s="338">
        <f t="shared" si="217"/>
        <v>1</v>
      </c>
      <c r="H570" s="339">
        <f t="shared" si="218"/>
        <v>0</v>
      </c>
      <c r="I570" s="337">
        <f t="shared" si="219"/>
        <v>69946.010363558322</v>
      </c>
      <c r="J570" s="340">
        <f t="shared" si="220"/>
        <v>1.5707820300538125</v>
      </c>
      <c r="K570" s="348">
        <f t="shared" si="236"/>
        <v>16.420233352123731</v>
      </c>
      <c r="L570" s="349">
        <f t="shared" si="237"/>
        <v>1.50985814418005</v>
      </c>
      <c r="M570" s="337">
        <f t="shared" si="221"/>
        <v>1.2835105463434056</v>
      </c>
      <c r="N570" s="340">
        <f t="shared" si="222"/>
        <v>0.6775463844036298</v>
      </c>
      <c r="O570" s="341">
        <f t="shared" si="223"/>
        <v>1.2669365994829835</v>
      </c>
      <c r="P570" s="342">
        <f t="shared" si="224"/>
        <v>1.3893569150476544</v>
      </c>
      <c r="Q570" s="343">
        <f t="shared" si="225"/>
        <v>-8.3104038451676416</v>
      </c>
      <c r="R570" s="344">
        <f t="shared" si="226"/>
        <v>-201.00672571438949</v>
      </c>
      <c r="S570" s="346">
        <f t="shared" si="227"/>
        <v>-21.006725714389489</v>
      </c>
      <c r="U570" s="319">
        <f t="shared" si="233"/>
        <v>96611.5</v>
      </c>
      <c r="V570" s="319">
        <f t="shared" si="234"/>
        <v>9333781932.25</v>
      </c>
      <c r="X570" s="345">
        <f t="shared" si="228"/>
        <v>22.95156310597838</v>
      </c>
      <c r="Y570" s="346">
        <f t="shared" si="229"/>
        <v>-42.311229831127413</v>
      </c>
      <c r="AA570" s="345">
        <f t="shared" si="230"/>
        <v>30.979536671301005</v>
      </c>
      <c r="AB570" s="346">
        <f t="shared" si="231"/>
        <v>-158.69549588326211</v>
      </c>
      <c r="AD570">
        <f t="shared" si="235"/>
        <v>0</v>
      </c>
      <c r="AE570">
        <f t="shared" si="238"/>
        <v>0</v>
      </c>
    </row>
    <row r="571" spans="1:31" x14ac:dyDescent="0.25">
      <c r="A571" s="347">
        <v>97724</v>
      </c>
      <c r="B571" s="364">
        <f t="shared" si="232"/>
        <v>97.724000000000004</v>
      </c>
      <c r="C571" s="337">
        <f t="shared" si="213"/>
        <v>22.1286994023638</v>
      </c>
      <c r="D571" s="338">
        <f t="shared" si="214"/>
        <v>1.5255907476616344</v>
      </c>
      <c r="E571" s="338">
        <f t="shared" si="215"/>
        <v>1.0107998035354258</v>
      </c>
      <c r="F571" s="339">
        <f t="shared" si="216"/>
        <v>0.14631127418171419</v>
      </c>
      <c r="G571" s="338">
        <f t="shared" si="217"/>
        <v>1</v>
      </c>
      <c r="H571" s="339">
        <f t="shared" si="218"/>
        <v>0</v>
      </c>
      <c r="I571" s="337">
        <f t="shared" si="219"/>
        <v>70751.452122703398</v>
      </c>
      <c r="J571" s="340">
        <f t="shared" si="220"/>
        <v>1.5707821928093737</v>
      </c>
      <c r="K571" s="348">
        <f t="shared" si="236"/>
        <v>16.608618193048187</v>
      </c>
      <c r="L571" s="349">
        <f t="shared" si="237"/>
        <v>1.5105501836426385</v>
      </c>
      <c r="M571" s="337">
        <f t="shared" si="221"/>
        <v>1.2893389867980107</v>
      </c>
      <c r="N571" s="340">
        <f t="shared" si="222"/>
        <v>0.68314515956633048</v>
      </c>
      <c r="O571" s="341">
        <f t="shared" si="223"/>
        <v>1.2779855354261176</v>
      </c>
      <c r="P571" s="342">
        <f t="shared" si="224"/>
        <v>1.4051352416005831</v>
      </c>
      <c r="Q571" s="343">
        <f t="shared" si="225"/>
        <v>-8.5226956490181465</v>
      </c>
      <c r="R571" s="344">
        <f t="shared" si="226"/>
        <v>-202.12758617398799</v>
      </c>
      <c r="S571" s="346">
        <f t="shared" si="227"/>
        <v>-22.127586173987993</v>
      </c>
      <c r="U571" s="319">
        <f t="shared" si="233"/>
        <v>97724</v>
      </c>
      <c r="V571" s="319">
        <f t="shared" si="234"/>
        <v>9549980176</v>
      </c>
      <c r="X571" s="345">
        <f t="shared" si="228"/>
        <v>22.911844972430565</v>
      </c>
      <c r="Y571" s="346">
        <f t="shared" si="229"/>
        <v>-42.59237440345801</v>
      </c>
      <c r="AA571" s="345">
        <f t="shared" si="230"/>
        <v>30.806963000998312</v>
      </c>
      <c r="AB571" s="346">
        <f t="shared" si="231"/>
        <v>-159.53521177053003</v>
      </c>
      <c r="AD571">
        <f t="shared" si="235"/>
        <v>0</v>
      </c>
      <c r="AE571">
        <f t="shared" si="238"/>
        <v>0</v>
      </c>
    </row>
    <row r="572" spans="1:31" x14ac:dyDescent="0.25">
      <c r="A572" s="347">
        <v>98862</v>
      </c>
      <c r="B572" s="364">
        <f t="shared" si="232"/>
        <v>98.861999999999995</v>
      </c>
      <c r="C572" s="337">
        <f t="shared" si="213"/>
        <v>22.38586579831102</v>
      </c>
      <c r="D572" s="338">
        <f t="shared" si="214"/>
        <v>1.526110412400608</v>
      </c>
      <c r="E572" s="338">
        <f t="shared" si="215"/>
        <v>1.0110514135213529</v>
      </c>
      <c r="F572" s="339">
        <f t="shared" si="216"/>
        <v>0.14799044619086754</v>
      </c>
      <c r="G572" s="338">
        <f t="shared" si="217"/>
        <v>1</v>
      </c>
      <c r="H572" s="339">
        <f t="shared" si="218"/>
        <v>0</v>
      </c>
      <c r="I572" s="337">
        <f t="shared" si="219"/>
        <v>71575.355692958852</v>
      </c>
      <c r="J572" s="340">
        <f t="shared" si="220"/>
        <v>1.570782355505612</v>
      </c>
      <c r="K572" s="348">
        <f t="shared" si="236"/>
        <v>16.801329111605895</v>
      </c>
      <c r="L572" s="349">
        <f t="shared" si="237"/>
        <v>1.5112420286133594</v>
      </c>
      <c r="M572" s="337">
        <f t="shared" si="221"/>
        <v>1.2953424577491828</v>
      </c>
      <c r="N572" s="340">
        <f t="shared" si="222"/>
        <v>0.68881995450285649</v>
      </c>
      <c r="O572" s="341">
        <f t="shared" si="223"/>
        <v>1.2895795860684689</v>
      </c>
      <c r="P572" s="342">
        <f t="shared" si="224"/>
        <v>1.4211537459329755</v>
      </c>
      <c r="Q572" s="343">
        <f t="shared" si="225"/>
        <v>-8.7400482717735741</v>
      </c>
      <c r="R572" s="344">
        <f t="shared" si="226"/>
        <v>-203.26445531912245</v>
      </c>
      <c r="S572" s="346">
        <f t="shared" si="227"/>
        <v>-23.264455319122447</v>
      </c>
      <c r="U572" s="319">
        <f t="shared" si="233"/>
        <v>98862</v>
      </c>
      <c r="V572" s="319">
        <f t="shared" si="234"/>
        <v>9773695044</v>
      </c>
      <c r="X572" s="345">
        <f t="shared" si="228"/>
        <v>22.87113486850393</v>
      </c>
      <c r="Y572" s="346">
        <f t="shared" si="229"/>
        <v>-42.87788572815753</v>
      </c>
      <c r="AA572" s="345">
        <f t="shared" si="230"/>
        <v>30.630320482169523</v>
      </c>
      <c r="AB572" s="346">
        <f t="shared" si="231"/>
        <v>-160.38656959096488</v>
      </c>
      <c r="AD572">
        <f t="shared" si="235"/>
        <v>0</v>
      </c>
      <c r="AE572">
        <f t="shared" si="238"/>
        <v>0</v>
      </c>
    </row>
    <row r="573" spans="1:31" x14ac:dyDescent="0.25">
      <c r="A573" s="347">
        <v>100000</v>
      </c>
      <c r="B573" s="364">
        <f t="shared" si="232"/>
        <v>100</v>
      </c>
      <c r="C573" s="337">
        <f t="shared" si="213"/>
        <v>22.643038102273845</v>
      </c>
      <c r="D573" s="338">
        <f t="shared" si="214"/>
        <v>1.5266182729060562</v>
      </c>
      <c r="E573" s="338">
        <f t="shared" si="215"/>
        <v>1.0113058728634687</v>
      </c>
      <c r="F573" s="339">
        <f t="shared" si="216"/>
        <v>0.14966877792185065</v>
      </c>
      <c r="G573" s="338">
        <f t="shared" si="217"/>
        <v>1</v>
      </c>
      <c r="H573" s="339">
        <f t="shared" si="218"/>
        <v>0</v>
      </c>
      <c r="I573" s="337">
        <f t="shared" si="219"/>
        <v>72399.259263216169</v>
      </c>
      <c r="J573" s="340">
        <f t="shared" si="220"/>
        <v>1.5707825144988841</v>
      </c>
      <c r="K573" s="348">
        <f t="shared" si="236"/>
        <v>16.994047889718686</v>
      </c>
      <c r="L573" s="349">
        <f t="shared" si="237"/>
        <v>1.5119181823467691</v>
      </c>
      <c r="M573" s="337">
        <f t="shared" si="221"/>
        <v>1.3013872573524627</v>
      </c>
      <c r="N573" s="340">
        <f t="shared" si="222"/>
        <v>0.69444221151254526</v>
      </c>
      <c r="O573" s="341">
        <f t="shared" si="223"/>
        <v>1.3014700265197539</v>
      </c>
      <c r="P573" s="342">
        <f t="shared" si="224"/>
        <v>1.4370458342730175</v>
      </c>
      <c r="Q573" s="343">
        <f t="shared" si="225"/>
        <v>-8.9575861162295034</v>
      </c>
      <c r="R573" s="344">
        <f t="shared" si="226"/>
        <v>-204.39134180108897</v>
      </c>
      <c r="S573" s="346">
        <f t="shared" si="227"/>
        <v>-24.39134180108897</v>
      </c>
      <c r="U573" s="319">
        <f t="shared" si="233"/>
        <v>100000</v>
      </c>
      <c r="V573" s="319">
        <f t="shared" si="234"/>
        <v>10000000000</v>
      </c>
      <c r="X573" s="345">
        <f t="shared" si="228"/>
        <v>22.830347699705783</v>
      </c>
      <c r="Y573" s="346">
        <f t="shared" si="229"/>
        <v>-43.16128568089146</v>
      </c>
      <c r="AA573" s="345">
        <f t="shared" si="230"/>
        <v>30.453569806511741</v>
      </c>
      <c r="AB573" s="346">
        <f t="shared" si="231"/>
        <v>-161.23005612019753</v>
      </c>
      <c r="AD573">
        <f t="shared" si="235"/>
        <v>0</v>
      </c>
      <c r="AE573">
        <f t="shared" si="238"/>
        <v>0</v>
      </c>
    </row>
    <row r="574" spans="1:31" x14ac:dyDescent="0.25">
      <c r="A574" s="347">
        <v>101165</v>
      </c>
      <c r="B574" s="364">
        <f t="shared" si="232"/>
        <v>101.16500000000001</v>
      </c>
      <c r="C574" s="337">
        <f t="shared" si="213"/>
        <v>22.906317946014155</v>
      </c>
      <c r="D574" s="338">
        <f t="shared" si="214"/>
        <v>1.5271263700049444</v>
      </c>
      <c r="E574" s="338">
        <f t="shared" si="215"/>
        <v>1.0115693187839379</v>
      </c>
      <c r="F574" s="339">
        <f t="shared" si="216"/>
        <v>0.15138604984943016</v>
      </c>
      <c r="G574" s="338">
        <f t="shared" si="217"/>
        <v>1</v>
      </c>
      <c r="H574" s="339">
        <f t="shared" si="218"/>
        <v>0</v>
      </c>
      <c r="I574" s="337">
        <f t="shared" si="219"/>
        <v>73242.710633472641</v>
      </c>
      <c r="J574" s="340">
        <f t="shared" si="220"/>
        <v>1.5707826735590813</v>
      </c>
      <c r="K574" s="348">
        <f t="shared" si="236"/>
        <v>17.191346947233637</v>
      </c>
      <c r="L574" s="349">
        <f t="shared" si="237"/>
        <v>1.5125946746310279</v>
      </c>
      <c r="M574" s="337">
        <f t="shared" si="221"/>
        <v>1.30761768755616</v>
      </c>
      <c r="N574" s="340">
        <f t="shared" si="222"/>
        <v>0.70014383109268896</v>
      </c>
      <c r="O574" s="341">
        <f t="shared" si="223"/>
        <v>1.3139507408725091</v>
      </c>
      <c r="P574" s="342">
        <f t="shared" si="224"/>
        <v>1.4531804909417141</v>
      </c>
      <c r="Q574" s="343">
        <f t="shared" si="225"/>
        <v>-9.1804628450897443</v>
      </c>
      <c r="R574" s="344">
        <f t="shared" si="226"/>
        <v>-205.53443661807481</v>
      </c>
      <c r="S574" s="346">
        <f t="shared" si="227"/>
        <v>-25.534436618074807</v>
      </c>
      <c r="U574" s="319">
        <f t="shared" si="233"/>
        <v>101165</v>
      </c>
      <c r="V574" s="319">
        <f t="shared" si="234"/>
        <v>10234357225</v>
      </c>
      <c r="X574" s="345">
        <f t="shared" si="228"/>
        <v>22.788518600111885</v>
      </c>
      <c r="Y574" s="346">
        <f t="shared" si="229"/>
        <v>-43.449213380268645</v>
      </c>
      <c r="AA574" s="345">
        <f t="shared" si="230"/>
        <v>30.272522177245396</v>
      </c>
      <c r="AB574" s="346">
        <f t="shared" si="231"/>
        <v>-162.08522323780619</v>
      </c>
      <c r="AD574">
        <f t="shared" si="235"/>
        <v>0</v>
      </c>
      <c r="AE574">
        <f t="shared" si="238"/>
        <v>0</v>
      </c>
    </row>
    <row r="575" spans="1:31" x14ac:dyDescent="0.25">
      <c r="A575" s="347">
        <v>102330</v>
      </c>
      <c r="B575" s="364">
        <f t="shared" si="232"/>
        <v>102.33</v>
      </c>
      <c r="C575" s="337">
        <f t="shared" si="213"/>
        <v>23.169603568916273</v>
      </c>
      <c r="D575" s="338">
        <f t="shared" si="214"/>
        <v>1.5276229198018934</v>
      </c>
      <c r="E575" s="338">
        <f t="shared" si="215"/>
        <v>1.011835746286929</v>
      </c>
      <c r="F575" s="339">
        <f t="shared" si="216"/>
        <v>0.15310242248317435</v>
      </c>
      <c r="G575" s="338">
        <f t="shared" si="217"/>
        <v>1</v>
      </c>
      <c r="H575" s="339">
        <f t="shared" si="218"/>
        <v>0</v>
      </c>
      <c r="I575" s="337">
        <f t="shared" si="219"/>
        <v>74086.162003730948</v>
      </c>
      <c r="J575" s="340">
        <f t="shared" si="220"/>
        <v>1.5707828289975621</v>
      </c>
      <c r="K575" s="348">
        <f t="shared" si="236"/>
        <v>17.388653693690134</v>
      </c>
      <c r="L575" s="349">
        <f t="shared" si="237"/>
        <v>1.513255815075762</v>
      </c>
      <c r="M575" s="337">
        <f t="shared" si="221"/>
        <v>1.3138902224535551</v>
      </c>
      <c r="N575" s="340">
        <f t="shared" si="222"/>
        <v>0.70579119354319675</v>
      </c>
      <c r="O575" s="341">
        <f t="shared" si="223"/>
        <v>1.3267442489597947</v>
      </c>
      <c r="P575" s="342">
        <f t="shared" si="224"/>
        <v>1.4691756992959422</v>
      </c>
      <c r="Q575" s="343">
        <f t="shared" si="225"/>
        <v>-9.4035030050183455</v>
      </c>
      <c r="R575" s="344">
        <f t="shared" si="226"/>
        <v>-206.66670223281128</v>
      </c>
      <c r="S575" s="346">
        <f t="shared" si="227"/>
        <v>-26.666702232811275</v>
      </c>
      <c r="U575" s="319">
        <f t="shared" si="233"/>
        <v>102330</v>
      </c>
      <c r="V575" s="319">
        <f t="shared" si="234"/>
        <v>10471428900</v>
      </c>
      <c r="X575" s="345">
        <f t="shared" si="228"/>
        <v>22.746620012269698</v>
      </c>
      <c r="Y575" s="346">
        <f t="shared" si="229"/>
        <v>-43.7349117632101</v>
      </c>
      <c r="AA575" s="345">
        <f t="shared" si="230"/>
        <v>30.091380605158978</v>
      </c>
      <c r="AB575" s="346">
        <f t="shared" si="231"/>
        <v>-162.93179046960111</v>
      </c>
      <c r="AD575">
        <f t="shared" si="235"/>
        <v>0</v>
      </c>
      <c r="AE575">
        <f t="shared" si="238"/>
        <v>0</v>
      </c>
    </row>
    <row r="576" spans="1:31" x14ac:dyDescent="0.25">
      <c r="A576" s="347">
        <v>103520</v>
      </c>
      <c r="B576" s="364">
        <f t="shared" si="232"/>
        <v>103.52</v>
      </c>
      <c r="C576" s="337">
        <f t="shared" si="213"/>
        <v>23.438544861901963</v>
      </c>
      <c r="D576" s="338">
        <f t="shared" si="214"/>
        <v>1.5281186078909599</v>
      </c>
      <c r="E576" s="338">
        <f t="shared" si="215"/>
        <v>1.0121109669125452</v>
      </c>
      <c r="F576" s="339">
        <f t="shared" si="216"/>
        <v>0.15485468892721763</v>
      </c>
      <c r="G576" s="338">
        <f t="shared" si="217"/>
        <v>1</v>
      </c>
      <c r="H576" s="339">
        <f t="shared" si="218"/>
        <v>0</v>
      </c>
      <c r="I576" s="337">
        <f t="shared" si="219"/>
        <v>74947.713188803449</v>
      </c>
      <c r="J576" s="340">
        <f t="shared" si="220"/>
        <v>1.5707829841596448</v>
      </c>
      <c r="K576" s="348">
        <f t="shared" si="236"/>
        <v>17.590202159673741</v>
      </c>
      <c r="L576" s="349">
        <f t="shared" si="237"/>
        <v>1.5139158301215911</v>
      </c>
      <c r="M576" s="337">
        <f t="shared" si="221"/>
        <v>1.3203402068059509</v>
      </c>
      <c r="N576" s="340">
        <f t="shared" si="222"/>
        <v>0.71150416020514728</v>
      </c>
      <c r="O576" s="341">
        <f t="shared" si="223"/>
        <v>1.3401361456382781</v>
      </c>
      <c r="P576" s="342">
        <f t="shared" si="224"/>
        <v>1.4853668660978159</v>
      </c>
      <c r="Q576" s="343">
        <f t="shared" si="225"/>
        <v>-9.6314794433268105</v>
      </c>
      <c r="R576" s="344">
        <f t="shared" si="226"/>
        <v>-207.81191281271191</v>
      </c>
      <c r="S576" s="346">
        <f t="shared" si="227"/>
        <v>-27.81191281271191</v>
      </c>
      <c r="U576" s="319">
        <f t="shared" si="233"/>
        <v>103520</v>
      </c>
      <c r="V576" s="319">
        <f t="shared" si="234"/>
        <v>10716390400</v>
      </c>
      <c r="X576" s="345">
        <f t="shared" si="228"/>
        <v>22.703756320833712</v>
      </c>
      <c r="Y576" s="346">
        <f t="shared" si="229"/>
        <v>-44.024433455360992</v>
      </c>
      <c r="AA576" s="345">
        <f t="shared" si="230"/>
        <v>29.906267858286505</v>
      </c>
      <c r="AB576" s="346">
        <f t="shared" si="231"/>
        <v>-163.78747935735092</v>
      </c>
      <c r="AD576">
        <f t="shared" si="235"/>
        <v>0</v>
      </c>
      <c r="AE576">
        <f t="shared" si="238"/>
        <v>0</v>
      </c>
    </row>
    <row r="577" spans="1:31" x14ac:dyDescent="0.25">
      <c r="A577" s="347">
        <v>104710</v>
      </c>
      <c r="B577" s="364">
        <f t="shared" si="232"/>
        <v>104.71</v>
      </c>
      <c r="C577" s="337">
        <f t="shared" si="213"/>
        <v>23.707491783231863</v>
      </c>
      <c r="D577" s="338">
        <f t="shared" si="214"/>
        <v>1.5286030495434726</v>
      </c>
      <c r="E577" s="338">
        <f t="shared" si="215"/>
        <v>1.0123892934666265</v>
      </c>
      <c r="F577" s="339">
        <f t="shared" si="216"/>
        <v>0.15660599727821675</v>
      </c>
      <c r="G577" s="338">
        <f t="shared" si="217"/>
        <v>1</v>
      </c>
      <c r="H577" s="339">
        <f t="shared" si="218"/>
        <v>0</v>
      </c>
      <c r="I577" s="337">
        <f t="shared" si="219"/>
        <v>75809.264373877711</v>
      </c>
      <c r="J577" s="340">
        <f t="shared" si="220"/>
        <v>1.57078313579498</v>
      </c>
      <c r="K577" s="348">
        <f t="shared" si="236"/>
        <v>17.791758114689078</v>
      </c>
      <c r="L577" s="349">
        <f t="shared" si="237"/>
        <v>1.5145608913321378</v>
      </c>
      <c r="M577" s="337">
        <f t="shared" si="221"/>
        <v>1.3268328646217027</v>
      </c>
      <c r="N577" s="340">
        <f t="shared" si="222"/>
        <v>0.71716139891680275</v>
      </c>
      <c r="O577" s="341">
        <f t="shared" si="223"/>
        <v>1.3538561118693153</v>
      </c>
      <c r="P577" s="342">
        <f t="shared" si="224"/>
        <v>1.5014060464909407</v>
      </c>
      <c r="Q577" s="343">
        <f t="shared" si="225"/>
        <v>-9.859586881925086</v>
      </c>
      <c r="R577" s="344">
        <f t="shared" si="226"/>
        <v>-208.94548934740197</v>
      </c>
      <c r="S577" s="346">
        <f t="shared" si="227"/>
        <v>-28.945489347401974</v>
      </c>
      <c r="U577" s="319">
        <f t="shared" si="233"/>
        <v>104710</v>
      </c>
      <c r="V577" s="319">
        <f t="shared" si="234"/>
        <v>10964184100</v>
      </c>
      <c r="X577" s="345">
        <f t="shared" si="228"/>
        <v>22.660831660911605</v>
      </c>
      <c r="Y577" s="346">
        <f t="shared" si="229"/>
        <v>-44.311618760737836</v>
      </c>
      <c r="AA577" s="345">
        <f t="shared" si="230"/>
        <v>29.721085079610337</v>
      </c>
      <c r="AB577" s="346">
        <f t="shared" si="231"/>
        <v>-164.63387058666413</v>
      </c>
      <c r="AD577">
        <f t="shared" si="235"/>
        <v>0</v>
      </c>
      <c r="AE577">
        <f t="shared" si="238"/>
        <v>0</v>
      </c>
    </row>
    <row r="578" spans="1:31" x14ac:dyDescent="0.25">
      <c r="A578" s="347">
        <v>105930</v>
      </c>
      <c r="B578" s="364">
        <f t="shared" si="232"/>
        <v>105.93</v>
      </c>
      <c r="C578" s="337">
        <f t="shared" si="213"/>
        <v>23.983224523798036</v>
      </c>
      <c r="D578" s="338">
        <f t="shared" si="214"/>
        <v>1.5290884245606</v>
      </c>
      <c r="E578" s="338">
        <f t="shared" si="215"/>
        <v>1.0126778583419453</v>
      </c>
      <c r="F578" s="339">
        <f t="shared" si="216"/>
        <v>0.15840045121772112</v>
      </c>
      <c r="G578" s="338">
        <f t="shared" si="217"/>
        <v>1</v>
      </c>
      <c r="H578" s="339">
        <f t="shared" si="218"/>
        <v>0</v>
      </c>
      <c r="I578" s="337">
        <f t="shared" si="219"/>
        <v>76692.535336728732</v>
      </c>
      <c r="J578" s="340">
        <f t="shared" si="220"/>
        <v>1.5707832877162478</v>
      </c>
      <c r="K578" s="348">
        <f t="shared" si="236"/>
        <v>17.998402823490096</v>
      </c>
      <c r="L578" s="349">
        <f t="shared" si="237"/>
        <v>1.5152072158930503</v>
      </c>
      <c r="M578" s="337">
        <f t="shared" si="221"/>
        <v>1.3335328510789879</v>
      </c>
      <c r="N578" s="340">
        <f t="shared" si="222"/>
        <v>0.72290388000845807</v>
      </c>
      <c r="O578" s="341">
        <f t="shared" si="223"/>
        <v>1.3682632095358065</v>
      </c>
      <c r="P578" s="342">
        <f t="shared" si="224"/>
        <v>1.5176887431588495</v>
      </c>
      <c r="Q578" s="343">
        <f t="shared" si="225"/>
        <v>-10.093557737605732</v>
      </c>
      <c r="R578" s="344">
        <f t="shared" si="226"/>
        <v>-210.09541141497417</v>
      </c>
      <c r="S578" s="346">
        <f t="shared" si="227"/>
        <v>-30.095411414974166</v>
      </c>
      <c r="U578" s="319">
        <f t="shared" si="233"/>
        <v>105930</v>
      </c>
      <c r="V578" s="319">
        <f t="shared" si="234"/>
        <v>11221164900</v>
      </c>
      <c r="X578" s="345">
        <f t="shared" si="228"/>
        <v>22.616767472894725</v>
      </c>
      <c r="Y578" s="346">
        <f t="shared" si="229"/>
        <v>-44.603615726468547</v>
      </c>
      <c r="AA578" s="345">
        <f t="shared" si="230"/>
        <v>29.531178411946573</v>
      </c>
      <c r="AB578" s="346">
        <f t="shared" si="231"/>
        <v>-165.49179568850565</v>
      </c>
      <c r="AD578">
        <f t="shared" si="235"/>
        <v>0</v>
      </c>
      <c r="AE578">
        <f t="shared" si="238"/>
        <v>0</v>
      </c>
    </row>
    <row r="579" spans="1:31" x14ac:dyDescent="0.25">
      <c r="A579" s="347">
        <v>107150</v>
      </c>
      <c r="B579" s="364">
        <f t="shared" si="232"/>
        <v>107.15</v>
      </c>
      <c r="C579" s="337">
        <f t="shared" si="213"/>
        <v>24.258962786102675</v>
      </c>
      <c r="D579" s="338">
        <f t="shared" si="214"/>
        <v>1.5295627657066535</v>
      </c>
      <c r="E579" s="338">
        <f t="shared" si="215"/>
        <v>1.0129696822417491</v>
      </c>
      <c r="F579" s="339">
        <f t="shared" si="216"/>
        <v>0.1601938770099284</v>
      </c>
      <c r="G579" s="338">
        <f t="shared" si="217"/>
        <v>1</v>
      </c>
      <c r="H579" s="339">
        <f t="shared" si="218"/>
        <v>0</v>
      </c>
      <c r="I579" s="337">
        <f t="shared" si="219"/>
        <v>77575.806299581498</v>
      </c>
      <c r="J579" s="340">
        <f t="shared" si="220"/>
        <v>1.5707834361779927</v>
      </c>
      <c r="K579" s="348">
        <f t="shared" si="236"/>
        <v>18.205054880174124</v>
      </c>
      <c r="L579" s="349">
        <f t="shared" si="237"/>
        <v>1.5158388673926522</v>
      </c>
      <c r="M579" s="337">
        <f t="shared" si="221"/>
        <v>1.3402763717379906</v>
      </c>
      <c r="N579" s="340">
        <f t="shared" si="222"/>
        <v>0.72858876109842008</v>
      </c>
      <c r="O579" s="341">
        <f t="shared" si="223"/>
        <v>1.3830163363172796</v>
      </c>
      <c r="P579" s="342">
        <f t="shared" si="224"/>
        <v>1.5338057537862577</v>
      </c>
      <c r="Q579" s="343">
        <f t="shared" si="225"/>
        <v>-10.327617804267941</v>
      </c>
      <c r="R579" s="344">
        <f t="shared" si="226"/>
        <v>-211.23280735521635</v>
      </c>
      <c r="S579" s="346">
        <f t="shared" si="227"/>
        <v>-31.232807355216352</v>
      </c>
      <c r="U579" s="319">
        <f t="shared" si="233"/>
        <v>107150</v>
      </c>
      <c r="V579" s="319">
        <f t="shared" si="234"/>
        <v>11481122500</v>
      </c>
      <c r="X579" s="345">
        <f t="shared" si="228"/>
        <v>22.572651059887253</v>
      </c>
      <c r="Y579" s="346">
        <f t="shared" si="229"/>
        <v>-44.893152961469056</v>
      </c>
      <c r="AA579" s="345">
        <f t="shared" si="230"/>
        <v>29.341234758291826</v>
      </c>
      <c r="AB579" s="346">
        <f t="shared" si="231"/>
        <v>-166.33965439374737</v>
      </c>
      <c r="AD579">
        <f t="shared" si="235"/>
        <v>0</v>
      </c>
      <c r="AE579">
        <f t="shared" si="238"/>
        <v>0</v>
      </c>
    </row>
    <row r="580" spans="1:31" x14ac:dyDescent="0.25">
      <c r="A580" s="347">
        <v>108400</v>
      </c>
      <c r="B580" s="364">
        <f t="shared" si="232"/>
        <v>108.4</v>
      </c>
      <c r="C580" s="337">
        <f t="shared" si="213"/>
        <v>24.541487029935173</v>
      </c>
      <c r="D580" s="338">
        <f t="shared" si="214"/>
        <v>1.5300377154747469</v>
      </c>
      <c r="E580" s="338">
        <f t="shared" si="215"/>
        <v>1.0132720594141549</v>
      </c>
      <c r="F580" s="339">
        <f t="shared" si="216"/>
        <v>0.16203032592542044</v>
      </c>
      <c r="G580" s="338">
        <f t="shared" si="217"/>
        <v>1</v>
      </c>
      <c r="H580" s="339">
        <f t="shared" si="218"/>
        <v>0</v>
      </c>
      <c r="I580" s="337">
        <f t="shared" si="219"/>
        <v>78480.797040211051</v>
      </c>
      <c r="J580" s="340">
        <f t="shared" si="220"/>
        <v>1.5707835848244052</v>
      </c>
      <c r="K580" s="348">
        <f t="shared" si="236"/>
        <v>18.416795907292808</v>
      </c>
      <c r="L580" s="349">
        <f t="shared" si="237"/>
        <v>1.5164713485710941</v>
      </c>
      <c r="M580" s="337">
        <f t="shared" si="221"/>
        <v>1.3472301861863456</v>
      </c>
      <c r="N580" s="340">
        <f t="shared" si="222"/>
        <v>0.73435421558191705</v>
      </c>
      <c r="O580" s="341">
        <f t="shared" si="223"/>
        <v>1.3984915459316998</v>
      </c>
      <c r="P580" s="342">
        <f t="shared" si="224"/>
        <v>1.5501445095872499</v>
      </c>
      <c r="Q580" s="343">
        <f t="shared" si="225"/>
        <v>-10.567498383252662</v>
      </c>
      <c r="R580" s="344">
        <f t="shared" si="226"/>
        <v>-212.3850471750132</v>
      </c>
      <c r="S580" s="346">
        <f t="shared" si="227"/>
        <v>-32.385047175013199</v>
      </c>
      <c r="U580" s="319">
        <f t="shared" si="233"/>
        <v>108400</v>
      </c>
      <c r="V580" s="319">
        <f t="shared" si="234"/>
        <v>11750560000</v>
      </c>
      <c r="X580" s="345">
        <f t="shared" si="228"/>
        <v>22.527401704312069</v>
      </c>
      <c r="Y580" s="346">
        <f t="shared" si="229"/>
        <v>-45.187259185350165</v>
      </c>
      <c r="AA580" s="345">
        <f t="shared" si="230"/>
        <v>29.146603534882288</v>
      </c>
      <c r="AB580" s="346">
        <f t="shared" si="231"/>
        <v>-167.19778798966303</v>
      </c>
      <c r="AD580">
        <f t="shared" si="235"/>
        <v>0</v>
      </c>
      <c r="AE580">
        <f t="shared" si="238"/>
        <v>0</v>
      </c>
    </row>
    <row r="581" spans="1:31" x14ac:dyDescent="0.25">
      <c r="A581" s="347">
        <v>109650</v>
      </c>
      <c r="B581" s="364">
        <f t="shared" si="232"/>
        <v>109.65</v>
      </c>
      <c r="C581" s="337">
        <f t="shared" si="213"/>
        <v>24.824016683757485</v>
      </c>
      <c r="D581" s="338">
        <f t="shared" si="214"/>
        <v>1.5305018542511877</v>
      </c>
      <c r="E581" s="338">
        <f t="shared" si="215"/>
        <v>1.013577851846126</v>
      </c>
      <c r="F581" s="339">
        <f t="shared" si="216"/>
        <v>0.16386567292884646</v>
      </c>
      <c r="G581" s="338">
        <f t="shared" si="217"/>
        <v>1</v>
      </c>
      <c r="H581" s="339">
        <f t="shared" si="218"/>
        <v>0</v>
      </c>
      <c r="I581" s="337">
        <f t="shared" si="219"/>
        <v>79385.787780842293</v>
      </c>
      <c r="J581" s="340">
        <f t="shared" si="220"/>
        <v>1.5707837300817067</v>
      </c>
      <c r="K581" s="348">
        <f t="shared" si="236"/>
        <v>18.628544134244688</v>
      </c>
      <c r="L581" s="349">
        <f t="shared" si="237"/>
        <v>1.5170894513303181</v>
      </c>
      <c r="M581" s="337">
        <f t="shared" si="221"/>
        <v>1.3542283224228615</v>
      </c>
      <c r="N581" s="340">
        <f t="shared" si="222"/>
        <v>0.74006027076555947</v>
      </c>
      <c r="O581" s="341">
        <f t="shared" si="223"/>
        <v>1.4143306788078178</v>
      </c>
      <c r="P581" s="342">
        <f t="shared" si="224"/>
        <v>1.5663040720051935</v>
      </c>
      <c r="Q581" s="343">
        <f t="shared" si="225"/>
        <v>-10.807415454328474</v>
      </c>
      <c r="R581" s="344">
        <f t="shared" si="226"/>
        <v>-213.52388398031383</v>
      </c>
      <c r="S581" s="346">
        <f t="shared" si="227"/>
        <v>-33.523883980313826</v>
      </c>
      <c r="U581" s="319">
        <f t="shared" si="233"/>
        <v>109650</v>
      </c>
      <c r="V581" s="319">
        <f t="shared" si="234"/>
        <v>12023122500</v>
      </c>
      <c r="X581" s="345">
        <f t="shared" si="228"/>
        <v>22.482109676598618</v>
      </c>
      <c r="Y581" s="346">
        <f t="shared" si="229"/>
        <v>-45.478785708596121</v>
      </c>
      <c r="AA581" s="345">
        <f t="shared" si="230"/>
        <v>28.951978491519927</v>
      </c>
      <c r="AB581" s="346">
        <f t="shared" si="231"/>
        <v>-168.04509827171776</v>
      </c>
      <c r="AD581">
        <f t="shared" si="235"/>
        <v>0</v>
      </c>
      <c r="AE581">
        <f t="shared" si="238"/>
        <v>0</v>
      </c>
    </row>
    <row r="582" spans="1:31" x14ac:dyDescent="0.25">
      <c r="A582" s="347">
        <v>110925</v>
      </c>
      <c r="B582" s="364">
        <f t="shared" si="232"/>
        <v>110.925</v>
      </c>
      <c r="C582" s="337">
        <f t="shared" si="213"/>
        <v>25.112202314660781</v>
      </c>
      <c r="D582" s="338">
        <f t="shared" si="214"/>
        <v>1.5309645165350101</v>
      </c>
      <c r="E582" s="338">
        <f t="shared" si="215"/>
        <v>1.0138932753222671</v>
      </c>
      <c r="F582" s="339">
        <f t="shared" si="216"/>
        <v>0.16573657989952631</v>
      </c>
      <c r="G582" s="338">
        <f t="shared" si="217"/>
        <v>1</v>
      </c>
      <c r="H582" s="339">
        <f t="shared" si="218"/>
        <v>0</v>
      </c>
      <c r="I582" s="337">
        <f t="shared" si="219"/>
        <v>80308.878336287846</v>
      </c>
      <c r="J582" s="340">
        <f t="shared" si="220"/>
        <v>1.5707838748715135</v>
      </c>
      <c r="K582" s="348">
        <f t="shared" si="236"/>
        <v>18.844534491302507</v>
      </c>
      <c r="L582" s="349">
        <f t="shared" si="237"/>
        <v>1.5177056056754625</v>
      </c>
      <c r="M582" s="337">
        <f t="shared" si="221"/>
        <v>1.361411372843411</v>
      </c>
      <c r="N582" s="340">
        <f t="shared" si="222"/>
        <v>0.74581982158258642</v>
      </c>
      <c r="O582" s="341">
        <f t="shared" si="223"/>
        <v>1.4308616234632863</v>
      </c>
      <c r="P582" s="342">
        <f t="shared" si="224"/>
        <v>1.582599904814038</v>
      </c>
      <c r="Q582" s="343">
        <f t="shared" si="225"/>
        <v>-11.052136953365629</v>
      </c>
      <c r="R582" s="344">
        <f t="shared" si="226"/>
        <v>-214.6715831541905</v>
      </c>
      <c r="S582" s="346">
        <f t="shared" si="227"/>
        <v>-34.6715831541905</v>
      </c>
      <c r="U582" s="319">
        <f t="shared" si="233"/>
        <v>110925</v>
      </c>
      <c r="V582" s="319">
        <f t="shared" si="234"/>
        <v>12304355625</v>
      </c>
      <c r="X582" s="345">
        <f t="shared" si="228"/>
        <v>22.435873985665044</v>
      </c>
      <c r="Y582" s="346">
        <f t="shared" si="229"/>
        <v>-45.773488914979069</v>
      </c>
      <c r="AA582" s="345">
        <f t="shared" si="230"/>
        <v>28.753492683416351</v>
      </c>
      <c r="AB582" s="346">
        <f t="shared" si="231"/>
        <v>-168.89809423921139</v>
      </c>
      <c r="AD582">
        <f t="shared" si="235"/>
        <v>0</v>
      </c>
      <c r="AE582">
        <f t="shared" si="238"/>
        <v>0</v>
      </c>
    </row>
    <row r="583" spans="1:31" x14ac:dyDescent="0.25">
      <c r="A583" s="347">
        <v>112200</v>
      </c>
      <c r="B583" s="364">
        <f t="shared" si="232"/>
        <v>112.2</v>
      </c>
      <c r="C583" s="337">
        <f t="shared" si="213"/>
        <v>25.400393199014623</v>
      </c>
      <c r="D583" s="338">
        <f t="shared" si="214"/>
        <v>1.5314166802532714</v>
      </c>
      <c r="E583" s="338">
        <f t="shared" si="215"/>
        <v>1.0142122455071358</v>
      </c>
      <c r="F583" s="339">
        <f t="shared" si="216"/>
        <v>0.16760631660933492</v>
      </c>
      <c r="G583" s="338">
        <f t="shared" si="217"/>
        <v>1</v>
      </c>
      <c r="H583" s="339">
        <f t="shared" si="218"/>
        <v>0</v>
      </c>
      <c r="I583" s="337">
        <f t="shared" si="219"/>
        <v>81231.968891735058</v>
      </c>
      <c r="J583" s="340">
        <f t="shared" si="220"/>
        <v>1.5707840163706428</v>
      </c>
      <c r="K583" s="348">
        <f t="shared" si="236"/>
        <v>19.060531840472894</v>
      </c>
      <c r="L583" s="349">
        <f t="shared" si="237"/>
        <v>1.5183077955028792</v>
      </c>
      <c r="M583" s="337">
        <f t="shared" si="221"/>
        <v>1.3686391096711883</v>
      </c>
      <c r="N583" s="340">
        <f t="shared" si="222"/>
        <v>0.75151872780439632</v>
      </c>
      <c r="O583" s="341">
        <f t="shared" si="223"/>
        <v>1.4477712772142399</v>
      </c>
      <c r="P583" s="342">
        <f t="shared" si="224"/>
        <v>1.5987049098921482</v>
      </c>
      <c r="Q583" s="343">
        <f t="shared" si="225"/>
        <v>-11.296831788870481</v>
      </c>
      <c r="R583" s="344">
        <f t="shared" si="226"/>
        <v>-215.80513947200757</v>
      </c>
      <c r="S583" s="346">
        <f t="shared" si="227"/>
        <v>-35.805139472007568</v>
      </c>
      <c r="U583" s="319">
        <f t="shared" si="233"/>
        <v>112200</v>
      </c>
      <c r="V583" s="319">
        <f t="shared" si="234"/>
        <v>12588840000</v>
      </c>
      <c r="X583" s="345">
        <f t="shared" si="228"/>
        <v>22.389606173829797</v>
      </c>
      <c r="Y583" s="346">
        <f t="shared" si="229"/>
        <v>-46.065517361389531</v>
      </c>
      <c r="AA583" s="345">
        <f t="shared" si="230"/>
        <v>28.555065659746749</v>
      </c>
      <c r="AB583" s="346">
        <f t="shared" si="231"/>
        <v>-169.73962211061806</v>
      </c>
      <c r="AD583">
        <f t="shared" si="235"/>
        <v>0</v>
      </c>
      <c r="AE583">
        <f t="shared" si="238"/>
        <v>0</v>
      </c>
    </row>
    <row r="584" spans="1:31" x14ac:dyDescent="0.25">
      <c r="A584" s="347">
        <v>113510</v>
      </c>
      <c r="B584" s="364">
        <f t="shared" si="232"/>
        <v>113.51</v>
      </c>
      <c r="C584" s="337">
        <f t="shared" si="213"/>
        <v>25.696500491648006</v>
      </c>
      <c r="D584" s="338">
        <f t="shared" si="214"/>
        <v>1.5318706925771075</v>
      </c>
      <c r="E584" s="338">
        <f t="shared" si="215"/>
        <v>1.0145436623059059</v>
      </c>
      <c r="F584" s="339">
        <f t="shared" si="216"/>
        <v>0.16952614796225582</v>
      </c>
      <c r="G584" s="338">
        <f t="shared" si="217"/>
        <v>1</v>
      </c>
      <c r="H584" s="339">
        <f t="shared" si="218"/>
        <v>0</v>
      </c>
      <c r="I584" s="337">
        <f t="shared" si="219"/>
        <v>82180.399187921692</v>
      </c>
      <c r="J584" s="340">
        <f t="shared" si="220"/>
        <v>1.5707841584431983</v>
      </c>
      <c r="K584" s="348">
        <f t="shared" si="236"/>
        <v>19.282465564322688</v>
      </c>
      <c r="L584" s="349">
        <f t="shared" si="237"/>
        <v>1.5189124640452847</v>
      </c>
      <c r="M584" s="337">
        <f t="shared" si="221"/>
        <v>1.3761110581151423</v>
      </c>
      <c r="N584" s="340">
        <f t="shared" si="222"/>
        <v>0.75731152853168426</v>
      </c>
      <c r="O584" s="341">
        <f t="shared" si="223"/>
        <v>1.4655393761819879</v>
      </c>
      <c r="P584" s="342">
        <f t="shared" si="224"/>
        <v>1.6150513919133411</v>
      </c>
      <c r="Q584" s="343">
        <f t="shared" si="225"/>
        <v>-11.54818061459838</v>
      </c>
      <c r="R584" s="344">
        <f t="shared" si="226"/>
        <v>-216.95500487703345</v>
      </c>
      <c r="S584" s="346">
        <f t="shared" si="227"/>
        <v>-36.955004877033446</v>
      </c>
      <c r="U584" s="319">
        <f t="shared" si="233"/>
        <v>113510</v>
      </c>
      <c r="V584" s="319">
        <f t="shared" si="234"/>
        <v>12884520100</v>
      </c>
      <c r="X584" s="345">
        <f t="shared" si="228"/>
        <v>22.342041064483119</v>
      </c>
      <c r="Y584" s="346">
        <f t="shared" si="229"/>
        <v>-46.362783579636783</v>
      </c>
      <c r="AA584" s="345">
        <f t="shared" si="230"/>
        <v>28.351281943365528</v>
      </c>
      <c r="AB584" s="346">
        <f t="shared" si="231"/>
        <v>-170.59222129739661</v>
      </c>
      <c r="AD584">
        <f t="shared" si="235"/>
        <v>0</v>
      </c>
      <c r="AE584">
        <f t="shared" si="238"/>
        <v>0</v>
      </c>
    </row>
    <row r="585" spans="1:31" x14ac:dyDescent="0.25">
      <c r="A585" s="347">
        <v>114820</v>
      </c>
      <c r="B585" s="364">
        <f t="shared" si="232"/>
        <v>114.82</v>
      </c>
      <c r="C585" s="337">
        <f t="shared" si="213"/>
        <v>25.992612960347344</v>
      </c>
      <c r="D585" s="338">
        <f t="shared" si="214"/>
        <v>1.5323143606124212</v>
      </c>
      <c r="E585" s="338">
        <f t="shared" si="215"/>
        <v>1.0148788160111675</v>
      </c>
      <c r="F585" s="339">
        <f t="shared" si="216"/>
        <v>0.17144471837199504</v>
      </c>
      <c r="G585" s="338">
        <f t="shared" si="217"/>
        <v>1</v>
      </c>
      <c r="H585" s="339">
        <f t="shared" si="218"/>
        <v>0</v>
      </c>
      <c r="I585" s="337">
        <f t="shared" si="219"/>
        <v>83128.829484109927</v>
      </c>
      <c r="J585" s="340">
        <f t="shared" si="220"/>
        <v>1.5707842972738961</v>
      </c>
      <c r="K585" s="348">
        <f t="shared" si="236"/>
        <v>19.504406177862148</v>
      </c>
      <c r="L585" s="349">
        <f t="shared" si="237"/>
        <v>1.5195033717544837</v>
      </c>
      <c r="M585" s="337">
        <f t="shared" si="221"/>
        <v>1.3836286844461378</v>
      </c>
      <c r="N585" s="340">
        <f t="shared" si="222"/>
        <v>0.76304157212175994</v>
      </c>
      <c r="O585" s="341">
        <f t="shared" si="223"/>
        <v>1.4837067329356992</v>
      </c>
      <c r="P585" s="342">
        <f t="shared" si="224"/>
        <v>1.6311929432296266</v>
      </c>
      <c r="Q585" s="343">
        <f t="shared" si="225"/>
        <v>-11.799428840597885</v>
      </c>
      <c r="R585" s="344">
        <f t="shared" si="226"/>
        <v>-218.08980071303017</v>
      </c>
      <c r="S585" s="346">
        <f t="shared" si="227"/>
        <v>-38.089800713030172</v>
      </c>
      <c r="U585" s="319">
        <f t="shared" si="233"/>
        <v>114820</v>
      </c>
      <c r="V585" s="319">
        <f t="shared" si="234"/>
        <v>13183632400</v>
      </c>
      <c r="X585" s="345">
        <f t="shared" si="228"/>
        <v>22.294454605279441</v>
      </c>
      <c r="Y585" s="346">
        <f t="shared" si="229"/>
        <v>-46.657242330704776</v>
      </c>
      <c r="AA585" s="345">
        <f t="shared" si="230"/>
        <v>28.147620176569706</v>
      </c>
      <c r="AB585" s="346">
        <f t="shared" si="231"/>
        <v>-171.43255838232542</v>
      </c>
      <c r="AD585">
        <f t="shared" si="235"/>
        <v>0</v>
      </c>
      <c r="AE585">
        <f t="shared" si="238"/>
        <v>0</v>
      </c>
    </row>
    <row r="586" spans="1:31" x14ac:dyDescent="0.25">
      <c r="A586" s="347">
        <v>116155</v>
      </c>
      <c r="B586" s="364">
        <f t="shared" si="232"/>
        <v>116.155</v>
      </c>
      <c r="C586" s="337">
        <f t="shared" si="213"/>
        <v>26.294381574484152</v>
      </c>
      <c r="D586" s="338">
        <f t="shared" si="214"/>
        <v>1.5327562149593443</v>
      </c>
      <c r="E586" s="338">
        <f t="shared" si="215"/>
        <v>1.0152242065069867</v>
      </c>
      <c r="F586" s="339">
        <f t="shared" si="216"/>
        <v>0.17339859212939268</v>
      </c>
      <c r="G586" s="338">
        <f t="shared" si="217"/>
        <v>1</v>
      </c>
      <c r="H586" s="339">
        <f t="shared" si="218"/>
        <v>0</v>
      </c>
      <c r="I586" s="337">
        <f t="shared" si="219"/>
        <v>84095.359595112532</v>
      </c>
      <c r="J586" s="340">
        <f t="shared" si="220"/>
        <v>1.5707844355323486</v>
      </c>
      <c r="K586" s="348">
        <f t="shared" si="236"/>
        <v>19.730589146745217</v>
      </c>
      <c r="L586" s="349">
        <f t="shared" si="237"/>
        <v>1.5200918794375204</v>
      </c>
      <c r="M586" s="337">
        <f t="shared" si="221"/>
        <v>1.3913360040925469</v>
      </c>
      <c r="N586" s="340">
        <f t="shared" si="222"/>
        <v>0.76881706954955953</v>
      </c>
      <c r="O586" s="341">
        <f t="shared" si="223"/>
        <v>1.5026310545105501</v>
      </c>
      <c r="P586" s="342">
        <f t="shared" si="224"/>
        <v>1.6474303612084145</v>
      </c>
      <c r="Q586" s="343">
        <f t="shared" si="225"/>
        <v>-12.055329823896862</v>
      </c>
      <c r="R586" s="344">
        <f t="shared" si="226"/>
        <v>-219.23070444632455</v>
      </c>
      <c r="S586" s="346">
        <f t="shared" si="227"/>
        <v>-39.230704446324552</v>
      </c>
      <c r="U586" s="319">
        <f t="shared" si="233"/>
        <v>116155</v>
      </c>
      <c r="V586" s="319">
        <f t="shared" si="234"/>
        <v>13491984025</v>
      </c>
      <c r="X586" s="345">
        <f t="shared" si="228"/>
        <v>22.245944353646152</v>
      </c>
      <c r="Y586" s="346">
        <f t="shared" si="229"/>
        <v>-46.954442873422728</v>
      </c>
      <c r="AA586" s="345">
        <f t="shared" si="230"/>
        <v>27.940229444904013</v>
      </c>
      <c r="AB586" s="346">
        <f t="shared" si="231"/>
        <v>-172.27626157290183</v>
      </c>
      <c r="AD586">
        <f t="shared" si="235"/>
        <v>0</v>
      </c>
      <c r="AE586">
        <f t="shared" si="238"/>
        <v>0</v>
      </c>
    </row>
    <row r="587" spans="1:31" x14ac:dyDescent="0.25">
      <c r="A587" s="347">
        <v>117490</v>
      </c>
      <c r="B587" s="364">
        <f t="shared" si="232"/>
        <v>117.49</v>
      </c>
      <c r="C587" s="337">
        <f t="shared" si="213"/>
        <v>26.596155205716137</v>
      </c>
      <c r="D587" s="338">
        <f t="shared" si="214"/>
        <v>1.5331880423764586</v>
      </c>
      <c r="E587" s="338">
        <f t="shared" si="215"/>
        <v>1.0155734701008798</v>
      </c>
      <c r="F587" s="339">
        <f t="shared" si="216"/>
        <v>0.1753511294319087</v>
      </c>
      <c r="G587" s="338">
        <f t="shared" si="217"/>
        <v>1</v>
      </c>
      <c r="H587" s="339">
        <f t="shared" si="218"/>
        <v>0</v>
      </c>
      <c r="I587" s="337">
        <f t="shared" si="219"/>
        <v>85061.889706116708</v>
      </c>
      <c r="J587" s="340">
        <f t="shared" si="220"/>
        <v>1.5707845706488308</v>
      </c>
      <c r="K587" s="348">
        <f t="shared" si="236"/>
        <v>19.956778794247409</v>
      </c>
      <c r="L587" s="349">
        <f t="shared" si="237"/>
        <v>1.5206670470523638</v>
      </c>
      <c r="M587" s="337">
        <f t="shared" si="221"/>
        <v>1.399089221433971</v>
      </c>
      <c r="N587" s="340">
        <f t="shared" si="222"/>
        <v>0.77452874455154341</v>
      </c>
      <c r="O587" s="341">
        <f t="shared" si="223"/>
        <v>1.5219688656580019</v>
      </c>
      <c r="P587" s="342">
        <f t="shared" si="224"/>
        <v>1.6634525477836324</v>
      </c>
      <c r="Q587" s="343">
        <f t="shared" si="225"/>
        <v>-12.311048116003573</v>
      </c>
      <c r="R587" s="344">
        <f t="shared" si="226"/>
        <v>-220.35588579496917</v>
      </c>
      <c r="S587" s="346">
        <f t="shared" si="227"/>
        <v>-40.355885794969169</v>
      </c>
      <c r="U587" s="319">
        <f t="shared" si="233"/>
        <v>117490</v>
      </c>
      <c r="V587" s="319">
        <f t="shared" si="234"/>
        <v>13803900100</v>
      </c>
      <c r="X587" s="345">
        <f t="shared" si="228"/>
        <v>22.197424522574323</v>
      </c>
      <c r="Y587" s="346">
        <f t="shared" si="229"/>
        <v>-47.248750810084132</v>
      </c>
      <c r="AA587" s="345">
        <f t="shared" si="230"/>
        <v>27.733030983869128</v>
      </c>
      <c r="AB587" s="346">
        <f t="shared" si="231"/>
        <v>-173.10713498488505</v>
      </c>
      <c r="AD587">
        <f t="shared" si="235"/>
        <v>0</v>
      </c>
      <c r="AE587">
        <f t="shared" si="238"/>
        <v>0</v>
      </c>
    </row>
    <row r="588" spans="1:31" x14ac:dyDescent="0.25">
      <c r="A588" s="347">
        <v>118860</v>
      </c>
      <c r="B588" s="364">
        <f t="shared" si="232"/>
        <v>118.86</v>
      </c>
      <c r="C588" s="337">
        <f t="shared" si="213"/>
        <v>26.905845544259076</v>
      </c>
      <c r="D588" s="338">
        <f t="shared" si="214"/>
        <v>1.5336211200851533</v>
      </c>
      <c r="E588" s="338">
        <f t="shared" si="215"/>
        <v>1.0159359129706018</v>
      </c>
      <c r="F588" s="339">
        <f t="shared" si="216"/>
        <v>0.17735345322011012</v>
      </c>
      <c r="G588" s="338">
        <f t="shared" si="217"/>
        <v>1</v>
      </c>
      <c r="H588" s="339">
        <f t="shared" si="218"/>
        <v>0</v>
      </c>
      <c r="I588" s="337">
        <f t="shared" si="219"/>
        <v>86053.759557860409</v>
      </c>
      <c r="J588" s="340">
        <f t="shared" si="220"/>
        <v>1.5707847061521127</v>
      </c>
      <c r="K588" s="348">
        <f t="shared" si="236"/>
        <v>20.188905215551813</v>
      </c>
      <c r="L588" s="349">
        <f t="shared" si="237"/>
        <v>1.5212438945468858</v>
      </c>
      <c r="M588" s="337">
        <f t="shared" si="221"/>
        <v>1.4070926293563701</v>
      </c>
      <c r="N588" s="340">
        <f t="shared" si="222"/>
        <v>0.78032452859536272</v>
      </c>
      <c r="O588" s="341">
        <f t="shared" si="223"/>
        <v>1.5422427315322063</v>
      </c>
      <c r="P588" s="342">
        <f t="shared" si="224"/>
        <v>1.6796702416359002</v>
      </c>
      <c r="Q588" s="343">
        <f t="shared" si="225"/>
        <v>-12.573239281019298</v>
      </c>
      <c r="R588" s="344">
        <f t="shared" si="226"/>
        <v>-221.49421083165439</v>
      </c>
      <c r="S588" s="346">
        <f t="shared" si="227"/>
        <v>-41.494210831654385</v>
      </c>
      <c r="U588" s="319">
        <f t="shared" si="233"/>
        <v>118860</v>
      </c>
      <c r="V588" s="319">
        <f t="shared" si="234"/>
        <v>14127699600</v>
      </c>
      <c r="X588" s="345">
        <f t="shared" si="228"/>
        <v>22.1476290449733</v>
      </c>
      <c r="Y588" s="346">
        <f t="shared" si="229"/>
        <v>-47.547781612013289</v>
      </c>
      <c r="AA588" s="345">
        <f t="shared" si="230"/>
        <v>27.520635296454433</v>
      </c>
      <c r="AB588" s="346">
        <f t="shared" si="231"/>
        <v>-173.94642921964112</v>
      </c>
      <c r="AD588">
        <f t="shared" si="235"/>
        <v>0</v>
      </c>
      <c r="AE588">
        <f t="shared" si="238"/>
        <v>0</v>
      </c>
    </row>
    <row r="589" spans="1:31" x14ac:dyDescent="0.25">
      <c r="A589" s="347">
        <v>120230</v>
      </c>
      <c r="B589" s="364">
        <f t="shared" si="232"/>
        <v>120.23</v>
      </c>
      <c r="C589" s="337">
        <f t="shared" ref="C589:C613" si="239">SQRT(1+(A589/pole1)^2)</f>
        <v>27.215540814315535</v>
      </c>
      <c r="D589" s="338">
        <f t="shared" ref="D589:D613" si="240">ATAN(A589/pole1)</f>
        <v>1.5340443415827145</v>
      </c>
      <c r="E589" s="338">
        <f t="shared" ref="E589:E613" si="241">SQRT(1+(A589/Zero1)^2)</f>
        <v>1.0163024261179823</v>
      </c>
      <c r="F589" s="339">
        <f t="shared" ref="F589:F613" si="242">ATAN(A589/Zero1)</f>
        <v>0.17935434081384358</v>
      </c>
      <c r="G589" s="338">
        <f t="shared" ref="G589:G613" si="243">IF(VIN_nom&gt;Vout, 1, SQRT(1+(A589/z_RHP)^2))</f>
        <v>1</v>
      </c>
      <c r="H589" s="339">
        <f t="shared" ref="H589:H613" si="244">IF(VIN_nom&gt;Vout, 0, -ATAN(A589/z_RHP))</f>
        <v>0</v>
      </c>
      <c r="I589" s="337">
        <f t="shared" ref="I589:I613" si="245">SQRT(1+(A589/Pole2)^2)</f>
        <v>87045.629409605652</v>
      </c>
      <c r="J589" s="340">
        <f t="shared" ref="J589:J613" si="246">ATAN(A589/Pole2)</f>
        <v>1.5707848385673222</v>
      </c>
      <c r="K589" s="348">
        <f t="shared" si="236"/>
        <v>20.421038202048855</v>
      </c>
      <c r="L589" s="349">
        <f t="shared" si="237"/>
        <v>1.5218076277764889</v>
      </c>
      <c r="M589" s="337">
        <f t="shared" ref="M589:M613" si="247">SQRT(1+(A589/pole4)^2)</f>
        <v>1.415142767537704</v>
      </c>
      <c r="N589" s="340">
        <f t="shared" ref="N589:N613" si="248">ATAN(A589/pole4)</f>
        <v>0.78605456385916717</v>
      </c>
      <c r="O589" s="341">
        <f t="shared" ref="O589:O613" si="249">SQRT((1-(V589/pterm2))^2+(A589/pterm1)^2)</f>
        <v>1.5629502491244318</v>
      </c>
      <c r="P589" s="342">
        <f t="shared" ref="P589:P613" si="250">IF((ATAN((A589/pterm1)/(1-A589^2/pterm2))&gt;0),ATAN((A589/pterm1)/(1-A589^2/pterm2)),PI()+ATAN((A589/pterm1)/(1-A589^2/pterm2)))</f>
        <v>1.6956600037049268</v>
      </c>
      <c r="Q589" s="343">
        <f t="shared" ref="Q589:Q613" si="251">20*LOG10(((E589*K589*G589)/(C589*I589*O589*M589))*Adc)</f>
        <v>-12.835154019592929</v>
      </c>
      <c r="R589" s="344">
        <f t="shared" ref="R589:R613" si="252">((F589+L589+H589)-(D589+J589+P589+N589))*radconv</f>
        <v>-222.61597799520052</v>
      </c>
      <c r="S589" s="346">
        <f t="shared" ref="S589:S613" si="253">IF(R589&gt;0,R589,R589+180)</f>
        <v>-42.615977995200524</v>
      </c>
      <c r="U589" s="319">
        <f t="shared" si="233"/>
        <v>120230</v>
      </c>
      <c r="V589" s="319">
        <f t="shared" si="234"/>
        <v>14455252900</v>
      </c>
      <c r="X589" s="345">
        <f t="shared" ref="X589:X613" si="254">20*LOG10((K589/(I589*M589))*AEA)</f>
        <v>22.097836234767556</v>
      </c>
      <c r="Y589" s="346">
        <f t="shared" ref="Y589:Y613" si="255">(L589-(J589+N589))*radconv</f>
        <v>-47.843796501433772</v>
      </c>
      <c r="AA589" s="345">
        <f t="shared" ref="AA589:AA613" si="256">20*LOG10((E589*G589/(C589*O589))*Acs*Am)</f>
        <v>27.308513368086544</v>
      </c>
      <c r="AB589" s="346">
        <f t="shared" ref="AB589:AB613" si="257">(F589+H589-(D589+P589))*radconv</f>
        <v>-174.77218149376671</v>
      </c>
      <c r="AD589">
        <f t="shared" si="235"/>
        <v>0</v>
      </c>
      <c r="AE589">
        <f t="shared" si="238"/>
        <v>0</v>
      </c>
    </row>
    <row r="590" spans="1:31" x14ac:dyDescent="0.25">
      <c r="A590" s="347">
        <v>126030</v>
      </c>
      <c r="B590" s="364">
        <f t="shared" ref="B590:B613" si="258">A590/1000</f>
        <v>126.03</v>
      </c>
      <c r="C590" s="337">
        <f t="shared" si="239"/>
        <v>28.526710411742112</v>
      </c>
      <c r="D590" s="338">
        <f t="shared" si="240"/>
        <v>1.5357342777129002</v>
      </c>
      <c r="E590" s="338">
        <f t="shared" si="241"/>
        <v>1.0178990775573544</v>
      </c>
      <c r="F590" s="339">
        <f t="shared" si="242"/>
        <v>0.18780900950953211</v>
      </c>
      <c r="G590" s="338">
        <f t="shared" si="243"/>
        <v>1</v>
      </c>
      <c r="H590" s="339">
        <f t="shared" si="244"/>
        <v>0</v>
      </c>
      <c r="I590" s="337">
        <f t="shared" si="245"/>
        <v>91244.78644620729</v>
      </c>
      <c r="J590" s="340">
        <f t="shared" si="246"/>
        <v>1.5707853672646159</v>
      </c>
      <c r="K590" s="348">
        <f t="shared" si="236"/>
        <v>21.403858806084614</v>
      </c>
      <c r="L590" s="349">
        <f t="shared" si="237"/>
        <v>1.5240587656630897</v>
      </c>
      <c r="M590" s="337">
        <f t="shared" si="247"/>
        <v>1.449723336154559</v>
      </c>
      <c r="N590" s="340">
        <f t="shared" si="248"/>
        <v>0.80960180534603288</v>
      </c>
      <c r="O590" s="341">
        <f t="shared" si="249"/>
        <v>1.6553939040914136</v>
      </c>
      <c r="P590" s="342">
        <f t="shared" si="250"/>
        <v>1.7608302343020228</v>
      </c>
      <c r="Q590" s="343">
        <f t="shared" si="251"/>
        <v>-13.939971355864735</v>
      </c>
      <c r="R590" s="344">
        <f t="shared" si="252"/>
        <v>-227.18257368648062</v>
      </c>
      <c r="S590" s="346">
        <f t="shared" si="253"/>
        <v>-47.182573686480623</v>
      </c>
      <c r="U590" s="319">
        <f t="shared" ref="U590:U613" si="259">IF(Q590&lt;0,A590,1000000000)</f>
        <v>126030</v>
      </c>
      <c r="V590" s="319">
        <f t="shared" ref="V590:V613" si="260">A590^2</f>
        <v>15883560900</v>
      </c>
      <c r="X590" s="345">
        <f t="shared" si="254"/>
        <v>21.887202171723334</v>
      </c>
      <c r="Y590" s="346">
        <f t="shared" si="255"/>
        <v>-49.064003651320164</v>
      </c>
      <c r="AA590" s="345">
        <f t="shared" si="256"/>
        <v>26.414330094858958</v>
      </c>
      <c r="AB590" s="346">
        <f t="shared" si="257"/>
        <v>-178.11857003516045</v>
      </c>
      <c r="AD590">
        <f t="shared" ref="AD590:AD613" si="261">SUM((Q591&lt;0)*(Q590&gt;0))*A590</f>
        <v>0</v>
      </c>
      <c r="AE590">
        <f t="shared" si="238"/>
        <v>0</v>
      </c>
    </row>
    <row r="591" spans="1:31" x14ac:dyDescent="0.25">
      <c r="A591" s="347">
        <v>131830</v>
      </c>
      <c r="B591" s="364">
        <f t="shared" si="258"/>
        <v>131.83000000000001</v>
      </c>
      <c r="C591" s="337">
        <f t="shared" si="239"/>
        <v>29.837954318035269</v>
      </c>
      <c r="D591" s="338">
        <f t="shared" si="240"/>
        <v>1.5372756877424045</v>
      </c>
      <c r="E591" s="338">
        <f t="shared" si="241"/>
        <v>1.0195682589546016</v>
      </c>
      <c r="F591" s="339">
        <f t="shared" si="242"/>
        <v>0.19623659596803697</v>
      </c>
      <c r="G591" s="338">
        <f t="shared" si="243"/>
        <v>1</v>
      </c>
      <c r="H591" s="339">
        <f t="shared" si="244"/>
        <v>0</v>
      </c>
      <c r="I591" s="337">
        <f t="shared" si="245"/>
        <v>95443.943482832168</v>
      </c>
      <c r="J591" s="340">
        <f t="shared" si="246"/>
        <v>1.5707858494407185</v>
      </c>
      <c r="K591" s="348">
        <f t="shared" si="236"/>
        <v>22.386778352708522</v>
      </c>
      <c r="L591" s="349">
        <f t="shared" si="237"/>
        <v>1.5261122351501593</v>
      </c>
      <c r="M591" s="337">
        <f t="shared" si="247"/>
        <v>1.4850700489307813</v>
      </c>
      <c r="N591" s="340">
        <f t="shared" si="248"/>
        <v>0.83204009051671102</v>
      </c>
      <c r="O591" s="341">
        <f t="shared" si="249"/>
        <v>1.7554847315173183</v>
      </c>
      <c r="P591" s="342">
        <f t="shared" si="250"/>
        <v>1.821960243781809</v>
      </c>
      <c r="Q591" s="343">
        <f t="shared" si="251"/>
        <v>-15.036052829742356</v>
      </c>
      <c r="R591" s="344">
        <f t="shared" si="252"/>
        <v>-231.45850792126737</v>
      </c>
      <c r="S591" s="346">
        <f t="shared" si="253"/>
        <v>-51.458507921267369</v>
      </c>
      <c r="U591" s="319">
        <f t="shared" si="259"/>
        <v>131830</v>
      </c>
      <c r="V591" s="319">
        <f t="shared" si="260"/>
        <v>17379148900</v>
      </c>
      <c r="X591" s="345">
        <f t="shared" si="254"/>
        <v>21.677150105597573</v>
      </c>
      <c r="Y591" s="346">
        <f t="shared" si="255"/>
        <v>-50.231995184133325</v>
      </c>
      <c r="AA591" s="345">
        <f t="shared" si="256"/>
        <v>25.528300687107098</v>
      </c>
      <c r="AB591" s="346">
        <f t="shared" si="257"/>
        <v>-181.22651273713404</v>
      </c>
      <c r="AD591">
        <f t="shared" si="261"/>
        <v>0</v>
      </c>
      <c r="AE591">
        <f t="shared" si="238"/>
        <v>0</v>
      </c>
    </row>
    <row r="592" spans="1:31" x14ac:dyDescent="0.25">
      <c r="A592" s="347">
        <v>144540</v>
      </c>
      <c r="B592" s="364">
        <f t="shared" si="258"/>
        <v>144.54</v>
      </c>
      <c r="C592" s="337">
        <f t="shared" si="239"/>
        <v>32.711603268631968</v>
      </c>
      <c r="D592" s="338">
        <f t="shared" si="240"/>
        <v>1.5402213710694386</v>
      </c>
      <c r="E592" s="338">
        <f t="shared" si="241"/>
        <v>1.0234779323815228</v>
      </c>
      <c r="F592" s="339">
        <f t="shared" si="242"/>
        <v>0.21460478295400329</v>
      </c>
      <c r="G592" s="338">
        <f t="shared" si="243"/>
        <v>1</v>
      </c>
      <c r="H592" s="339">
        <f t="shared" si="244"/>
        <v>0</v>
      </c>
      <c r="I592" s="337">
        <f t="shared" si="245"/>
        <v>104645.88933384852</v>
      </c>
      <c r="J592" s="340">
        <f t="shared" si="246"/>
        <v>1.5707867707578045</v>
      </c>
      <c r="K592" s="348">
        <f t="shared" si="236"/>
        <v>24.541015807178866</v>
      </c>
      <c r="L592" s="349">
        <f t="shared" si="237"/>
        <v>1.5300369324171779</v>
      </c>
      <c r="M592" s="337">
        <f t="shared" si="247"/>
        <v>1.5649518919117358</v>
      </c>
      <c r="N592" s="340">
        <f t="shared" si="248"/>
        <v>0.87760234290707517</v>
      </c>
      <c r="O592" s="341">
        <f t="shared" si="249"/>
        <v>2.0009296373837473</v>
      </c>
      <c r="P592" s="342">
        <f t="shared" si="250"/>
        <v>1.9424204949798138</v>
      </c>
      <c r="Q592" s="343">
        <f t="shared" si="251"/>
        <v>-17.394698517303691</v>
      </c>
      <c r="R592" s="344">
        <f t="shared" si="252"/>
        <v>-239.86243651981141</v>
      </c>
      <c r="S592" s="346">
        <f t="shared" si="253"/>
        <v>-59.862436519811411</v>
      </c>
      <c r="U592" s="319">
        <f t="shared" si="259"/>
        <v>144540</v>
      </c>
      <c r="V592" s="319">
        <f t="shared" si="260"/>
        <v>20891811600</v>
      </c>
      <c r="X592" s="345">
        <f t="shared" si="254"/>
        <v>21.220611810928141</v>
      </c>
      <c r="Y592" s="346">
        <f t="shared" si="255"/>
        <v>-52.617704152251036</v>
      </c>
      <c r="AA592" s="345">
        <f t="shared" si="256"/>
        <v>23.626193294215184</v>
      </c>
      <c r="AB592" s="346">
        <f t="shared" si="257"/>
        <v>-187.24473236756037</v>
      </c>
      <c r="AD592">
        <f t="shared" si="261"/>
        <v>0</v>
      </c>
      <c r="AE592">
        <f t="shared" si="238"/>
        <v>0</v>
      </c>
    </row>
    <row r="593" spans="1:31" x14ac:dyDescent="0.25">
      <c r="A593" s="347">
        <v>158490</v>
      </c>
      <c r="B593" s="364">
        <f t="shared" si="258"/>
        <v>158.49</v>
      </c>
      <c r="C593" s="337">
        <f t="shared" si="239"/>
        <v>35.865880031076784</v>
      </c>
      <c r="D593" s="338">
        <f t="shared" si="240"/>
        <v>1.5429110606616649</v>
      </c>
      <c r="E593" s="338">
        <f t="shared" si="241"/>
        <v>1.0281632673020897</v>
      </c>
      <c r="F593" s="339">
        <f t="shared" si="242"/>
        <v>0.23459666496358689</v>
      </c>
      <c r="G593" s="338">
        <f t="shared" si="243"/>
        <v>1</v>
      </c>
      <c r="H593" s="339">
        <f t="shared" si="244"/>
        <v>0</v>
      </c>
      <c r="I593" s="337">
        <f t="shared" si="245"/>
        <v>114745.58599968322</v>
      </c>
      <c r="J593" s="340">
        <f t="shared" si="246"/>
        <v>1.570787611862716</v>
      </c>
      <c r="K593" s="348">
        <f t="shared" si="236"/>
        <v>26.905784817622123</v>
      </c>
      <c r="L593" s="349">
        <f t="shared" si="237"/>
        <v>1.5336210361416505</v>
      </c>
      <c r="M593" s="337">
        <f t="shared" si="247"/>
        <v>1.6559835399087401</v>
      </c>
      <c r="N593" s="340">
        <f t="shared" si="248"/>
        <v>0.92244796737953949</v>
      </c>
      <c r="O593" s="341">
        <f t="shared" si="249"/>
        <v>2.3101413970414493</v>
      </c>
      <c r="P593" s="342">
        <f t="shared" si="250"/>
        <v>2.0552825316220305</v>
      </c>
      <c r="Q593" s="343">
        <f t="shared" si="251"/>
        <v>-19.895068831731223</v>
      </c>
      <c r="R593" s="344">
        <f t="shared" si="252"/>
        <v>-247.70177148069411</v>
      </c>
      <c r="S593" s="346">
        <f t="shared" si="253"/>
        <v>-67.701771480694106</v>
      </c>
      <c r="U593" s="319">
        <f t="shared" si="259"/>
        <v>158490</v>
      </c>
      <c r="V593" s="319">
        <f t="shared" si="260"/>
        <v>25119080100</v>
      </c>
      <c r="X593" s="345">
        <f t="shared" si="254"/>
        <v>20.728297613607122</v>
      </c>
      <c r="Y593" s="346">
        <f t="shared" si="255"/>
        <v>-54.981863341865427</v>
      </c>
      <c r="AA593" s="345">
        <f t="shared" si="256"/>
        <v>21.618137177108679</v>
      </c>
      <c r="AB593" s="346">
        <f t="shared" si="257"/>
        <v>-192.71990813882869</v>
      </c>
      <c r="AD593">
        <f t="shared" si="261"/>
        <v>0</v>
      </c>
      <c r="AE593">
        <f t="shared" si="238"/>
        <v>0</v>
      </c>
    </row>
    <row r="594" spans="1:31" x14ac:dyDescent="0.25">
      <c r="A594" s="347">
        <v>173780</v>
      </c>
      <c r="B594" s="364">
        <f t="shared" si="258"/>
        <v>173.78</v>
      </c>
      <c r="C594" s="337">
        <f t="shared" si="239"/>
        <v>39.323396191759024</v>
      </c>
      <c r="D594" s="338">
        <f t="shared" si="240"/>
        <v>1.5453634316141622</v>
      </c>
      <c r="E594" s="338">
        <f t="shared" si="241"/>
        <v>1.0337660922461456</v>
      </c>
      <c r="F594" s="339">
        <f t="shared" si="242"/>
        <v>0.25629109751863338</v>
      </c>
      <c r="G594" s="338">
        <f t="shared" si="243"/>
        <v>1</v>
      </c>
      <c r="H594" s="339">
        <f t="shared" si="244"/>
        <v>0</v>
      </c>
      <c r="I594" s="337">
        <f t="shared" si="245"/>
        <v>125815.43273958964</v>
      </c>
      <c r="J594" s="340">
        <f t="shared" si="246"/>
        <v>1.5707883786443539</v>
      </c>
      <c r="K594" s="348">
        <f t="shared" si="236"/>
        <v>29.498037571663026</v>
      </c>
      <c r="L594" s="349">
        <f t="shared" si="237"/>
        <v>1.5368892698245253</v>
      </c>
      <c r="M594" s="337">
        <f t="shared" si="247"/>
        <v>1.759165447490429</v>
      </c>
      <c r="N594" s="340">
        <f t="shared" si="248"/>
        <v>0.96617404088311787</v>
      </c>
      <c r="O594" s="341">
        <f t="shared" si="249"/>
        <v>2.6947713911712641</v>
      </c>
      <c r="P594" s="342">
        <f t="shared" si="250"/>
        <v>2.1592607242657875</v>
      </c>
      <c r="Q594" s="343">
        <f t="shared" si="251"/>
        <v>-22.510945470334512</v>
      </c>
      <c r="R594" s="344">
        <f t="shared" si="252"/>
        <v>-254.87490157311359</v>
      </c>
      <c r="S594" s="346">
        <f t="shared" si="253"/>
        <v>-74.87490157311359</v>
      </c>
      <c r="U594" s="319">
        <f t="shared" si="259"/>
        <v>173780</v>
      </c>
      <c r="V594" s="319">
        <f t="shared" si="260"/>
        <v>30199488400</v>
      </c>
      <c r="X594" s="345">
        <f t="shared" si="254"/>
        <v>20.202274850223453</v>
      </c>
      <c r="Y594" s="346">
        <f t="shared" si="255"/>
        <v>-57.299970747808551</v>
      </c>
      <c r="AA594" s="345">
        <f t="shared" si="256"/>
        <v>19.528283301889065</v>
      </c>
      <c r="AB594" s="346">
        <f t="shared" si="257"/>
        <v>-197.5749308253051</v>
      </c>
      <c r="AD594">
        <f t="shared" si="261"/>
        <v>0</v>
      </c>
      <c r="AE594">
        <f t="shared" si="238"/>
        <v>0</v>
      </c>
    </row>
    <row r="595" spans="1:31" x14ac:dyDescent="0.25">
      <c r="A595" s="347">
        <v>190550</v>
      </c>
      <c r="B595" s="364">
        <f t="shared" si="258"/>
        <v>190.55</v>
      </c>
      <c r="C595" s="337">
        <f t="shared" si="239"/>
        <v>43.115809850190686</v>
      </c>
      <c r="D595" s="338">
        <f t="shared" si="240"/>
        <v>1.5476008984724388</v>
      </c>
      <c r="E595" s="338">
        <f t="shared" si="241"/>
        <v>1.0404642171144296</v>
      </c>
      <c r="F595" s="339">
        <f t="shared" si="242"/>
        <v>0.27980446111660484</v>
      </c>
      <c r="G595" s="338">
        <f t="shared" si="243"/>
        <v>1</v>
      </c>
      <c r="H595" s="339">
        <f t="shared" si="244"/>
        <v>0</v>
      </c>
      <c r="I595" s="337">
        <f t="shared" si="245"/>
        <v>137956.78851652308</v>
      </c>
      <c r="J595" s="340">
        <f t="shared" si="246"/>
        <v>1.5707890781483402</v>
      </c>
      <c r="K595" s="348">
        <f t="shared" si="236"/>
        <v>32.341509595687796</v>
      </c>
      <c r="L595" s="349">
        <f t="shared" si="237"/>
        <v>1.5398713816600591</v>
      </c>
      <c r="M595" s="337">
        <f t="shared" si="247"/>
        <v>1.8757518893355647</v>
      </c>
      <c r="N595" s="340">
        <f t="shared" si="248"/>
        <v>1.0085127914140593</v>
      </c>
      <c r="O595" s="341">
        <f t="shared" si="249"/>
        <v>3.1692059840541495</v>
      </c>
      <c r="P595" s="342">
        <f t="shared" si="250"/>
        <v>2.254044613581891</v>
      </c>
      <c r="Q595" s="343">
        <f t="shared" si="251"/>
        <v>-25.221343589408988</v>
      </c>
      <c r="R595" s="344">
        <f t="shared" si="252"/>
        <v>-261.34160868730442</v>
      </c>
      <c r="S595" s="346">
        <f t="shared" si="253"/>
        <v>-81.341608687304415</v>
      </c>
      <c r="U595" s="319">
        <f t="shared" si="259"/>
        <v>190550</v>
      </c>
      <c r="V595" s="319">
        <f t="shared" si="260"/>
        <v>36309302500</v>
      </c>
      <c r="X595" s="345">
        <f t="shared" si="254"/>
        <v>19.644060780897664</v>
      </c>
      <c r="Y595" s="346">
        <f t="shared" si="255"/>
        <v>-59.554980122079556</v>
      </c>
      <c r="AA595" s="345">
        <f t="shared" si="256"/>
        <v>17.376099252140378</v>
      </c>
      <c r="AB595" s="346">
        <f t="shared" si="257"/>
        <v>-201.78662856522485</v>
      </c>
      <c r="AD595">
        <f t="shared" si="261"/>
        <v>0</v>
      </c>
      <c r="AE595">
        <f t="shared" si="238"/>
        <v>0</v>
      </c>
    </row>
    <row r="596" spans="1:31" x14ac:dyDescent="0.25">
      <c r="A596" s="347">
        <v>208930</v>
      </c>
      <c r="B596" s="364">
        <f t="shared" si="258"/>
        <v>208.93</v>
      </c>
      <c r="C596" s="337">
        <f t="shared" si="239"/>
        <v>47.272519548696074</v>
      </c>
      <c r="D596" s="338">
        <f t="shared" si="240"/>
        <v>1.5496408096764236</v>
      </c>
      <c r="E596" s="338">
        <f t="shared" si="241"/>
        <v>1.0484570493244094</v>
      </c>
      <c r="F596" s="339">
        <f t="shared" si="242"/>
        <v>0.30521451347556222</v>
      </c>
      <c r="G596" s="338">
        <f t="shared" si="243"/>
        <v>1</v>
      </c>
      <c r="H596" s="339">
        <f t="shared" si="244"/>
        <v>0</v>
      </c>
      <c r="I596" s="337">
        <f t="shared" si="245"/>
        <v>151263.77236751403</v>
      </c>
      <c r="J596" s="340">
        <f t="shared" si="246"/>
        <v>1.5707897158266235</v>
      </c>
      <c r="K596" s="348">
        <f t="shared" si="236"/>
        <v>35.458243326045249</v>
      </c>
      <c r="L596" s="349">
        <f t="shared" si="237"/>
        <v>1.5425904002116901</v>
      </c>
      <c r="M596" s="337">
        <f t="shared" si="247"/>
        <v>2.0069188852217281</v>
      </c>
      <c r="N596" s="340">
        <f t="shared" si="248"/>
        <v>1.049186834513627</v>
      </c>
      <c r="O596" s="341">
        <f t="shared" si="249"/>
        <v>3.7499120541773192</v>
      </c>
      <c r="P596" s="342">
        <f t="shared" si="250"/>
        <v>2.3397331334978109</v>
      </c>
      <c r="Q596" s="343">
        <f t="shared" si="251"/>
        <v>-28.003517029619843</v>
      </c>
      <c r="R596" s="344">
        <f t="shared" si="252"/>
        <v>-267.08688803715586</v>
      </c>
      <c r="S596" s="346">
        <f t="shared" si="253"/>
        <v>-87.086888037155859</v>
      </c>
      <c r="U596" s="319">
        <f t="shared" si="259"/>
        <v>208930</v>
      </c>
      <c r="V596" s="319">
        <f t="shared" si="260"/>
        <v>43651744900</v>
      </c>
      <c r="X596" s="345">
        <f t="shared" si="254"/>
        <v>19.056273784194964</v>
      </c>
      <c r="Y596" s="346">
        <f t="shared" si="255"/>
        <v>-61.729679378751044</v>
      </c>
      <c r="AA596" s="345">
        <f t="shared" si="256"/>
        <v>15.18171280863222</v>
      </c>
      <c r="AB596" s="346">
        <f t="shared" si="257"/>
        <v>-205.35720865840483</v>
      </c>
      <c r="AD596">
        <f t="shared" si="261"/>
        <v>0</v>
      </c>
      <c r="AE596">
        <f t="shared" si="238"/>
        <v>0</v>
      </c>
    </row>
    <row r="597" spans="1:31" x14ac:dyDescent="0.25">
      <c r="A597" s="347">
        <v>229090</v>
      </c>
      <c r="B597" s="364">
        <f t="shared" si="258"/>
        <v>229.09</v>
      </c>
      <c r="C597" s="337">
        <f t="shared" si="239"/>
        <v>51.831971458328006</v>
      </c>
      <c r="D597" s="338">
        <f t="shared" si="240"/>
        <v>1.5515020182896599</v>
      </c>
      <c r="E597" s="338">
        <f t="shared" si="241"/>
        <v>1.0579897551626036</v>
      </c>
      <c r="F597" s="339">
        <f t="shared" si="242"/>
        <v>0.33262419014745948</v>
      </c>
      <c r="G597" s="338">
        <f t="shared" si="243"/>
        <v>1</v>
      </c>
      <c r="H597" s="339">
        <f t="shared" si="244"/>
        <v>0</v>
      </c>
      <c r="I597" s="337">
        <f t="shared" si="245"/>
        <v>165859.46303329524</v>
      </c>
      <c r="J597" s="340">
        <f t="shared" si="246"/>
        <v>1.5707902975941401</v>
      </c>
      <c r="K597" s="348">
        <f t="shared" si="236"/>
        <v>38.877066031014493</v>
      </c>
      <c r="L597" s="349">
        <f t="shared" si="237"/>
        <v>1.5450713838898373</v>
      </c>
      <c r="M597" s="337">
        <f t="shared" si="247"/>
        <v>2.1541154778202509</v>
      </c>
      <c r="N597" s="340">
        <f t="shared" si="248"/>
        <v>1.0880339037375337</v>
      </c>
      <c r="O597" s="341">
        <f t="shared" si="249"/>
        <v>4.4575276224859817</v>
      </c>
      <c r="P597" s="342">
        <f t="shared" si="250"/>
        <v>2.4169030569292218</v>
      </c>
      <c r="Q597" s="343">
        <f t="shared" si="251"/>
        <v>-30.84150389543273</v>
      </c>
      <c r="R597" s="344">
        <f t="shared" si="252"/>
        <v>-272.12823612010504</v>
      </c>
      <c r="S597" s="346">
        <f t="shared" si="253"/>
        <v>-92.128236120105043</v>
      </c>
      <c r="U597" s="319">
        <f t="shared" si="259"/>
        <v>229090</v>
      </c>
      <c r="V597" s="319">
        <f t="shared" si="260"/>
        <v>52482228100</v>
      </c>
      <c r="X597" s="345">
        <f t="shared" si="254"/>
        <v>18.440909319483247</v>
      </c>
      <c r="Y597" s="346">
        <f t="shared" si="255"/>
        <v>-63.813335933139065</v>
      </c>
      <c r="AA597" s="345">
        <f t="shared" si="256"/>
        <v>12.959090407531049</v>
      </c>
      <c r="AB597" s="346">
        <f t="shared" si="257"/>
        <v>-208.31490018696596</v>
      </c>
      <c r="AD597">
        <f t="shared" si="261"/>
        <v>0</v>
      </c>
      <c r="AE597">
        <f t="shared" si="238"/>
        <v>0</v>
      </c>
    </row>
    <row r="598" spans="1:31" x14ac:dyDescent="0.25">
      <c r="A598" s="347">
        <v>251190</v>
      </c>
      <c r="B598" s="364">
        <f t="shared" si="258"/>
        <v>251.19</v>
      </c>
      <c r="C598" s="337">
        <f t="shared" si="239"/>
        <v>56.830351752977897</v>
      </c>
      <c r="D598" s="338">
        <f t="shared" si="240"/>
        <v>1.5531991875743576</v>
      </c>
      <c r="E598" s="338">
        <f t="shared" si="241"/>
        <v>1.0693355542233822</v>
      </c>
      <c r="F598" s="339">
        <f t="shared" si="242"/>
        <v>0.36208541109788761</v>
      </c>
      <c r="G598" s="338">
        <f t="shared" si="243"/>
        <v>1</v>
      </c>
      <c r="H598" s="339">
        <f t="shared" si="244"/>
        <v>0</v>
      </c>
      <c r="I598" s="337">
        <f t="shared" si="245"/>
        <v>181859.69932867453</v>
      </c>
      <c r="J598" s="340">
        <f t="shared" si="246"/>
        <v>1.5707908280505145</v>
      </c>
      <c r="K598" s="348">
        <f t="shared" si="236"/>
        <v>42.625111307817406</v>
      </c>
      <c r="L598" s="349">
        <f t="shared" si="237"/>
        <v>1.5473338249180968</v>
      </c>
      <c r="M598" s="337">
        <f t="shared" si="247"/>
        <v>2.3187114751854003</v>
      </c>
      <c r="N598" s="340">
        <f t="shared" si="248"/>
        <v>1.1248919417342504</v>
      </c>
      <c r="O598" s="341">
        <f t="shared" si="249"/>
        <v>5.3160187219187165</v>
      </c>
      <c r="P598" s="342">
        <f t="shared" si="250"/>
        <v>2.4861981683888645</v>
      </c>
      <c r="Q598" s="343">
        <f t="shared" si="251"/>
        <v>-33.718392502600949</v>
      </c>
      <c r="R598" s="344">
        <f t="shared" si="252"/>
        <v>-276.49000265892539</v>
      </c>
      <c r="S598" s="346">
        <f t="shared" si="253"/>
        <v>-96.490002658925391</v>
      </c>
      <c r="U598" s="319">
        <f t="shared" si="259"/>
        <v>251190</v>
      </c>
      <c r="V598" s="319">
        <f t="shared" si="260"/>
        <v>63096416100</v>
      </c>
      <c r="X598" s="345">
        <f t="shared" si="254"/>
        <v>17.800871321298292</v>
      </c>
      <c r="Y598" s="346">
        <f t="shared" si="255"/>
        <v>-65.795548024343717</v>
      </c>
      <c r="AA598" s="345">
        <f t="shared" si="256"/>
        <v>10.722239798547788</v>
      </c>
      <c r="AB598" s="346">
        <f t="shared" si="257"/>
        <v>-210.69445463458166</v>
      </c>
      <c r="AD598">
        <f t="shared" si="261"/>
        <v>0</v>
      </c>
      <c r="AE598">
        <f t="shared" si="238"/>
        <v>0</v>
      </c>
    </row>
    <row r="599" spans="1:31" x14ac:dyDescent="0.25">
      <c r="A599" s="347">
        <v>275420</v>
      </c>
      <c r="B599" s="364">
        <f t="shared" si="258"/>
        <v>275.42</v>
      </c>
      <c r="C599" s="337">
        <f t="shared" si="239"/>
        <v>62.310632876015092</v>
      </c>
      <c r="D599" s="338">
        <f t="shared" si="240"/>
        <v>1.5547470124930889</v>
      </c>
      <c r="E599" s="338">
        <f t="shared" si="241"/>
        <v>1.0828174693131067</v>
      </c>
      <c r="F599" s="339">
        <f t="shared" si="242"/>
        <v>0.39364616467134628</v>
      </c>
      <c r="G599" s="338">
        <f t="shared" si="243"/>
        <v>1</v>
      </c>
      <c r="H599" s="339">
        <f t="shared" si="244"/>
        <v>0</v>
      </c>
      <c r="I599" s="337">
        <f t="shared" si="245"/>
        <v>199402.03984623656</v>
      </c>
      <c r="J599" s="340">
        <f t="shared" si="246"/>
        <v>1.5707913118010641</v>
      </c>
      <c r="K599" s="348">
        <f t="shared" ref="K599:K613" si="262">SQRT(1+(A599/Zero2)^2)</f>
        <v>46.734602109646978</v>
      </c>
      <c r="L599" s="349">
        <f t="shared" ref="L599:L613" si="263">ATAN(A599/Zero2)</f>
        <v>1.5493972717294988</v>
      </c>
      <c r="M599" s="337">
        <f t="shared" si="247"/>
        <v>2.5022891719356624</v>
      </c>
      <c r="N599" s="340">
        <f t="shared" si="248"/>
        <v>1.1596787109790381</v>
      </c>
      <c r="O599" s="341">
        <f t="shared" si="249"/>
        <v>6.3548162850655716</v>
      </c>
      <c r="P599" s="342">
        <f t="shared" si="250"/>
        <v>2.5483844833715024</v>
      </c>
      <c r="Q599" s="343">
        <f t="shared" si="251"/>
        <v>-36.621751687558316</v>
      </c>
      <c r="R599" s="344">
        <f t="shared" si="252"/>
        <v>-280.20833789635088</v>
      </c>
      <c r="S599" s="346">
        <f t="shared" si="253"/>
        <v>-100.20833789635088</v>
      </c>
      <c r="U599" s="319">
        <f t="shared" si="259"/>
        <v>275420</v>
      </c>
      <c r="V599" s="319">
        <f t="shared" si="260"/>
        <v>75856176400</v>
      </c>
      <c r="X599" s="345">
        <f t="shared" si="254"/>
        <v>17.138653524027557</v>
      </c>
      <c r="Y599" s="346">
        <f t="shared" si="255"/>
        <v>-67.670484010429732</v>
      </c>
      <c r="AA599" s="345">
        <f t="shared" si="256"/>
        <v>8.4810984108611507</v>
      </c>
      <c r="AB599" s="346">
        <f t="shared" si="257"/>
        <v>-212.53785388592124</v>
      </c>
      <c r="AD599">
        <f t="shared" si="261"/>
        <v>0</v>
      </c>
      <c r="AE599">
        <f t="shared" si="238"/>
        <v>0</v>
      </c>
    </row>
    <row r="600" spans="1:31" x14ac:dyDescent="0.25">
      <c r="A600" s="347">
        <v>302000</v>
      </c>
      <c r="B600" s="364">
        <f t="shared" si="258"/>
        <v>302</v>
      </c>
      <c r="C600" s="337">
        <f t="shared" si="239"/>
        <v>68.322573973168986</v>
      </c>
      <c r="D600" s="338">
        <f t="shared" si="240"/>
        <v>1.5561593532505795</v>
      </c>
      <c r="E600" s="338">
        <f t="shared" si="241"/>
        <v>1.0988147980616452</v>
      </c>
      <c r="F600" s="339">
        <f t="shared" si="242"/>
        <v>0.42733984950344089</v>
      </c>
      <c r="G600" s="338">
        <f t="shared" si="243"/>
        <v>1</v>
      </c>
      <c r="H600" s="339">
        <f t="shared" si="244"/>
        <v>0</v>
      </c>
      <c r="I600" s="337">
        <f t="shared" si="245"/>
        <v>218645.76295634307</v>
      </c>
      <c r="J600" s="340">
        <f t="shared" si="246"/>
        <v>1.5707917531869451</v>
      </c>
      <c r="K600" s="348">
        <f t="shared" si="262"/>
        <v>51.242851323958412</v>
      </c>
      <c r="L600" s="349">
        <f t="shared" si="263"/>
        <v>1.551280170745025</v>
      </c>
      <c r="M600" s="337">
        <f t="shared" si="247"/>
        <v>2.7066565428852711</v>
      </c>
      <c r="N600" s="340">
        <f t="shared" si="248"/>
        <v>1.19236901652315</v>
      </c>
      <c r="O600" s="341">
        <f t="shared" si="249"/>
        <v>7.6100470633042008</v>
      </c>
      <c r="P600" s="342">
        <f t="shared" si="250"/>
        <v>2.6042354070690914</v>
      </c>
      <c r="Q600" s="343">
        <f t="shared" si="251"/>
        <v>-39.542342464989467</v>
      </c>
      <c r="R600" s="344">
        <f t="shared" si="252"/>
        <v>-283.32393499858551</v>
      </c>
      <c r="S600" s="346">
        <f t="shared" si="253"/>
        <v>-103.32393499858551</v>
      </c>
      <c r="U600" s="319">
        <f t="shared" si="259"/>
        <v>302000</v>
      </c>
      <c r="V600" s="319">
        <f t="shared" si="260"/>
        <v>91204000000</v>
      </c>
      <c r="X600" s="345">
        <f t="shared" si="254"/>
        <v>16.456405830043636</v>
      </c>
      <c r="Y600" s="346">
        <f t="shared" si="255"/>
        <v>-69.435643673826561</v>
      </c>
      <c r="AA600" s="345">
        <f t="shared" si="256"/>
        <v>6.2427553274139207</v>
      </c>
      <c r="AB600" s="346">
        <f t="shared" si="257"/>
        <v>-213.88829132475888</v>
      </c>
      <c r="AD600">
        <f t="shared" si="261"/>
        <v>0</v>
      </c>
      <c r="AE600">
        <f t="shared" si="238"/>
        <v>0</v>
      </c>
    </row>
    <row r="601" spans="1:31" x14ac:dyDescent="0.25">
      <c r="A601" s="347">
        <v>331130</v>
      </c>
      <c r="B601" s="364">
        <f t="shared" si="258"/>
        <v>331.13</v>
      </c>
      <c r="C601" s="337">
        <f t="shared" si="239"/>
        <v>74.911411622526245</v>
      </c>
      <c r="D601" s="338">
        <f t="shared" si="240"/>
        <v>1.5574468292954964</v>
      </c>
      <c r="E601" s="338">
        <f t="shared" si="241"/>
        <v>1.1177355328829879</v>
      </c>
      <c r="F601" s="339">
        <f t="shared" si="242"/>
        <v>0.46311328683035285</v>
      </c>
      <c r="G601" s="338">
        <f t="shared" si="243"/>
        <v>1</v>
      </c>
      <c r="H601" s="339">
        <f t="shared" si="244"/>
        <v>0</v>
      </c>
      <c r="I601" s="337">
        <f t="shared" si="245"/>
        <v>239735.66717750501</v>
      </c>
      <c r="J601" s="340">
        <f t="shared" si="246"/>
        <v>1.5707921555340585</v>
      </c>
      <c r="K601" s="348">
        <f t="shared" si="262"/>
        <v>56.183781076879932</v>
      </c>
      <c r="L601" s="349">
        <f t="shared" si="263"/>
        <v>1.5529966560091799</v>
      </c>
      <c r="M601" s="337">
        <f t="shared" si="247"/>
        <v>2.9334651306996271</v>
      </c>
      <c r="N601" s="340">
        <f t="shared" si="248"/>
        <v>1.2229288722711114</v>
      </c>
      <c r="O601" s="341">
        <f t="shared" si="249"/>
        <v>9.123250687688703</v>
      </c>
      <c r="P601" s="342">
        <f t="shared" si="250"/>
        <v>2.6543943903608036</v>
      </c>
      <c r="Q601" s="343">
        <f t="shared" si="251"/>
        <v>-42.468205664145174</v>
      </c>
      <c r="R601" s="344">
        <f t="shared" si="252"/>
        <v>-285.87455946331823</v>
      </c>
      <c r="S601" s="346">
        <f t="shared" si="253"/>
        <v>-105.87455946331823</v>
      </c>
      <c r="U601" s="319">
        <f t="shared" si="259"/>
        <v>331130</v>
      </c>
      <c r="V601" s="319">
        <f t="shared" si="260"/>
        <v>109647076900</v>
      </c>
      <c r="X601" s="345">
        <f t="shared" si="254"/>
        <v>15.757172020677459</v>
      </c>
      <c r="Y601" s="346">
        <f t="shared" si="255"/>
        <v>-71.0882701241608</v>
      </c>
      <c r="AA601" s="345">
        <f t="shared" si="256"/>
        <v>4.0161259376243912</v>
      </c>
      <c r="AB601" s="346">
        <f t="shared" si="257"/>
        <v>-214.78628933915746</v>
      </c>
      <c r="AD601">
        <f t="shared" si="261"/>
        <v>0</v>
      </c>
      <c r="AE601">
        <f t="shared" si="238"/>
        <v>0</v>
      </c>
    </row>
    <row r="602" spans="1:31" x14ac:dyDescent="0.25">
      <c r="A602" s="347">
        <v>363080</v>
      </c>
      <c r="B602" s="364">
        <f t="shared" si="258"/>
        <v>363.08</v>
      </c>
      <c r="C602" s="337">
        <f t="shared" si="239"/>
        <v>82.138216382172857</v>
      </c>
      <c r="D602" s="338">
        <f t="shared" si="240"/>
        <v>1.558621425157402</v>
      </c>
      <c r="E602" s="338">
        <f t="shared" si="241"/>
        <v>1.1400741668762198</v>
      </c>
      <c r="F602" s="339">
        <f t="shared" si="242"/>
        <v>0.50093083192957866</v>
      </c>
      <c r="G602" s="338">
        <f t="shared" si="243"/>
        <v>1</v>
      </c>
      <c r="H602" s="339">
        <f t="shared" si="244"/>
        <v>0</v>
      </c>
      <c r="I602" s="337">
        <f t="shared" si="245"/>
        <v>262867.23050971254</v>
      </c>
      <c r="J602" s="340">
        <f t="shared" si="246"/>
        <v>1.5707925225930641</v>
      </c>
      <c r="K602" s="348">
        <f t="shared" si="262"/>
        <v>61.603187803395954</v>
      </c>
      <c r="L602" s="349">
        <f t="shared" si="263"/>
        <v>1.5545626876140444</v>
      </c>
      <c r="M602" s="337">
        <f t="shared" si="247"/>
        <v>3.184908575793397</v>
      </c>
      <c r="N602" s="340">
        <f t="shared" si="248"/>
        <v>1.2514133976623814</v>
      </c>
      <c r="O602" s="341">
        <f t="shared" si="249"/>
        <v>10.947108926850564</v>
      </c>
      <c r="P602" s="342">
        <f t="shared" si="250"/>
        <v>2.6995351963197347</v>
      </c>
      <c r="Q602" s="343">
        <f t="shared" si="251"/>
        <v>-45.393819360137456</v>
      </c>
      <c r="R602" s="344">
        <f t="shared" si="252"/>
        <v>-287.90378790643416</v>
      </c>
      <c r="S602" s="346">
        <f t="shared" si="253"/>
        <v>-107.90378790643416</v>
      </c>
      <c r="U602" s="319">
        <f t="shared" si="259"/>
        <v>363080</v>
      </c>
      <c r="V602" s="319">
        <f t="shared" si="260"/>
        <v>131827086400</v>
      </c>
      <c r="X602" s="345">
        <f t="shared" si="254"/>
        <v>15.042619731479089</v>
      </c>
      <c r="Y602" s="346">
        <f t="shared" si="255"/>
        <v>-72.630607241665203</v>
      </c>
      <c r="AA602" s="345">
        <f t="shared" si="256"/>
        <v>1.8050645308304836</v>
      </c>
      <c r="AB602" s="346">
        <f t="shared" si="257"/>
        <v>-215.273180664769</v>
      </c>
      <c r="AD602">
        <f t="shared" si="261"/>
        <v>0</v>
      </c>
      <c r="AE602">
        <f t="shared" ref="AE602:AE613" si="264">IF(AD602&gt;0,S602,0)</f>
        <v>0</v>
      </c>
    </row>
    <row r="603" spans="1:31" x14ac:dyDescent="0.25">
      <c r="A603" s="347">
        <v>398110</v>
      </c>
      <c r="B603" s="364">
        <f t="shared" si="258"/>
        <v>398.11</v>
      </c>
      <c r="C603" s="337">
        <f t="shared" si="239"/>
        <v>90.061797973123149</v>
      </c>
      <c r="D603" s="338">
        <f t="shared" si="240"/>
        <v>1.5596926116620686</v>
      </c>
      <c r="E603" s="338">
        <f t="shared" si="241"/>
        <v>1.1663631492190289</v>
      </c>
      <c r="F603" s="339">
        <f t="shared" si="242"/>
        <v>0.54066632837327666</v>
      </c>
      <c r="G603" s="338">
        <f t="shared" si="243"/>
        <v>1</v>
      </c>
      <c r="H603" s="339">
        <f t="shared" si="244"/>
        <v>0</v>
      </c>
      <c r="I603" s="337">
        <f t="shared" si="245"/>
        <v>288228.69102703052</v>
      </c>
      <c r="J603" s="340">
        <f t="shared" si="246"/>
        <v>1.5707928573276606</v>
      </c>
      <c r="K603" s="348">
        <f t="shared" si="262"/>
        <v>67.54517315326207</v>
      </c>
      <c r="L603" s="349">
        <f t="shared" si="263"/>
        <v>1.5559908790064578</v>
      </c>
      <c r="M603" s="337">
        <f t="shared" si="247"/>
        <v>3.4631076812589554</v>
      </c>
      <c r="N603" s="340">
        <f t="shared" si="248"/>
        <v>1.2778670182682035</v>
      </c>
      <c r="O603" s="341">
        <f t="shared" si="249"/>
        <v>13.143113871954956</v>
      </c>
      <c r="P603" s="342">
        <f t="shared" si="250"/>
        <v>2.7402013788009891</v>
      </c>
      <c r="Q603" s="343">
        <f t="shared" si="251"/>
        <v>-48.31126223073894</v>
      </c>
      <c r="R603" s="344">
        <f t="shared" si="252"/>
        <v>-289.45235740930758</v>
      </c>
      <c r="S603" s="346">
        <f t="shared" si="253"/>
        <v>-109.45235740930758</v>
      </c>
      <c r="U603" s="319">
        <f t="shared" si="259"/>
        <v>398110</v>
      </c>
      <c r="V603" s="319">
        <f t="shared" si="260"/>
        <v>158491572100</v>
      </c>
      <c r="X603" s="345">
        <f t="shared" si="254"/>
        <v>14.315046686313151</v>
      </c>
      <c r="Y603" s="346">
        <f t="shared" si="255"/>
        <v>-74.064477896614974</v>
      </c>
      <c r="AA603" s="345">
        <f t="shared" si="256"/>
        <v>-0.38480529460506263</v>
      </c>
      <c r="AB603" s="346">
        <f t="shared" si="257"/>
        <v>-215.38787951269256</v>
      </c>
      <c r="AD603">
        <f t="shared" si="261"/>
        <v>0</v>
      </c>
      <c r="AE603">
        <f t="shared" si="264"/>
        <v>0</v>
      </c>
    </row>
    <row r="604" spans="1:31" x14ac:dyDescent="0.25">
      <c r="A604" s="347">
        <v>436520</v>
      </c>
      <c r="B604" s="364">
        <f t="shared" si="258"/>
        <v>436.52</v>
      </c>
      <c r="C604" s="337">
        <f t="shared" si="239"/>
        <v>98.750014638364775</v>
      </c>
      <c r="D604" s="338">
        <f t="shared" si="240"/>
        <v>1.5606695729334013</v>
      </c>
      <c r="E604" s="338">
        <f t="shared" si="241"/>
        <v>1.1972058381931028</v>
      </c>
      <c r="F604" s="339">
        <f t="shared" si="242"/>
        <v>0.58215766413371084</v>
      </c>
      <c r="G604" s="338">
        <f t="shared" si="243"/>
        <v>1</v>
      </c>
      <c r="H604" s="339">
        <f t="shared" si="244"/>
        <v>0</v>
      </c>
      <c r="I604" s="337">
        <f t="shared" si="245"/>
        <v>316037.24650722661</v>
      </c>
      <c r="J604" s="340">
        <f t="shared" si="246"/>
        <v>1.5707931626108929</v>
      </c>
      <c r="K604" s="348">
        <f t="shared" si="262"/>
        <v>74.060624806741558</v>
      </c>
      <c r="L604" s="349">
        <f t="shared" si="263"/>
        <v>1.5572934649012002</v>
      </c>
      <c r="M604" s="337">
        <f t="shared" si="247"/>
        <v>3.7705033450621994</v>
      </c>
      <c r="N604" s="340">
        <f t="shared" si="248"/>
        <v>1.3023677879356224</v>
      </c>
      <c r="O604" s="341">
        <f t="shared" si="249"/>
        <v>15.786154275268114</v>
      </c>
      <c r="P604" s="342">
        <f t="shared" si="250"/>
        <v>2.7768923607331857</v>
      </c>
      <c r="Q604" s="343">
        <f t="shared" si="251"/>
        <v>-51.214880913818931</v>
      </c>
      <c r="R604" s="344">
        <f t="shared" si="252"/>
        <v>-290.56246866762763</v>
      </c>
      <c r="S604" s="346">
        <f t="shared" si="253"/>
        <v>-110.56246866762763</v>
      </c>
      <c r="U604" s="319">
        <f t="shared" si="259"/>
        <v>436520</v>
      </c>
      <c r="V604" s="319">
        <f t="shared" si="260"/>
        <v>190549710400</v>
      </c>
      <c r="X604" s="345">
        <f t="shared" si="254"/>
        <v>13.576219838229289</v>
      </c>
      <c r="Y604" s="346">
        <f t="shared" si="255"/>
        <v>-75.393653412117786</v>
      </c>
      <c r="AA604" s="345">
        <f t="shared" si="256"/>
        <v>-2.5495971296011972</v>
      </c>
      <c r="AB604" s="346">
        <f t="shared" si="257"/>
        <v>-215.16881525550986</v>
      </c>
      <c r="AD604">
        <f t="shared" si="261"/>
        <v>0</v>
      </c>
      <c r="AE604">
        <f t="shared" si="264"/>
        <v>0</v>
      </c>
    </row>
    <row r="605" spans="1:31" x14ac:dyDescent="0.25">
      <c r="A605" s="347">
        <v>478630</v>
      </c>
      <c r="B605" s="364">
        <f t="shared" si="258"/>
        <v>478.63</v>
      </c>
      <c r="C605" s="337">
        <f t="shared" si="239"/>
        <v>108.2752493196521</v>
      </c>
      <c r="D605" s="338">
        <f t="shared" si="240"/>
        <v>1.561560474434794</v>
      </c>
      <c r="E605" s="338">
        <f t="shared" si="241"/>
        <v>1.233261212358862</v>
      </c>
      <c r="F605" s="339">
        <f t="shared" si="242"/>
        <v>0.62517925146448261</v>
      </c>
      <c r="G605" s="338">
        <f t="shared" si="243"/>
        <v>1</v>
      </c>
      <c r="H605" s="339">
        <f t="shared" si="244"/>
        <v>0</v>
      </c>
      <c r="I605" s="337">
        <f t="shared" si="245"/>
        <v>346524.57457991957</v>
      </c>
      <c r="J605" s="340">
        <f t="shared" si="246"/>
        <v>1.5707934409966782</v>
      </c>
      <c r="K605" s="348">
        <f t="shared" si="262"/>
        <v>81.203824042706742</v>
      </c>
      <c r="L605" s="349">
        <f t="shared" si="263"/>
        <v>1.5584813245301252</v>
      </c>
      <c r="M605" s="337">
        <f t="shared" si="247"/>
        <v>4.1097023443833072</v>
      </c>
      <c r="N605" s="340">
        <f t="shared" si="248"/>
        <v>1.325002236666841</v>
      </c>
      <c r="O605" s="341">
        <f t="shared" si="249"/>
        <v>18.965704329221619</v>
      </c>
      <c r="P605" s="342">
        <f t="shared" si="250"/>
        <v>2.8100379943002638</v>
      </c>
      <c r="Q605" s="343">
        <f t="shared" si="251"/>
        <v>-54.099203067621545</v>
      </c>
      <c r="R605" s="344">
        <f t="shared" si="252"/>
        <v>-291.27647808595253</v>
      </c>
      <c r="S605" s="346">
        <f t="shared" si="253"/>
        <v>-111.27647808595253</v>
      </c>
      <c r="U605" s="319">
        <f t="shared" si="259"/>
        <v>478630</v>
      </c>
      <c r="V605" s="319">
        <f t="shared" si="260"/>
        <v>229086676900</v>
      </c>
      <c r="X605" s="345">
        <f t="shared" si="254"/>
        <v>12.827865886997403</v>
      </c>
      <c r="Y605" s="346">
        <f t="shared" si="255"/>
        <v>-76.622468404365179</v>
      </c>
      <c r="AA605" s="345">
        <f t="shared" si="256"/>
        <v>-4.6855653321719268</v>
      </c>
      <c r="AB605" s="346">
        <f t="shared" si="257"/>
        <v>-214.65400968158727</v>
      </c>
      <c r="AD605">
        <f t="shared" si="261"/>
        <v>0</v>
      </c>
      <c r="AE605">
        <f t="shared" si="264"/>
        <v>0</v>
      </c>
    </row>
    <row r="606" spans="1:31" x14ac:dyDescent="0.25">
      <c r="A606" s="347">
        <v>524810</v>
      </c>
      <c r="B606" s="364">
        <f t="shared" si="258"/>
        <v>524.80999999999995</v>
      </c>
      <c r="C606" s="337">
        <f t="shared" si="239"/>
        <v>118.72119560683386</v>
      </c>
      <c r="D606" s="338">
        <f t="shared" si="240"/>
        <v>1.5623731314250799</v>
      </c>
      <c r="E606" s="338">
        <f t="shared" si="241"/>
        <v>1.2752669462324069</v>
      </c>
      <c r="F606" s="339">
        <f t="shared" si="242"/>
        <v>0.66947182079553103</v>
      </c>
      <c r="G606" s="338">
        <f t="shared" si="243"/>
        <v>1</v>
      </c>
      <c r="H606" s="339">
        <f t="shared" si="244"/>
        <v>0</v>
      </c>
      <c r="I606" s="337">
        <f t="shared" si="245"/>
        <v>379958.55250435648</v>
      </c>
      <c r="J606" s="340">
        <f t="shared" si="246"/>
        <v>1.5707936949288854</v>
      </c>
      <c r="K606" s="348">
        <f t="shared" si="262"/>
        <v>89.037534673223632</v>
      </c>
      <c r="L606" s="349">
        <f t="shared" si="263"/>
        <v>1.5595648722376527</v>
      </c>
      <c r="M606" s="337">
        <f t="shared" si="247"/>
        <v>4.483721376499429</v>
      </c>
      <c r="N606" s="340">
        <f t="shared" si="248"/>
        <v>1.3458756645587664</v>
      </c>
      <c r="O606" s="341">
        <f t="shared" si="249"/>
        <v>22.790929700573486</v>
      </c>
      <c r="P606" s="342">
        <f t="shared" si="250"/>
        <v>2.8400278681237796</v>
      </c>
      <c r="Q606" s="343">
        <f t="shared" si="251"/>
        <v>-56.96080094427748</v>
      </c>
      <c r="R606" s="344">
        <f t="shared" si="252"/>
        <v>-291.63744697473714</v>
      </c>
      <c r="S606" s="346">
        <f t="shared" si="253"/>
        <v>-111.63744697473714</v>
      </c>
      <c r="U606" s="319">
        <f t="shared" si="259"/>
        <v>524810</v>
      </c>
      <c r="V606" s="319">
        <f t="shared" si="260"/>
        <v>275425536100</v>
      </c>
      <c r="X606" s="345">
        <f t="shared" si="254"/>
        <v>12.071190095699205</v>
      </c>
      <c r="Y606" s="346">
        <f t="shared" si="255"/>
        <v>-77.756359566540183</v>
      </c>
      <c r="AA606" s="345">
        <f t="shared" si="256"/>
        <v>-6.7904874175296559</v>
      </c>
      <c r="AB606" s="346">
        <f t="shared" si="257"/>
        <v>-213.88108740819698</v>
      </c>
      <c r="AD606">
        <f t="shared" si="261"/>
        <v>0</v>
      </c>
      <c r="AE606">
        <f t="shared" si="264"/>
        <v>0</v>
      </c>
    </row>
    <row r="607" spans="1:31" x14ac:dyDescent="0.25">
      <c r="A607" s="347">
        <v>575440</v>
      </c>
      <c r="B607" s="364">
        <f t="shared" si="258"/>
        <v>575.44000000000005</v>
      </c>
      <c r="C607" s="337">
        <f t="shared" si="239"/>
        <v>130.17380975688155</v>
      </c>
      <c r="D607" s="338">
        <f t="shared" si="240"/>
        <v>1.5631142144118926</v>
      </c>
      <c r="E607" s="338">
        <f t="shared" si="241"/>
        <v>1.324000772485709</v>
      </c>
      <c r="F607" s="339">
        <f t="shared" si="242"/>
        <v>0.71470507186202892</v>
      </c>
      <c r="G607" s="338">
        <f t="shared" si="243"/>
        <v>1</v>
      </c>
      <c r="H607" s="339">
        <f t="shared" si="244"/>
        <v>0</v>
      </c>
      <c r="I607" s="337">
        <f t="shared" si="245"/>
        <v>416614.29746571055</v>
      </c>
      <c r="J607" s="340">
        <f t="shared" si="246"/>
        <v>1.570793926493212</v>
      </c>
      <c r="K607" s="348">
        <f t="shared" si="262"/>
        <v>97.626217733252759</v>
      </c>
      <c r="L607" s="349">
        <f t="shared" si="263"/>
        <v>1.5605529975841033</v>
      </c>
      <c r="M607" s="337">
        <f t="shared" si="247"/>
        <v>4.8956665298610131</v>
      </c>
      <c r="N607" s="340">
        <f t="shared" si="248"/>
        <v>1.3650862893760749</v>
      </c>
      <c r="O607" s="341">
        <f t="shared" si="249"/>
        <v>27.39101433244759</v>
      </c>
      <c r="P607" s="342">
        <f t="shared" si="250"/>
        <v>2.8671864482583507</v>
      </c>
      <c r="Q607" s="343">
        <f t="shared" si="251"/>
        <v>-59.795443164971608</v>
      </c>
      <c r="R607" s="344">
        <f t="shared" si="252"/>
        <v>-291.68839112123953</v>
      </c>
      <c r="S607" s="346">
        <f t="shared" si="253"/>
        <v>-111.68839112123953</v>
      </c>
      <c r="U607" s="319">
        <f t="shared" si="259"/>
        <v>575440</v>
      </c>
      <c r="V607" s="319">
        <f t="shared" si="260"/>
        <v>331131193600</v>
      </c>
      <c r="X607" s="345">
        <f t="shared" si="254"/>
        <v>11.307633719775289</v>
      </c>
      <c r="Y607" s="346">
        <f t="shared" si="255"/>
        <v>-78.800445147251352</v>
      </c>
      <c r="AA607" s="345">
        <f t="shared" si="256"/>
        <v>-8.8615732622998706</v>
      </c>
      <c r="AB607" s="346">
        <f t="shared" si="257"/>
        <v>-212.88794597398822</v>
      </c>
      <c r="AD607">
        <f t="shared" si="261"/>
        <v>0</v>
      </c>
      <c r="AE607">
        <f t="shared" si="264"/>
        <v>0</v>
      </c>
    </row>
    <row r="608" spans="1:31" x14ac:dyDescent="0.25">
      <c r="A608" s="347">
        <v>630960</v>
      </c>
      <c r="B608" s="364">
        <f t="shared" si="258"/>
        <v>630.96</v>
      </c>
      <c r="C608" s="337">
        <f t="shared" si="239"/>
        <v>142.73262070986621</v>
      </c>
      <c r="D608" s="338">
        <f t="shared" si="240"/>
        <v>1.5637901625688801</v>
      </c>
      <c r="E608" s="338">
        <f t="shared" si="241"/>
        <v>1.3803210304770877</v>
      </c>
      <c r="F608" s="339">
        <f t="shared" si="242"/>
        <v>0.76053236941470237</v>
      </c>
      <c r="G608" s="338">
        <f t="shared" si="243"/>
        <v>1</v>
      </c>
      <c r="H608" s="339">
        <f t="shared" si="244"/>
        <v>0</v>
      </c>
      <c r="I608" s="337">
        <f t="shared" si="245"/>
        <v>456810.36620470823</v>
      </c>
      <c r="J608" s="340">
        <f t="shared" si="246"/>
        <v>1.5707941377027175</v>
      </c>
      <c r="K608" s="348">
        <f t="shared" si="262"/>
        <v>107.04451317191867</v>
      </c>
      <c r="L608" s="349">
        <f t="shared" si="263"/>
        <v>1.5614542828531126</v>
      </c>
      <c r="M608" s="337">
        <f t="shared" si="247"/>
        <v>5.3491397308930893</v>
      </c>
      <c r="N608" s="340">
        <f t="shared" si="248"/>
        <v>1.3827439656543929</v>
      </c>
      <c r="O608" s="341">
        <f t="shared" si="249"/>
        <v>32.92342612770554</v>
      </c>
      <c r="P608" s="342">
        <f t="shared" si="250"/>
        <v>2.8918112094063835</v>
      </c>
      <c r="Q608" s="343">
        <f t="shared" si="251"/>
        <v>-62.601055444717495</v>
      </c>
      <c r="R608" s="344">
        <f t="shared" si="252"/>
        <v>-291.47238683271701</v>
      </c>
      <c r="S608" s="346">
        <f t="shared" si="253"/>
        <v>-111.47238683271701</v>
      </c>
      <c r="U608" s="319">
        <f t="shared" si="259"/>
        <v>630960</v>
      </c>
      <c r="V608" s="319">
        <f t="shared" si="260"/>
        <v>398110521600</v>
      </c>
      <c r="X608" s="345">
        <f t="shared" si="254"/>
        <v>10.53811476118206</v>
      </c>
      <c r="Y608" s="346">
        <f t="shared" si="255"/>
        <v>-79.76052773446601</v>
      </c>
      <c r="AA608" s="345">
        <f t="shared" si="256"/>
        <v>-10.897666583452528</v>
      </c>
      <c r="AB608" s="346">
        <f t="shared" si="257"/>
        <v>-211.71185909825098</v>
      </c>
      <c r="AD608">
        <f t="shared" si="261"/>
        <v>0</v>
      </c>
      <c r="AE608">
        <f t="shared" si="264"/>
        <v>0</v>
      </c>
    </row>
    <row r="609" spans="1:31" x14ac:dyDescent="0.25">
      <c r="A609" s="347">
        <v>691830</v>
      </c>
      <c r="B609" s="364">
        <f t="shared" si="258"/>
        <v>691.83</v>
      </c>
      <c r="C609" s="337">
        <f t="shared" si="239"/>
        <v>156.50168201478846</v>
      </c>
      <c r="D609" s="338">
        <f t="shared" si="240"/>
        <v>1.564406575630702</v>
      </c>
      <c r="E609" s="338">
        <f t="shared" si="241"/>
        <v>1.4451232202136071</v>
      </c>
      <c r="F609" s="339">
        <f t="shared" si="242"/>
        <v>0.80656468419534355</v>
      </c>
      <c r="G609" s="338">
        <f t="shared" si="243"/>
        <v>1</v>
      </c>
      <c r="H609" s="339">
        <f t="shared" si="244"/>
        <v>0</v>
      </c>
      <c r="I609" s="337">
        <f t="shared" si="245"/>
        <v>500879.79531392787</v>
      </c>
      <c r="J609" s="340">
        <f t="shared" si="246"/>
        <v>1.5707943303078964</v>
      </c>
      <c r="K609" s="348">
        <f t="shared" si="262"/>
        <v>117.37045441786832</v>
      </c>
      <c r="L609" s="349">
        <f t="shared" si="263"/>
        <v>1.5622761919462647</v>
      </c>
      <c r="M609" s="337">
        <f t="shared" si="247"/>
        <v>5.8479150909234514</v>
      </c>
      <c r="N609" s="340">
        <f t="shared" si="248"/>
        <v>1.3989506662114199</v>
      </c>
      <c r="O609" s="341">
        <f t="shared" si="249"/>
        <v>39.575271097953831</v>
      </c>
      <c r="P609" s="342">
        <f t="shared" si="250"/>
        <v>2.9141540748240007</v>
      </c>
      <c r="Q609" s="343">
        <f t="shared" si="251"/>
        <v>-65.375258927844953</v>
      </c>
      <c r="R609" s="344">
        <f t="shared" si="252"/>
        <v>-291.03189388663543</v>
      </c>
      <c r="S609" s="346">
        <f t="shared" si="253"/>
        <v>-111.03189388663543</v>
      </c>
      <c r="U609" s="319">
        <f t="shared" si="259"/>
        <v>691830</v>
      </c>
      <c r="V609" s="319">
        <f t="shared" si="260"/>
        <v>478628748900</v>
      </c>
      <c r="X609" s="345">
        <f t="shared" si="254"/>
        <v>9.7637086903571095</v>
      </c>
      <c r="Y609" s="346">
        <f t="shared" si="255"/>
        <v>-80.642022390506057</v>
      </c>
      <c r="AA609" s="345">
        <f t="shared" si="256"/>
        <v>-12.897463995755027</v>
      </c>
      <c r="AB609" s="346">
        <f t="shared" si="257"/>
        <v>-210.38987149612936</v>
      </c>
      <c r="AD609">
        <f t="shared" si="261"/>
        <v>0</v>
      </c>
      <c r="AE609">
        <f t="shared" si="264"/>
        <v>0</v>
      </c>
    </row>
    <row r="610" spans="1:31" s="627" customFormat="1" ht="13" x14ac:dyDescent="0.3">
      <c r="A610" s="629">
        <v>758580</v>
      </c>
      <c r="B610" s="630">
        <f t="shared" si="258"/>
        <v>758.58</v>
      </c>
      <c r="C610" s="621">
        <f t="shared" si="239"/>
        <v>171.60088200026701</v>
      </c>
      <c r="D610" s="618">
        <f t="shared" si="240"/>
        <v>1.564968817936303</v>
      </c>
      <c r="E610" s="618">
        <f t="shared" si="241"/>
        <v>1.5193860446309271</v>
      </c>
      <c r="F610" s="619">
        <f t="shared" si="242"/>
        <v>0.8524233694323472</v>
      </c>
      <c r="G610" s="618">
        <f t="shared" si="243"/>
        <v>1</v>
      </c>
      <c r="H610" s="619">
        <f t="shared" si="244"/>
        <v>0</v>
      </c>
      <c r="I610" s="621">
        <f t="shared" si="245"/>
        <v>549206.30086742691</v>
      </c>
      <c r="J610" s="622">
        <f t="shared" si="246"/>
        <v>1.5707945059854878</v>
      </c>
      <c r="K610" s="616">
        <f t="shared" si="262"/>
        <v>128.69395027675904</v>
      </c>
      <c r="L610" s="617">
        <f t="shared" si="263"/>
        <v>1.5630258755713617</v>
      </c>
      <c r="M610" s="621">
        <f t="shared" si="247"/>
        <v>6.3963485877151802</v>
      </c>
      <c r="N610" s="622">
        <f t="shared" si="248"/>
        <v>1.4138131492534827</v>
      </c>
      <c r="O610" s="631">
        <f t="shared" si="249"/>
        <v>47.574374759099577</v>
      </c>
      <c r="P610" s="623">
        <f t="shared" si="250"/>
        <v>2.9344466359109802</v>
      </c>
      <c r="Q610" s="624">
        <f t="shared" si="251"/>
        <v>-68.117662144350916</v>
      </c>
      <c r="R610" s="625">
        <f t="shared" si="252"/>
        <v>-290.40789089408457</v>
      </c>
      <c r="S610" s="626">
        <f t="shared" si="253"/>
        <v>-110.40789089408457</v>
      </c>
      <c r="U610" s="627">
        <f t="shared" si="259"/>
        <v>758580</v>
      </c>
      <c r="V610" s="627">
        <f t="shared" si="260"/>
        <v>575443616400</v>
      </c>
      <c r="X610" s="628">
        <f t="shared" si="254"/>
        <v>8.9850343371305126</v>
      </c>
      <c r="Y610" s="626">
        <f t="shared" si="255"/>
        <v>-81.450636300721385</v>
      </c>
      <c r="AA610" s="628">
        <f t="shared" si="256"/>
        <v>-14.861192859034402</v>
      </c>
      <c r="AB610" s="626">
        <f t="shared" si="257"/>
        <v>-208.95725459336313</v>
      </c>
      <c r="AD610" s="2">
        <f t="shared" si="261"/>
        <v>0</v>
      </c>
      <c r="AE610" s="2">
        <f t="shared" si="264"/>
        <v>0</v>
      </c>
    </row>
    <row r="611" spans="1:31" x14ac:dyDescent="0.25">
      <c r="A611" s="347">
        <v>831760</v>
      </c>
      <c r="B611" s="364">
        <f t="shared" si="258"/>
        <v>831.76</v>
      </c>
      <c r="C611" s="337">
        <f t="shared" si="239"/>
        <v>188.15463354882388</v>
      </c>
      <c r="D611" s="338">
        <f t="shared" si="240"/>
        <v>1.5654815243422098</v>
      </c>
      <c r="E611" s="338">
        <f t="shared" si="241"/>
        <v>1.6041133093663802</v>
      </c>
      <c r="F611" s="339">
        <f t="shared" si="242"/>
        <v>0.89771613478121604</v>
      </c>
      <c r="G611" s="338">
        <f t="shared" si="243"/>
        <v>1</v>
      </c>
      <c r="H611" s="339">
        <f t="shared" si="244"/>
        <v>0</v>
      </c>
      <c r="I611" s="337">
        <f t="shared" si="245"/>
        <v>602188.0787911145</v>
      </c>
      <c r="J611" s="340">
        <f t="shared" si="246"/>
        <v>1.5707946661841419</v>
      </c>
      <c r="K611" s="348">
        <f t="shared" si="262"/>
        <v>141.10830296054689</v>
      </c>
      <c r="L611" s="349">
        <f t="shared" si="263"/>
        <v>1.5637095122732971</v>
      </c>
      <c r="M611" s="337">
        <f t="shared" si="247"/>
        <v>6.9989691661314062</v>
      </c>
      <c r="N611" s="340">
        <f t="shared" si="248"/>
        <v>1.4274274992902101</v>
      </c>
      <c r="O611" s="341">
        <f t="shared" si="249"/>
        <v>57.190878308803995</v>
      </c>
      <c r="P611" s="342">
        <f t="shared" si="250"/>
        <v>2.9528848504510954</v>
      </c>
      <c r="Q611" s="343">
        <f t="shared" si="251"/>
        <v>-70.827388784367699</v>
      </c>
      <c r="R611" s="344">
        <f t="shared" si="252"/>
        <v>-289.63949886321694</v>
      </c>
      <c r="S611" s="346">
        <f t="shared" si="253"/>
        <v>-109.63949886321694</v>
      </c>
      <c r="U611" s="319">
        <f t="shared" si="259"/>
        <v>831760</v>
      </c>
      <c r="V611" s="319">
        <f t="shared" si="260"/>
        <v>691824697600</v>
      </c>
      <c r="X611" s="345">
        <f t="shared" si="254"/>
        <v>8.2029510977035738</v>
      </c>
      <c r="Y611" s="346">
        <f t="shared" si="255"/>
        <v>-82.191520780451853</v>
      </c>
      <c r="AA611" s="345">
        <f t="shared" si="256"/>
        <v>-16.788836259624244</v>
      </c>
      <c r="AB611" s="346">
        <f t="shared" si="257"/>
        <v>-207.4479780827651</v>
      </c>
      <c r="AD611">
        <f t="shared" si="261"/>
        <v>0</v>
      </c>
      <c r="AE611">
        <f t="shared" si="264"/>
        <v>0</v>
      </c>
    </row>
    <row r="612" spans="1:31" x14ac:dyDescent="0.25">
      <c r="A612" s="347">
        <v>912010</v>
      </c>
      <c r="B612" s="364">
        <f t="shared" si="258"/>
        <v>912.01</v>
      </c>
      <c r="C612" s="337">
        <f t="shared" si="239"/>
        <v>206.30770846922178</v>
      </c>
      <c r="D612" s="338">
        <f t="shared" si="240"/>
        <v>1.5659491791859328</v>
      </c>
      <c r="E612" s="338">
        <f t="shared" si="241"/>
        <v>1.7004091985344201</v>
      </c>
      <c r="F612" s="339">
        <f t="shared" si="242"/>
        <v>0.94209643516296993</v>
      </c>
      <c r="G612" s="338">
        <f t="shared" si="243"/>
        <v>1</v>
      </c>
      <c r="H612" s="339">
        <f t="shared" si="244"/>
        <v>0</v>
      </c>
      <c r="I612" s="337">
        <f t="shared" si="245"/>
        <v>660288.48434423027</v>
      </c>
      <c r="J612" s="340">
        <f t="shared" si="246"/>
        <v>1.570794812305361</v>
      </c>
      <c r="K612" s="348">
        <f t="shared" si="262"/>
        <v>154.72208292173519</v>
      </c>
      <c r="L612" s="349">
        <f t="shared" si="263"/>
        <v>1.5643330802859996</v>
      </c>
      <c r="M612" s="337">
        <f t="shared" si="247"/>
        <v>7.6610547832349196</v>
      </c>
      <c r="N612" s="340">
        <f t="shared" si="248"/>
        <v>1.4398924605948888</v>
      </c>
      <c r="O612" s="341">
        <f t="shared" si="249"/>
        <v>68.754493844043665</v>
      </c>
      <c r="P612" s="342">
        <f t="shared" si="250"/>
        <v>2.9696520487036855</v>
      </c>
      <c r="Q612" s="343">
        <f t="shared" si="251"/>
        <v>-73.505644371494782</v>
      </c>
      <c r="R612" s="344">
        <f t="shared" si="252"/>
        <v>-288.7626495310783</v>
      </c>
      <c r="S612" s="346">
        <f t="shared" si="253"/>
        <v>-108.7626495310783</v>
      </c>
      <c r="U612" s="319">
        <f t="shared" si="259"/>
        <v>912010</v>
      </c>
      <c r="V612" s="319">
        <f t="shared" si="260"/>
        <v>831762240100</v>
      </c>
      <c r="X612" s="345">
        <f t="shared" si="254"/>
        <v>7.4178246479942267</v>
      </c>
      <c r="Y612" s="346">
        <f t="shared" si="255"/>
        <v>-82.86999101254105</v>
      </c>
      <c r="AA612" s="345">
        <f t="shared" si="256"/>
        <v>-18.681965397041989</v>
      </c>
      <c r="AB612" s="346">
        <f t="shared" si="257"/>
        <v>-205.89265851853727</v>
      </c>
      <c r="AD612">
        <f t="shared" si="261"/>
        <v>0</v>
      </c>
      <c r="AE612">
        <f t="shared" si="264"/>
        <v>0</v>
      </c>
    </row>
    <row r="613" spans="1:31" x14ac:dyDescent="0.25">
      <c r="A613" s="347">
        <v>1000000</v>
      </c>
      <c r="B613" s="364">
        <f t="shared" si="258"/>
        <v>1000</v>
      </c>
      <c r="C613" s="337">
        <f t="shared" si="239"/>
        <v>226.21166515036862</v>
      </c>
      <c r="D613" s="338">
        <f t="shared" si="240"/>
        <v>1.5663756738795336</v>
      </c>
      <c r="E613" s="338">
        <f t="shared" si="241"/>
        <v>1.809407872430713</v>
      </c>
      <c r="F613" s="339">
        <f t="shared" si="242"/>
        <v>0.98523534994638551</v>
      </c>
      <c r="G613" s="338">
        <f t="shared" si="243"/>
        <v>1</v>
      </c>
      <c r="H613" s="339">
        <f t="shared" si="244"/>
        <v>0</v>
      </c>
      <c r="I613" s="337">
        <f t="shared" si="245"/>
        <v>723992.59256379073</v>
      </c>
      <c r="J613" s="340">
        <f t="shared" si="246"/>
        <v>1.5707949455652952</v>
      </c>
      <c r="K613" s="348">
        <f t="shared" si="262"/>
        <v>169.64895038816246</v>
      </c>
      <c r="L613" s="349">
        <f t="shared" si="263"/>
        <v>1.5649017675376369</v>
      </c>
      <c r="M613" s="337">
        <f t="shared" si="247"/>
        <v>8.3881392072340155</v>
      </c>
      <c r="N613" s="340">
        <f t="shared" si="248"/>
        <v>1.4512961617767062</v>
      </c>
      <c r="O613" s="341">
        <f t="shared" si="249"/>
        <v>82.657217658878011</v>
      </c>
      <c r="P613" s="342">
        <f t="shared" si="250"/>
        <v>2.9849046714556264</v>
      </c>
      <c r="Q613" s="343">
        <f t="shared" si="251"/>
        <v>-76.153140211808193</v>
      </c>
      <c r="R613" s="344">
        <f t="shared" si="252"/>
        <v>-287.8101272406418</v>
      </c>
      <c r="S613" s="346">
        <f t="shared" si="253"/>
        <v>-107.8101272406418</v>
      </c>
      <c r="U613" s="319">
        <f t="shared" si="259"/>
        <v>1000000</v>
      </c>
      <c r="V613" s="319">
        <f t="shared" si="260"/>
        <v>1000000000000</v>
      </c>
      <c r="X613" s="345">
        <f t="shared" si="254"/>
        <v>6.6302528996129961</v>
      </c>
      <c r="Y613" s="346">
        <f t="shared" si="255"/>
        <v>-83.490799217647023</v>
      </c>
      <c r="AA613" s="345">
        <f t="shared" si="256"/>
        <v>-20.54188948897416</v>
      </c>
      <c r="AB613" s="346">
        <f t="shared" si="257"/>
        <v>-204.31932802299474</v>
      </c>
      <c r="AD613">
        <f t="shared" si="261"/>
        <v>0</v>
      </c>
      <c r="AE613">
        <f t="shared" si="264"/>
        <v>0</v>
      </c>
    </row>
    <row r="614" spans="1:31" x14ac:dyDescent="0.25">
      <c r="A614" s="350"/>
      <c r="B614" s="350"/>
      <c r="C614" s="351"/>
      <c r="D614" s="351"/>
      <c r="E614" s="351"/>
      <c r="F614" s="351"/>
      <c r="G614" s="338"/>
      <c r="H614" s="339"/>
      <c r="I614" s="351"/>
      <c r="J614" s="351"/>
      <c r="K614" s="351"/>
      <c r="L614" s="351"/>
      <c r="M614" s="351"/>
      <c r="N614" s="351"/>
      <c r="O614" s="351"/>
      <c r="P614" s="352"/>
      <c r="Q614" s="428"/>
      <c r="R614" s="344"/>
      <c r="S614" s="353"/>
      <c r="AA614" s="345"/>
      <c r="AB614" s="346"/>
    </row>
    <row r="615" spans="1:31" x14ac:dyDescent="0.25">
      <c r="A615" s="350"/>
      <c r="B615" s="350"/>
      <c r="C615" s="351"/>
      <c r="D615" s="351"/>
      <c r="E615" s="351"/>
      <c r="F615" s="351"/>
      <c r="G615" s="338"/>
      <c r="H615" s="339"/>
      <c r="I615" s="351"/>
      <c r="J615" s="351"/>
      <c r="K615" s="351"/>
      <c r="L615" s="351"/>
      <c r="M615" s="351"/>
      <c r="N615" s="351"/>
      <c r="O615" s="351"/>
      <c r="P615" s="352"/>
      <c r="Q615" s="353"/>
      <c r="R615" s="344"/>
      <c r="S615" s="353"/>
      <c r="AA615" s="345"/>
      <c r="AB615" s="346"/>
    </row>
    <row r="616" spans="1:31" x14ac:dyDescent="0.25">
      <c r="A616" s="319" t="s">
        <v>362</v>
      </c>
      <c r="G616" s="338"/>
      <c r="H616" s="339"/>
      <c r="Q616" s="343"/>
      <c r="R616" s="344"/>
      <c r="S616" s="353"/>
      <c r="AA616" s="345"/>
      <c r="AB616" s="346"/>
    </row>
    <row r="617" spans="1:31" x14ac:dyDescent="0.25">
      <c r="A617" s="354">
        <f>Q4*1000</f>
        <v>53092</v>
      </c>
      <c r="B617" s="354"/>
      <c r="C617" s="355">
        <f t="shared" ref="C617:C626" si="265">SQRT(1+(A617/pole1)^2)</f>
        <v>12.051472742485203</v>
      </c>
      <c r="D617" s="348">
        <f t="shared" ref="D617:D626" si="266">ATAN(A617/pole1)</f>
        <v>1.4877234000823594</v>
      </c>
      <c r="E617" s="348">
        <f t="shared" ref="E617:E626" si="267">SQRT(1+(A617/Zero1)^2)</f>
        <v>1.0031997506290955</v>
      </c>
      <c r="F617" s="349">
        <f t="shared" ref="F617:F626" si="268">ATAN(A617/Zero1)</f>
        <v>7.9890448205301376E-2</v>
      </c>
      <c r="G617" s="338">
        <f>IF(VIN_nom&gt;Vout, 1, SQRT(1+(A617/z_RHP)^2))</f>
        <v>1</v>
      </c>
      <c r="H617" s="339">
        <f>IF(VIN_nom&gt;Vout, 0, -ATAN(A617/z_RHP))</f>
        <v>0</v>
      </c>
      <c r="I617" s="355">
        <f t="shared" ref="I617:I626" si="269">SQRT(1+(A617/Pole2)^2)</f>
        <v>38438.214737367998</v>
      </c>
      <c r="J617" s="356">
        <f t="shared" ref="J617:J626" si="270">ATAN(A617/Pole2)</f>
        <v>1.570770311018489</v>
      </c>
      <c r="K617" s="348">
        <f t="shared" ref="K617:K626" si="271">SQRT(1+(A617/Zero2)^2)</f>
        <v>9.0621888967691593</v>
      </c>
      <c r="L617" s="349">
        <f t="shared" ref="L617:L626" si="272">ATAN(A617/Zero2)</f>
        <v>1.4602225258285562</v>
      </c>
      <c r="M617" s="355">
        <f t="shared" ref="M617:M626" si="273">SQRT(1+(A617/pole4)^2)</f>
        <v>1.0933945785891124</v>
      </c>
      <c r="N617" s="356">
        <f t="shared" ref="N617:N626" si="274">ATAN(A617/pole4)</f>
        <v>0.41632098552306163</v>
      </c>
      <c r="O617" s="355">
        <f>SQRT((1-(A617^2/(pole3^2)))^2+(A617/(Q_Ch2*pole3))^2)</f>
        <v>1.0282584896593259</v>
      </c>
      <c r="P617" s="420">
        <f>ATAN((A617/(Q_Ch2*pole3))/(1-A617^2/pole3^2))</f>
        <v>0.72881404949033779</v>
      </c>
      <c r="Q617" s="343">
        <f>20*LOG10(((E617*K617*G617)/(C617*I617*O617*M617))*Adc)</f>
        <v>4.7776848400044203E-2</v>
      </c>
      <c r="R617" s="344">
        <f>((F617+L617+H617)-(D617+J617+P617+N617))*radconv</f>
        <v>-152.60821258111557</v>
      </c>
      <c r="S617" s="346">
        <f t="shared" ref="S617:S626" si="275">IF(R617&gt;0,R617,R617+180)</f>
        <v>27.391787418884434</v>
      </c>
      <c r="T617" s="319" t="s">
        <v>363</v>
      </c>
      <c r="X617" s="345">
        <f t="shared" ref="X617:X626" si="276">20*LOG10((K617/(I617*M617))*AEA)</f>
        <v>24.381084115457821</v>
      </c>
      <c r="Y617" s="346">
        <f t="shared" ref="Y617:Y626" si="277">(L617-(J617+N617))*radconv</f>
        <v>-30.187356953594534</v>
      </c>
      <c r="AA617" s="345">
        <f>20*LOG10((E617*G617/(C617*O617))*Acs*Am)</f>
        <v>37.908196355389251</v>
      </c>
      <c r="AB617" s="346">
        <f>(F617+H617-(D617+P617))*radconv</f>
        <v>-122.42085562752101</v>
      </c>
    </row>
    <row r="618" spans="1:31" x14ac:dyDescent="0.25">
      <c r="A618" s="354">
        <f>A617</f>
        <v>53092</v>
      </c>
      <c r="B618" s="354"/>
      <c r="C618" s="355"/>
      <c r="D618" s="348"/>
      <c r="E618" s="348"/>
      <c r="F618" s="349"/>
      <c r="G618" s="338"/>
      <c r="H618" s="339"/>
      <c r="I618" s="355"/>
      <c r="J618" s="356"/>
      <c r="K618" s="348"/>
      <c r="L618" s="349"/>
      <c r="M618" s="337"/>
      <c r="N618" s="340"/>
      <c r="O618" s="355"/>
      <c r="P618" s="342"/>
      <c r="Q618" s="343"/>
      <c r="R618" s="344">
        <v>-135</v>
      </c>
      <c r="S618" s="346"/>
      <c r="X618" s="345"/>
      <c r="Y618" s="346"/>
      <c r="AA618" s="345"/>
      <c r="AB618" s="346"/>
    </row>
    <row r="619" spans="1:31" x14ac:dyDescent="0.25">
      <c r="A619" s="319">
        <f>A618</f>
        <v>53092</v>
      </c>
      <c r="B619" s="354"/>
      <c r="C619" s="355"/>
      <c r="D619" s="348"/>
      <c r="E619" s="348"/>
      <c r="F619" s="349"/>
      <c r="G619" s="338"/>
      <c r="H619" s="339"/>
      <c r="I619" s="355"/>
      <c r="J619" s="356"/>
      <c r="K619" s="348"/>
      <c r="L619" s="349"/>
      <c r="M619" s="337"/>
      <c r="N619" s="340"/>
      <c r="O619" s="355"/>
      <c r="P619" s="342"/>
      <c r="Q619" s="343"/>
      <c r="R619" s="344"/>
      <c r="S619" s="346"/>
      <c r="X619" s="345"/>
      <c r="Y619" s="346"/>
      <c r="AA619" s="345"/>
      <c r="AB619" s="346"/>
    </row>
    <row r="620" spans="1:31" x14ac:dyDescent="0.25">
      <c r="A620" s="354">
        <v>1000000</v>
      </c>
      <c r="B620" s="354"/>
      <c r="C620" s="355"/>
      <c r="D620" s="348"/>
      <c r="E620" s="348"/>
      <c r="F620" s="349"/>
      <c r="G620" s="338"/>
      <c r="H620" s="339"/>
      <c r="I620" s="355"/>
      <c r="J620" s="356"/>
      <c r="K620" s="348"/>
      <c r="L620" s="349"/>
      <c r="M620" s="337"/>
      <c r="N620" s="340"/>
      <c r="O620" s="355"/>
      <c r="P620" s="342"/>
      <c r="Q620" s="343"/>
      <c r="R620" s="344">
        <f>R617</f>
        <v>-152.60821258111557</v>
      </c>
      <c r="S620" s="346"/>
      <c r="X620" s="345"/>
      <c r="Y620" s="346"/>
      <c r="AA620" s="345"/>
      <c r="AB620" s="346"/>
    </row>
    <row r="621" spans="1:31" x14ac:dyDescent="0.25">
      <c r="A621" s="354"/>
      <c r="B621" s="354"/>
      <c r="C621" s="355"/>
      <c r="D621" s="348"/>
      <c r="E621" s="348"/>
      <c r="F621" s="349"/>
      <c r="G621" s="338"/>
      <c r="H621" s="339"/>
      <c r="I621" s="355"/>
      <c r="J621" s="356"/>
      <c r="K621" s="348"/>
      <c r="L621" s="349"/>
      <c r="M621" s="337"/>
      <c r="N621" s="340"/>
      <c r="O621" s="355"/>
      <c r="P621" s="342"/>
      <c r="Q621" s="343"/>
      <c r="R621" s="344"/>
      <c r="S621" s="346"/>
      <c r="X621" s="345"/>
      <c r="Y621" s="346"/>
      <c r="AA621" s="345"/>
      <c r="AB621" s="346"/>
    </row>
    <row r="622" spans="1:31" x14ac:dyDescent="0.25">
      <c r="A622" s="429">
        <f>pole1</f>
        <v>4420.681711975064</v>
      </c>
      <c r="B622" s="354"/>
      <c r="C622" s="355">
        <f t="shared" si="265"/>
        <v>1.4142135623730951</v>
      </c>
      <c r="D622" s="348">
        <f t="shared" si="266"/>
        <v>0.78539816339744828</v>
      </c>
      <c r="E622" s="348">
        <f t="shared" si="267"/>
        <v>1.000022219070787</v>
      </c>
      <c r="F622" s="349">
        <f t="shared" si="268"/>
        <v>6.6661322202425481E-3</v>
      </c>
      <c r="G622" s="338">
        <f t="shared" ref="G622:G628" si="278">IF(VIN_nom&gt;Vout, 1, SQRT(1+(A622/z_RHP)^2))</f>
        <v>1</v>
      </c>
      <c r="H622" s="339">
        <f t="shared" ref="H622:H628" si="279">IF(VIN_nom&gt;Vout, 0, -ATAN(A622/z_RHP))</f>
        <v>0</v>
      </c>
      <c r="I622" s="355">
        <f t="shared" si="269"/>
        <v>3200.5409697727046</v>
      </c>
      <c r="J622" s="356">
        <f t="shared" si="270"/>
        <v>1.5704838796099629</v>
      </c>
      <c r="K622" s="348">
        <f t="shared" si="271"/>
        <v>1.2499705906633878</v>
      </c>
      <c r="L622" s="349">
        <f t="shared" si="272"/>
        <v>0.6434697374400451</v>
      </c>
      <c r="M622" s="337">
        <f t="shared" si="273"/>
        <v>1.0006775104435881</v>
      </c>
      <c r="N622" s="340">
        <f t="shared" si="274"/>
        <v>3.6800221401672141E-2</v>
      </c>
      <c r="O622" s="355">
        <f t="shared" ref="O622:O628" si="280">SQRT((1-(A622^2/(pole3^2)))^2+(A622/(Q_Ch2*pole3))^2)</f>
        <v>1.0000118676043115</v>
      </c>
      <c r="P622" s="342">
        <f t="shared" ref="P622:P628" si="281">ATAN((A622/(Q_Ch2*pole3))/(1-A622^2/pole3^2))</f>
        <v>5.705026258414387E-2</v>
      </c>
      <c r="Q622" s="343">
        <f t="shared" ref="Q622:Q628" si="282">20*LOG10(((E622*K622*G622)/(C622*I622*O622*M622))*Adc)</f>
        <v>24.026452604697841</v>
      </c>
      <c r="R622" s="344">
        <f t="shared" ref="R622:R628" si="283">((F622+L622+H622)-(D622+J622+P622+N622))*radconv</f>
        <v>-103.10929340884761</v>
      </c>
      <c r="S622" s="346">
        <f t="shared" si="275"/>
        <v>76.890706591152394</v>
      </c>
      <c r="T622" s="319" t="s">
        <v>337</v>
      </c>
      <c r="X622" s="345">
        <f t="shared" si="276"/>
        <v>29.534869694579161</v>
      </c>
      <c r="Y622" s="346">
        <f t="shared" si="277"/>
        <v>-55.222495329840477</v>
      </c>
      <c r="AA622" s="345">
        <f t="shared" ref="AA622:AA628" si="284">20*LOG10((E622*G622/(C622*O622))*Acs*Am)</f>
        <v>56.733086532565707</v>
      </c>
      <c r="AB622" s="346">
        <f t="shared" ref="AB622:AB628" si="285">(F622+H622-(D622+P622))*radconv</f>
        <v>-47.886798079007129</v>
      </c>
    </row>
    <row r="623" spans="1:31" s="627" customFormat="1" ht="13" x14ac:dyDescent="0.3">
      <c r="A623" s="613">
        <f>Zero1</f>
        <v>663145.59697398485</v>
      </c>
      <c r="B623" s="614"/>
      <c r="C623" s="615">
        <f t="shared" si="265"/>
        <v>150.01313703642793</v>
      </c>
      <c r="D623" s="616">
        <f t="shared" si="266"/>
        <v>1.564130194574654</v>
      </c>
      <c r="E623" s="616">
        <f t="shared" si="267"/>
        <v>1.4142135623730951</v>
      </c>
      <c r="F623" s="617">
        <f t="shared" si="268"/>
        <v>0.78539816339744828</v>
      </c>
      <c r="G623" s="618">
        <f t="shared" si="278"/>
        <v>1</v>
      </c>
      <c r="H623" s="619">
        <f t="shared" si="279"/>
        <v>0</v>
      </c>
      <c r="I623" s="615">
        <f t="shared" si="269"/>
        <v>480112.50000104151</v>
      </c>
      <c r="J623" s="620">
        <f t="shared" si="270"/>
        <v>1.5707942439497302</v>
      </c>
      <c r="K623" s="616">
        <f t="shared" si="271"/>
        <v>112.50444435665641</v>
      </c>
      <c r="L623" s="617">
        <f t="shared" si="272"/>
        <v>1.5619076720055636</v>
      </c>
      <c r="M623" s="621">
        <f t="shared" si="273"/>
        <v>5.6126896200656731</v>
      </c>
      <c r="N623" s="622">
        <f t="shared" si="274"/>
        <v>1.3916722839541285</v>
      </c>
      <c r="O623" s="615">
        <f t="shared" si="280"/>
        <v>36.364266076513402</v>
      </c>
      <c r="P623" s="623">
        <f t="shared" si="281"/>
        <v>-0.23744366555976873</v>
      </c>
      <c r="Q623" s="624">
        <f>20*LOG10(((E623*K623*G623)/(C623*I623*O623*M623))*Adc)</f>
        <v>-64.103652296312418</v>
      </c>
      <c r="R623" s="625">
        <f t="shared" si="283"/>
        <v>-111.25965037918959</v>
      </c>
      <c r="S623" s="626">
        <f t="shared" si="275"/>
        <v>68.740349620810406</v>
      </c>
      <c r="T623" s="627" t="s">
        <v>332</v>
      </c>
      <c r="X623" s="628">
        <f t="shared" si="276"/>
        <v>10.120337187127708</v>
      </c>
      <c r="Y623" s="626">
        <f t="shared" si="277"/>
        <v>-80.246111494338081</v>
      </c>
      <c r="AA623" s="628">
        <f t="shared" si="284"/>
        <v>-11.982485860993094</v>
      </c>
      <c r="AB623" s="626">
        <f t="shared" si="285"/>
        <v>-31.013538884851492</v>
      </c>
      <c r="AD623" s="2"/>
      <c r="AE623" s="2"/>
    </row>
    <row r="624" spans="1:31" x14ac:dyDescent="0.25">
      <c r="A624" s="429">
        <f>Pole2</f>
        <v>1.3812296013413206</v>
      </c>
      <c r="B624" s="354"/>
      <c r="C624" s="355">
        <f t="shared" si="265"/>
        <v>1.0000000488116236</v>
      </c>
      <c r="D624" s="348">
        <f t="shared" si="266"/>
        <v>3.1244718493372652E-4</v>
      </c>
      <c r="E624" s="348">
        <f t="shared" si="267"/>
        <v>1.0000000000021692</v>
      </c>
      <c r="F624" s="349">
        <f t="shared" si="268"/>
        <v>2.0828451664944232E-6</v>
      </c>
      <c r="G624" s="338">
        <f t="shared" si="278"/>
        <v>1</v>
      </c>
      <c r="H624" s="339">
        <f t="shared" si="279"/>
        <v>0</v>
      </c>
      <c r="I624" s="355">
        <f t="shared" si="269"/>
        <v>1.4142135623730951</v>
      </c>
      <c r="J624" s="356">
        <f t="shared" si="270"/>
        <v>0.78539816339744828</v>
      </c>
      <c r="K624" s="348">
        <f t="shared" si="271"/>
        <v>1.0000000274529499</v>
      </c>
      <c r="L624" s="349">
        <f t="shared" si="272"/>
        <v>2.3432007694244321E-4</v>
      </c>
      <c r="M624" s="337">
        <f t="shared" si="273"/>
        <v>1.0000000000661631</v>
      </c>
      <c r="N624" s="340">
        <f t="shared" si="274"/>
        <v>1.1503319238596749E-5</v>
      </c>
      <c r="O624" s="355">
        <f t="shared" si="280"/>
        <v>1.0000000000010312</v>
      </c>
      <c r="P624" s="342">
        <f t="shared" si="281"/>
        <v>1.7815738152975136E-5</v>
      </c>
      <c r="Q624" s="343">
        <f t="shared" si="282"/>
        <v>92.198717214502025</v>
      </c>
      <c r="R624" s="344">
        <f t="shared" si="283"/>
        <v>-45.006036924990774</v>
      </c>
      <c r="S624" s="346">
        <f t="shared" si="275"/>
        <v>134.99396307500922</v>
      </c>
      <c r="T624" s="319" t="s">
        <v>340</v>
      </c>
      <c r="W624" s="319">
        <f>Pole2</f>
        <v>1.3812296013413206</v>
      </c>
      <c r="X624" s="345">
        <f t="shared" si="276"/>
        <v>94.696924681869035</v>
      </c>
      <c r="Y624" s="346">
        <f t="shared" si="277"/>
        <v>-44.987233591584186</v>
      </c>
      <c r="AA624" s="345">
        <f t="shared" si="284"/>
        <v>59.74329615508001</v>
      </c>
      <c r="AB624" s="346">
        <f t="shared" si="285"/>
        <v>-1.8803333406588307E-2</v>
      </c>
    </row>
    <row r="625" spans="1:28" x14ac:dyDescent="0.25">
      <c r="A625" s="429">
        <f>Zero2</f>
        <v>5894.6275286576438</v>
      </c>
      <c r="B625" s="354"/>
      <c r="C625" s="355">
        <f t="shared" si="265"/>
        <v>1.6667363845213252</v>
      </c>
      <c r="D625" s="348">
        <f t="shared" si="266"/>
        <v>0.92732658935485157</v>
      </c>
      <c r="E625" s="348">
        <f t="shared" si="267"/>
        <v>1.0000395053925015</v>
      </c>
      <c r="F625" s="349">
        <f t="shared" si="268"/>
        <v>8.8886547893329802E-3</v>
      </c>
      <c r="G625" s="338">
        <f t="shared" si="278"/>
        <v>1</v>
      </c>
      <c r="H625" s="339">
        <f t="shared" si="279"/>
        <v>0</v>
      </c>
      <c r="I625" s="355">
        <f t="shared" si="269"/>
        <v>4267.6667838267067</v>
      </c>
      <c r="J625" s="356">
        <f t="shared" si="270"/>
        <v>1.5705620067179542</v>
      </c>
      <c r="K625" s="348">
        <f t="shared" si="271"/>
        <v>1.4142135623730951</v>
      </c>
      <c r="L625" s="349">
        <f t="shared" si="272"/>
        <v>0.78539816339744828</v>
      </c>
      <c r="M625" s="337">
        <f t="shared" si="273"/>
        <v>1.0012043033608782</v>
      </c>
      <c r="N625" s="340">
        <f t="shared" si="274"/>
        <v>4.9052950563457369E-2</v>
      </c>
      <c r="O625" s="355">
        <f t="shared" si="280"/>
        <v>1.0000229047471128</v>
      </c>
      <c r="P625" s="342">
        <f t="shared" si="281"/>
        <v>7.6103330629124014E-2</v>
      </c>
      <c r="Q625" s="343">
        <f t="shared" si="282"/>
        <v>21.167858972822891</v>
      </c>
      <c r="R625" s="344">
        <f t="shared" si="283"/>
        <v>-104.78011865546891</v>
      </c>
      <c r="S625" s="346">
        <f t="shared" si="275"/>
        <v>75.219881344531089</v>
      </c>
      <c r="T625" s="319" t="s">
        <v>335</v>
      </c>
      <c r="W625" s="319">
        <f>Zero2</f>
        <v>5894.6275286576438</v>
      </c>
      <c r="X625" s="345">
        <f t="shared" si="276"/>
        <v>28.103260151035858</v>
      </c>
      <c r="Y625" s="346">
        <f t="shared" si="277"/>
        <v>-47.797101543102151</v>
      </c>
      <c r="AA625" s="345">
        <f t="shared" si="284"/>
        <v>55.306102444234064</v>
      </c>
      <c r="AB625" s="346">
        <f t="shared" si="285"/>
        <v>-56.98301711236676</v>
      </c>
    </row>
    <row r="626" spans="1:28" x14ac:dyDescent="0.25">
      <c r="A626" s="429">
        <f>pole3</f>
        <v>110000</v>
      </c>
      <c r="B626" s="354"/>
      <c r="C626" s="355">
        <f t="shared" si="265"/>
        <v>24.903125931220767</v>
      </c>
      <c r="D626" s="348">
        <f t="shared" si="266"/>
        <v>1.5306299258642218</v>
      </c>
      <c r="E626" s="348">
        <f t="shared" si="267"/>
        <v>1.0136640853214895</v>
      </c>
      <c r="F626" s="349">
        <f t="shared" si="268"/>
        <v>0.16437937107867232</v>
      </c>
      <c r="G626" s="338">
        <f t="shared" si="278"/>
        <v>1</v>
      </c>
      <c r="H626" s="339">
        <f t="shared" si="279"/>
        <v>0</v>
      </c>
      <c r="I626" s="355">
        <f t="shared" si="269"/>
        <v>79639.185188219344</v>
      </c>
      <c r="J626" s="356">
        <f t="shared" si="270"/>
        <v>1.5707837701621579</v>
      </c>
      <c r="K626" s="348">
        <f t="shared" si="271"/>
        <v>18.687834894669926</v>
      </c>
      <c r="L626" s="349">
        <f t="shared" si="272"/>
        <v>1.5172600099901654</v>
      </c>
      <c r="M626" s="337">
        <f t="shared" si="273"/>
        <v>1.356195649696323</v>
      </c>
      <c r="N626" s="340">
        <f t="shared" si="274"/>
        <v>0.74164739631361676</v>
      </c>
      <c r="O626" s="355">
        <f t="shared" si="280"/>
        <v>1.4188308698441658</v>
      </c>
      <c r="P626" s="342" t="e">
        <f t="shared" si="281"/>
        <v>#DIV/0!</v>
      </c>
      <c r="Q626" s="343">
        <f t="shared" si="282"/>
        <v>-10.874594655909366</v>
      </c>
      <c r="R626" s="344" t="e">
        <f t="shared" si="283"/>
        <v>#DIV/0!</v>
      </c>
      <c r="S626" s="346" t="e">
        <f t="shared" si="275"/>
        <v>#DIV/0!</v>
      </c>
      <c r="T626" s="319" t="s">
        <v>333</v>
      </c>
      <c r="X626" s="345">
        <f t="shared" si="276"/>
        <v>22.469421071967155</v>
      </c>
      <c r="Y626" s="346">
        <f t="shared" si="277"/>
        <v>-45.559951309221979</v>
      </c>
      <c r="AA626" s="345">
        <f t="shared" si="284"/>
        <v>28.897487894570503</v>
      </c>
      <c r="AB626" s="346" t="e">
        <f t="shared" si="285"/>
        <v>#DIV/0!</v>
      </c>
    </row>
    <row r="627" spans="1:28" ht="13" thickBot="1" x14ac:dyDescent="0.3">
      <c r="A627" s="406">
        <f>Fp2_u</f>
        <v>100060.22121612207</v>
      </c>
      <c r="C627" s="355">
        <f>SQRT(1+(A627/pole1)^2)</f>
        <v>22.65664742726565</v>
      </c>
      <c r="D627" s="348">
        <f>ATAN(A627/pole1)</f>
        <v>1.5266448269048296</v>
      </c>
      <c r="E627" s="348">
        <f>SQRT(1+(A627/Zero1)^2)</f>
        <v>1.011319417802423</v>
      </c>
      <c r="F627" s="349">
        <f>ATAN(A627/Zero1)</f>
        <v>0.14975756908728693</v>
      </c>
      <c r="G627" s="338">
        <f t="shared" si="278"/>
        <v>1</v>
      </c>
      <c r="H627" s="339">
        <f t="shared" si="279"/>
        <v>0</v>
      </c>
      <c r="I627" s="355">
        <f>SQRT(1+(A627/Pole2)^2)</f>
        <v>72442.858977599521</v>
      </c>
      <c r="J627" s="356">
        <f>ATAN(A627/Pole2)</f>
        <v>1.5707825228118106</v>
      </c>
      <c r="K627" s="348">
        <f>SQRT(1+(A627/Zero2)^2)</f>
        <v>17.004246486001101</v>
      </c>
      <c r="L627" s="349">
        <f>ATAN(A627/Zero2)</f>
        <v>1.5119535363766115</v>
      </c>
      <c r="M627" s="337">
        <f>SQRT(1+(A627/pole4)^2)</f>
        <v>1.3017082793177759</v>
      </c>
      <c r="N627" s="340">
        <f>ATAN(A627/pole4)</f>
        <v>0.69473827619670325</v>
      </c>
      <c r="O627" s="355">
        <f t="shared" si="280"/>
        <v>1.3021075291429669</v>
      </c>
      <c r="P627" s="342">
        <f t="shared" si="281"/>
        <v>1.437883231899064</v>
      </c>
      <c r="Q627" s="343">
        <f t="shared" si="282"/>
        <v>-8.9691027933524268</v>
      </c>
      <c r="R627" s="344">
        <f t="shared" si="283"/>
        <v>-204.45069332038685</v>
      </c>
      <c r="S627" s="346">
        <f>IF(R627&gt;0,R627,R627+180)</f>
        <v>-24.450693320386847</v>
      </c>
      <c r="T627" s="319" t="s">
        <v>345</v>
      </c>
      <c r="X627" s="357"/>
      <c r="Y627" s="358"/>
      <c r="AA627" s="345">
        <f t="shared" si="284"/>
        <v>30.444213567946051</v>
      </c>
      <c r="AB627" s="346">
        <f t="shared" si="285"/>
        <v>-161.27446954301641</v>
      </c>
    </row>
    <row r="628" spans="1:28" x14ac:dyDescent="0.25">
      <c r="A628" s="406">
        <f>z_RHP</f>
        <v>0</v>
      </c>
      <c r="C628" s="355">
        <f>SQRT(1+(A628/pole1)^2)</f>
        <v>1</v>
      </c>
      <c r="D628" s="348">
        <f>ATAN(A628/pole1)</f>
        <v>0</v>
      </c>
      <c r="E628" s="348">
        <f>SQRT(1+(A628/Zero1)^2)</f>
        <v>1</v>
      </c>
      <c r="F628" s="349">
        <f>ATAN(A628/Zero1)</f>
        <v>0</v>
      </c>
      <c r="G628" s="338">
        <f t="shared" si="278"/>
        <v>1</v>
      </c>
      <c r="H628" s="339">
        <f t="shared" si="279"/>
        <v>0</v>
      </c>
      <c r="I628" s="355">
        <f>SQRT(1+(A628/Pole2)^2)</f>
        <v>1</v>
      </c>
      <c r="J628" s="356">
        <f>ATAN(A628/Pole2)</f>
        <v>0</v>
      </c>
      <c r="K628" s="348">
        <f>SQRT(1+(A628/Zero2)^2)</f>
        <v>1</v>
      </c>
      <c r="L628" s="349">
        <f>ATAN(A628/Zero2)</f>
        <v>0</v>
      </c>
      <c r="M628" s="337">
        <f>SQRT(1+(A628/pole4)^2)</f>
        <v>1</v>
      </c>
      <c r="N628" s="340">
        <f>ATAN(A628/pole4)</f>
        <v>0</v>
      </c>
      <c r="O628" s="355">
        <f t="shared" si="280"/>
        <v>1</v>
      </c>
      <c r="P628" s="342">
        <f t="shared" si="281"/>
        <v>0</v>
      </c>
      <c r="Q628" s="343">
        <f t="shared" si="282"/>
        <v>95.209017357225719</v>
      </c>
      <c r="R628" s="344">
        <f t="shared" si="283"/>
        <v>0</v>
      </c>
      <c r="S628" s="346">
        <f>IF(R628&gt;0,R628,R628+180)</f>
        <v>180</v>
      </c>
      <c r="T628" s="319" t="s">
        <v>439</v>
      </c>
      <c r="X628" s="353"/>
      <c r="Y628" s="353"/>
      <c r="AA628" s="345">
        <f t="shared" si="284"/>
        <v>59.743296579042493</v>
      </c>
      <c r="AB628" s="346">
        <f t="shared" si="285"/>
        <v>0</v>
      </c>
    </row>
    <row r="629" spans="1:28" x14ac:dyDescent="0.25">
      <c r="A629" s="406">
        <f>Fp2_u</f>
        <v>100060.22121612207</v>
      </c>
      <c r="Q629" s="343">
        <v>-25</v>
      </c>
    </row>
    <row r="631" spans="1:28" x14ac:dyDescent="0.25">
      <c r="D631" s="319" t="s">
        <v>364</v>
      </c>
      <c r="E631" s="319" t="s">
        <v>365</v>
      </c>
    </row>
    <row r="632" spans="1:28" x14ac:dyDescent="0.25">
      <c r="A632" s="319" t="s">
        <v>337</v>
      </c>
      <c r="B632" s="319" t="s">
        <v>436</v>
      </c>
      <c r="C632" s="359">
        <f>pole1</f>
        <v>4420.681711975064</v>
      </c>
      <c r="D632" s="359">
        <f>Q622</f>
        <v>24.026452604697841</v>
      </c>
      <c r="E632" s="359">
        <f>AA622</f>
        <v>56.733086532565707</v>
      </c>
    </row>
    <row r="633" spans="1:28" x14ac:dyDescent="0.25">
      <c r="A633" s="319" t="s">
        <v>332</v>
      </c>
      <c r="B633" s="319" t="s">
        <v>446</v>
      </c>
      <c r="C633" s="359">
        <f>Zero1</f>
        <v>663145.59697398485</v>
      </c>
      <c r="D633" s="359">
        <f>Q623</f>
        <v>-64.103652296312418</v>
      </c>
      <c r="E633" s="359">
        <f>AA623</f>
        <v>-11.982485860993094</v>
      </c>
    </row>
    <row r="634" spans="1:28" x14ac:dyDescent="0.25">
      <c r="A634" s="319" t="s">
        <v>340</v>
      </c>
      <c r="B634" s="319" t="s">
        <v>447</v>
      </c>
      <c r="C634" s="359">
        <f>Pole2</f>
        <v>1.3812296013413206</v>
      </c>
      <c r="D634" s="359">
        <f>Q624</f>
        <v>92.198717214502025</v>
      </c>
      <c r="E634" s="359">
        <f>AA624</f>
        <v>59.74329615508001</v>
      </c>
    </row>
    <row r="635" spans="1:28" x14ac:dyDescent="0.25">
      <c r="A635" s="319" t="s">
        <v>335</v>
      </c>
      <c r="B635" s="319" t="s">
        <v>448</v>
      </c>
      <c r="C635" s="359">
        <f>Zero2</f>
        <v>5894.6275286576438</v>
      </c>
      <c r="D635" s="359">
        <f>Q625</f>
        <v>21.167858972822891</v>
      </c>
      <c r="E635" s="359">
        <f>AA625</f>
        <v>55.306102444234064</v>
      </c>
    </row>
    <row r="636" spans="1:28" x14ac:dyDescent="0.25">
      <c r="A636" s="319" t="s">
        <v>333</v>
      </c>
      <c r="B636" s="319" t="s">
        <v>445</v>
      </c>
      <c r="C636" s="319">
        <f>pole3</f>
        <v>110000</v>
      </c>
      <c r="D636" s="359">
        <f>Q626</f>
        <v>-10.874594655909366</v>
      </c>
      <c r="E636" s="359">
        <f>AA626</f>
        <v>28.897487894570503</v>
      </c>
    </row>
    <row r="637" spans="1:28" x14ac:dyDescent="0.25">
      <c r="C637" s="406"/>
      <c r="D637" s="359"/>
      <c r="E637" s="359"/>
    </row>
    <row r="639" spans="1:28" x14ac:dyDescent="0.25">
      <c r="A639" s="359">
        <f>Q4*1000</f>
        <v>53092</v>
      </c>
    </row>
    <row r="640" spans="1:28" x14ac:dyDescent="0.25">
      <c r="A640" s="359">
        <f>Q4*1000</f>
        <v>53092</v>
      </c>
    </row>
    <row r="687" spans="30:31" x14ac:dyDescent="0.25">
      <c r="AD687" t="s">
        <v>44</v>
      </c>
      <c r="AE687" s="4">
        <f>SUM(AE689:AE1306)</f>
        <v>0</v>
      </c>
    </row>
  </sheetData>
  <mergeCells count="20">
    <mergeCell ref="Q10:S10"/>
    <mergeCell ref="X10:Y10"/>
    <mergeCell ref="AA10:AB10"/>
    <mergeCell ref="C11:D11"/>
    <mergeCell ref="E11:F11"/>
    <mergeCell ref="G11:H11"/>
    <mergeCell ref="I11:J11"/>
    <mergeCell ref="K11:L11"/>
    <mergeCell ref="M11:N11"/>
    <mergeCell ref="O11:P11"/>
    <mergeCell ref="A2:D2"/>
    <mergeCell ref="E2:G2"/>
    <mergeCell ref="J2:L2"/>
    <mergeCell ref="M2:O2"/>
    <mergeCell ref="P2:R2"/>
    <mergeCell ref="A10:A12"/>
    <mergeCell ref="B10:B11"/>
    <mergeCell ref="C10:H10"/>
    <mergeCell ref="I10:N10"/>
    <mergeCell ref="O10:P10"/>
  </mergeCells>
  <pageMargins left="0.75" right="0.75" top="1" bottom="1" header="0.5" footer="0.5"/>
  <pageSetup scale="48" orientation="portrait" horizontalDpi="300" verticalDpi="300" r:id="rId1"/>
  <headerFooter alignWithMargins="0"/>
  <colBreaks count="1" manualBreakCount="1">
    <brk id="19" max="1048575"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N9"/>
  <sheetViews>
    <sheetView zoomScaleNormal="100" workbookViewId="0">
      <selection activeCell="F5" sqref="F5"/>
    </sheetView>
  </sheetViews>
  <sheetFormatPr defaultRowHeight="12.5" x14ac:dyDescent="0.25"/>
  <cols>
    <col min="1" max="1" width="10.54296875" customWidth="1"/>
    <col min="2" max="2" width="129.36328125" customWidth="1"/>
  </cols>
  <sheetData>
    <row r="1" spans="1:14" x14ac:dyDescent="0.25">
      <c r="J1" s="114" t="s">
        <v>621</v>
      </c>
      <c r="N1" s="114" t="s">
        <v>623</v>
      </c>
    </row>
    <row r="2" spans="1:14" x14ac:dyDescent="0.25">
      <c r="A2" t="str">
        <f>CHOOSE(BODE_PLOT_TYPE, "BODE_PLOT_Ch1", "BODE_PLOT_Ch2")</f>
        <v>BODE_PLOT_Ch1</v>
      </c>
      <c r="J2" s="114" t="s">
        <v>622</v>
      </c>
      <c r="N2" s="114" t="s">
        <v>777</v>
      </c>
    </row>
    <row r="3" spans="1:14" x14ac:dyDescent="0.25">
      <c r="J3" s="114" t="s">
        <v>620</v>
      </c>
    </row>
    <row r="4" spans="1:14" x14ac:dyDescent="0.25">
      <c r="J4" s="114" t="s">
        <v>619</v>
      </c>
    </row>
    <row r="5" spans="1:14" ht="409.5" customHeight="1" x14ac:dyDescent="0.25">
      <c r="B5" s="537"/>
    </row>
    <row r="6" spans="1:14" ht="12" customHeight="1" x14ac:dyDescent="0.25">
      <c r="B6" s="537"/>
      <c r="F6">
        <f ca="1">INDIRECT(A2)</f>
        <v>0</v>
      </c>
    </row>
    <row r="7" spans="1:14" ht="34.5" customHeight="1" x14ac:dyDescent="0.25"/>
    <row r="8" spans="1:14" ht="409.5" customHeight="1" x14ac:dyDescent="0.25">
      <c r="B8" s="537"/>
    </row>
    <row r="9" spans="1:14" x14ac:dyDescent="0.25">
      <c r="B9" s="537"/>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rgb="FF92D050"/>
  </sheetPr>
  <dimension ref="A1:BM209"/>
  <sheetViews>
    <sheetView topLeftCell="V1" zoomScaleNormal="100" workbookViewId="0">
      <pane ySplit="8" topLeftCell="A9" activePane="bottomLeft" state="frozen"/>
      <selection activeCell="F1" sqref="F1"/>
      <selection pane="bottomLeft" activeCell="AM9" sqref="AM9"/>
    </sheetView>
  </sheetViews>
  <sheetFormatPr defaultRowHeight="12.5" x14ac:dyDescent="0.25"/>
  <cols>
    <col min="1" max="1" width="19.90625" customWidth="1"/>
    <col min="2" max="2" width="13.08984375" bestFit="1" customWidth="1"/>
    <col min="4" max="4" width="74.54296875" customWidth="1"/>
    <col min="6" max="6" width="9.08984375" customWidth="1"/>
    <col min="7" max="7" width="6.90625" customWidth="1"/>
    <col min="8" max="8" width="9.08984375" style="547"/>
    <col min="9" max="10" width="9.90625" customWidth="1"/>
    <col min="11" max="11" width="8.08984375" customWidth="1"/>
    <col min="12" max="12" width="7.453125" customWidth="1"/>
    <col min="13" max="13" width="10.6328125" style="360" customWidth="1"/>
    <col min="14" max="16" width="8.90625" style="4" customWidth="1"/>
    <col min="17" max="17" width="12.08984375" style="4" customWidth="1"/>
    <col min="18" max="18" width="8" style="4" customWidth="1"/>
    <col min="19" max="19" width="9.453125" style="311" customWidth="1"/>
    <col min="20" max="20" width="8" customWidth="1"/>
    <col min="21" max="21" width="9.36328125" customWidth="1"/>
    <col min="22" max="22" width="8.90625" style="4" customWidth="1"/>
    <col min="23" max="23" width="9.90625" customWidth="1"/>
    <col min="24" max="24" width="10.6328125" customWidth="1"/>
    <col min="25" max="25" width="9.6328125" style="311" customWidth="1"/>
    <col min="26" max="26" width="10.54296875" customWidth="1"/>
    <col min="28" max="29" width="8.54296875" customWidth="1"/>
    <col min="30" max="30" width="11.6328125" customWidth="1"/>
    <col min="31" max="31" width="12.90625" customWidth="1"/>
    <col min="32" max="32" width="8" customWidth="1"/>
    <col min="33" max="33" width="9.90625" customWidth="1"/>
    <col min="34" max="35" width="8.90625" customWidth="1"/>
    <col min="36" max="36" width="10.54296875" customWidth="1"/>
    <col min="37" max="37" width="10.36328125" customWidth="1"/>
    <col min="38" max="38" width="13.6328125" customWidth="1"/>
    <col min="39" max="39" width="12" style="311" customWidth="1"/>
    <col min="40" max="40" width="11.54296875" customWidth="1"/>
    <col min="41" max="41" width="9.36328125" customWidth="1"/>
    <col min="42" max="43" width="10.453125" customWidth="1"/>
    <col min="44" max="44" width="14.6328125" customWidth="1"/>
    <col min="46" max="46" width="8.453125" style="4" customWidth="1"/>
    <col min="47" max="47" width="7.36328125" customWidth="1"/>
    <col min="48" max="48" width="10.08984375" style="9" customWidth="1"/>
    <col min="49" max="49" width="12.453125" style="379" customWidth="1"/>
    <col min="50" max="50" width="11.453125" style="379" customWidth="1"/>
    <col min="51" max="51" width="3.36328125" customWidth="1"/>
    <col min="52" max="52" width="7.90625" style="360" customWidth="1"/>
    <col min="53" max="53" width="9.08984375" style="311"/>
    <col min="54" max="54" width="10.36328125" style="311" customWidth="1"/>
    <col min="55" max="55" width="12.08984375" style="311" customWidth="1"/>
    <col min="56" max="56" width="8.90625" style="311" customWidth="1"/>
    <col min="57" max="57" width="7.90625" customWidth="1"/>
    <col min="61" max="61" width="28.453125" customWidth="1"/>
    <col min="64" max="64" width="12.453125" bestFit="1" customWidth="1"/>
  </cols>
  <sheetData>
    <row r="1" spans="1:65" ht="12.75" customHeight="1" x14ac:dyDescent="0.25">
      <c r="A1" s="763" t="s">
        <v>753</v>
      </c>
      <c r="B1" s="763"/>
      <c r="C1" s="763"/>
      <c r="D1" s="763"/>
    </row>
    <row r="2" spans="1:65" ht="12.75" customHeight="1" x14ac:dyDescent="0.25">
      <c r="A2" s="763"/>
      <c r="B2" s="763"/>
      <c r="C2" s="763"/>
      <c r="D2" s="763"/>
      <c r="H2" s="552">
        <f>AV19</f>
        <v>0.98440543494551513</v>
      </c>
      <c r="I2" s="114" t="s">
        <v>602</v>
      </c>
      <c r="J2" s="114"/>
      <c r="AK2" s="114"/>
    </row>
    <row r="3" spans="1:65" ht="12.75" customHeight="1" x14ac:dyDescent="0.25">
      <c r="A3" s="763"/>
      <c r="B3" s="763"/>
      <c r="C3" s="763"/>
      <c r="D3" s="763"/>
      <c r="H3" s="552">
        <f>AV59</f>
        <v>0.99218559226947767</v>
      </c>
      <c r="I3" s="114" t="s">
        <v>604</v>
      </c>
      <c r="J3" s="114"/>
      <c r="AK3" s="114"/>
      <c r="AP3">
        <f>IF(MODE=1, (Qg_Q1+Qg_Q2)*Fsw*Vin, (Qg_Q1+Qg_Q2+Qg_Q3+Qg_Q4)*Fsw*Vin)</f>
        <v>0.58410000000000006</v>
      </c>
    </row>
    <row r="4" spans="1:65" ht="12.75" customHeight="1" x14ac:dyDescent="0.25">
      <c r="A4" s="763"/>
      <c r="B4" s="763"/>
      <c r="C4" s="763"/>
      <c r="D4" s="763"/>
      <c r="H4" s="552">
        <f>AV109</f>
        <v>0.9893995771013635</v>
      </c>
      <c r="I4" s="114" t="s">
        <v>603</v>
      </c>
      <c r="J4" s="114"/>
      <c r="AK4" s="114"/>
      <c r="AO4" s="114" t="s">
        <v>815</v>
      </c>
      <c r="AP4">
        <f>(Qg_Q1+Qg_Q2)*Fsw*1000</f>
        <v>5.7200000000000006</v>
      </c>
      <c r="AQ4" s="114" t="s">
        <v>64</v>
      </c>
      <c r="AR4">
        <f>AP4*5/1000</f>
        <v>2.86E-2</v>
      </c>
    </row>
    <row r="5" spans="1:65" ht="13" x14ac:dyDescent="0.3">
      <c r="A5" s="10"/>
      <c r="B5" s="11"/>
      <c r="C5" s="6"/>
      <c r="D5" s="6"/>
    </row>
    <row r="6" spans="1:65" ht="13.5" customHeight="1" thickBot="1" x14ac:dyDescent="0.3">
      <c r="A6" s="764" t="s">
        <v>474</v>
      </c>
      <c r="B6" s="764"/>
      <c r="C6" s="764"/>
      <c r="D6" s="764"/>
    </row>
    <row r="7" spans="1:65" ht="13.5" thickBot="1" x14ac:dyDescent="0.35">
      <c r="A7" s="764"/>
      <c r="B7" s="764"/>
      <c r="C7" s="764"/>
      <c r="D7" s="764"/>
      <c r="G7" s="756" t="s">
        <v>595</v>
      </c>
      <c r="H7" s="757"/>
      <c r="I7" s="757"/>
      <c r="J7" s="757"/>
      <c r="K7" s="757"/>
      <c r="L7" s="757"/>
      <c r="M7" s="757"/>
      <c r="N7" s="758"/>
      <c r="O7" s="651"/>
      <c r="P7" s="651"/>
      <c r="Q7" s="651"/>
      <c r="R7" s="756" t="s">
        <v>485</v>
      </c>
      <c r="S7" s="757"/>
      <c r="T7" s="757"/>
      <c r="U7" s="758"/>
      <c r="V7" s="765" t="s">
        <v>25</v>
      </c>
      <c r="W7" s="766"/>
      <c r="X7" s="767"/>
      <c r="Y7" s="756" t="s">
        <v>57</v>
      </c>
      <c r="Z7" s="757"/>
      <c r="AA7" s="758"/>
      <c r="AB7" s="756" t="s">
        <v>592</v>
      </c>
      <c r="AC7" s="757"/>
      <c r="AD7" s="757"/>
      <c r="AE7" s="757"/>
      <c r="AF7" s="757"/>
      <c r="AG7" s="758"/>
      <c r="AH7" s="756" t="s">
        <v>593</v>
      </c>
      <c r="AI7" s="757"/>
      <c r="AJ7" s="757"/>
      <c r="AK7" s="758"/>
      <c r="AL7" s="466" t="s">
        <v>201</v>
      </c>
      <c r="AM7" s="468" t="s">
        <v>458</v>
      </c>
      <c r="AN7" s="467" t="s">
        <v>503</v>
      </c>
      <c r="AO7" s="759" t="s">
        <v>492</v>
      </c>
      <c r="AP7" s="760"/>
      <c r="AQ7" s="760"/>
      <c r="AR7" s="761"/>
      <c r="AS7" s="762"/>
      <c r="AT7" s="756" t="s">
        <v>500</v>
      </c>
      <c r="AU7" s="757"/>
      <c r="AV7" s="757"/>
      <c r="AW7" s="757"/>
      <c r="AX7" s="757"/>
      <c r="AY7" s="543"/>
      <c r="AZ7" s="755" t="s">
        <v>501</v>
      </c>
      <c r="BA7" s="755"/>
      <c r="BB7" s="755"/>
      <c r="BC7" s="755"/>
      <c r="BD7" s="755"/>
      <c r="BE7" s="755"/>
    </row>
    <row r="8" spans="1:65" ht="65.5" thickBot="1" x14ac:dyDescent="0.65">
      <c r="A8" s="606" t="s">
        <v>108</v>
      </c>
      <c r="B8" s="13"/>
      <c r="C8" s="13"/>
      <c r="D8" s="6"/>
      <c r="G8" s="451" t="s">
        <v>53</v>
      </c>
      <c r="H8" s="538" t="s">
        <v>3</v>
      </c>
      <c r="I8" s="538" t="s">
        <v>594</v>
      </c>
      <c r="J8" s="538" t="s">
        <v>5</v>
      </c>
      <c r="K8" s="452" t="s">
        <v>774</v>
      </c>
      <c r="L8" s="452" t="s">
        <v>305</v>
      </c>
      <c r="M8" s="463" t="s">
        <v>596</v>
      </c>
      <c r="N8" s="540" t="s">
        <v>486</v>
      </c>
      <c r="O8" s="652" t="s">
        <v>830</v>
      </c>
      <c r="P8" s="652" t="s">
        <v>831</v>
      </c>
      <c r="Q8" s="652" t="s">
        <v>832</v>
      </c>
      <c r="R8" s="539" t="s">
        <v>591</v>
      </c>
      <c r="S8" s="465" t="s">
        <v>87</v>
      </c>
      <c r="T8" s="452" t="s">
        <v>590</v>
      </c>
      <c r="U8" s="453" t="s">
        <v>521</v>
      </c>
      <c r="V8" s="539" t="s">
        <v>488</v>
      </c>
      <c r="W8" s="454" t="s">
        <v>487</v>
      </c>
      <c r="X8" s="453" t="s">
        <v>520</v>
      </c>
      <c r="Y8" s="464" t="s">
        <v>489</v>
      </c>
      <c r="Z8" s="452" t="s">
        <v>490</v>
      </c>
      <c r="AA8" s="453" t="s">
        <v>518</v>
      </c>
      <c r="AB8" s="451" t="s">
        <v>84</v>
      </c>
      <c r="AC8" s="452" t="s">
        <v>491</v>
      </c>
      <c r="AD8" s="452" t="s">
        <v>828</v>
      </c>
      <c r="AE8" s="653" t="s">
        <v>829</v>
      </c>
      <c r="AF8" s="455" t="s">
        <v>202</v>
      </c>
      <c r="AG8" s="453" t="s">
        <v>588</v>
      </c>
      <c r="AH8" s="451" t="s">
        <v>84</v>
      </c>
      <c r="AI8" s="452" t="s">
        <v>491</v>
      </c>
      <c r="AJ8" s="452" t="s">
        <v>494</v>
      </c>
      <c r="AK8" s="456" t="s">
        <v>589</v>
      </c>
      <c r="AL8" s="453" t="s">
        <v>494</v>
      </c>
      <c r="AM8" s="469" t="s">
        <v>93</v>
      </c>
      <c r="AN8" s="470" t="s">
        <v>502</v>
      </c>
      <c r="AO8" s="457" t="s">
        <v>495</v>
      </c>
      <c r="AP8" s="458" t="s">
        <v>135</v>
      </c>
      <c r="AQ8" s="459" t="s">
        <v>204</v>
      </c>
      <c r="AR8" s="458" t="s">
        <v>816</v>
      </c>
      <c r="AS8" s="460" t="s">
        <v>493</v>
      </c>
      <c r="AT8" s="461" t="s">
        <v>54</v>
      </c>
      <c r="AU8" s="452" t="s">
        <v>295</v>
      </c>
      <c r="AV8" s="462" t="s">
        <v>497</v>
      </c>
      <c r="AW8" s="550" t="str">
        <f>IF(Vin&gt;Vout, "Buck ''CONTROL'' MOSFET Temp Rise", "Boost ''CONTROL'' MOSFET Temp Rise")</f>
        <v>Buck ''CONTROL'' MOSFET Temp Rise</v>
      </c>
      <c r="AX8" s="550" t="str">
        <f>IF(Vin&gt;Vout, "Buck ''SYNC'' MOSFET Temp Rise", "Boost ''SYNC'' MOSFET Temp Rise")</f>
        <v>Buck ''SYNC'' MOSFET Temp Rise</v>
      </c>
      <c r="AZ8" s="544" t="s">
        <v>496</v>
      </c>
      <c r="BA8" s="545" t="s">
        <v>519</v>
      </c>
      <c r="BB8" s="545" t="s">
        <v>597</v>
      </c>
      <c r="BC8" s="545" t="s">
        <v>751</v>
      </c>
      <c r="BD8" s="545" t="s">
        <v>752</v>
      </c>
      <c r="BE8" s="545" t="s">
        <v>571</v>
      </c>
      <c r="BF8" s="545"/>
    </row>
    <row r="9" spans="1:65" ht="13" x14ac:dyDescent="0.3">
      <c r="A9" s="14" t="s">
        <v>55</v>
      </c>
      <c r="B9" s="15" t="s">
        <v>111</v>
      </c>
      <c r="C9" s="16" t="s">
        <v>76</v>
      </c>
      <c r="D9" s="17" t="s">
        <v>107</v>
      </c>
      <c r="G9">
        <v>0</v>
      </c>
      <c r="H9" s="548">
        <f t="shared" ref="H9:H40" si="0">Vin</f>
        <v>45</v>
      </c>
      <c r="I9" s="4">
        <f t="shared" ref="I9:I40" si="1">MODE</f>
        <v>2</v>
      </c>
      <c r="J9">
        <v>0</v>
      </c>
      <c r="K9" s="360">
        <f t="shared" ref="K9:K40" si="2">Iout*G9/100/Number_of_Phases</f>
        <v>0</v>
      </c>
      <c r="L9" s="4">
        <f t="shared" ref="L9:L40" si="3">Vout*K9/(Vin*Efficiency)</f>
        <v>0</v>
      </c>
      <c r="M9" s="360">
        <f t="shared" ref="M9:M40" si="4">(Vout+(Rdson2+Rs+Rdcr)*K9)/(Vin+(Rs+Rdson2-Rdson1)*K9)</f>
        <v>0.53333333333333333</v>
      </c>
      <c r="N9" s="4">
        <f t="shared" ref="N9:N40" si="5">(Vin-(Rdson1+Rdcr)*K9-Vout)*M9/(Fsw*Lf)</f>
        <v>5.0909090909090899</v>
      </c>
      <c r="O9" s="4">
        <f>K9+N9/2</f>
        <v>2.545454545454545</v>
      </c>
      <c r="P9" s="4">
        <f>K9-N9/2</f>
        <v>-2.545454545454545</v>
      </c>
      <c r="Q9" s="4">
        <f t="shared" ref="Q9:Q40" si="6">IF(MIN(Vin, -P9/(Coss_Q1+Coss_Q2)*0.00000002)&lt;0, 0, MIN(Vin, -P9/(Coss_Q1+Coss_Q2)*0.00000002))</f>
        <v>36.36363636363636</v>
      </c>
      <c r="R9" s="4">
        <f>SQRT(K9^2+(N9^2)/12)</f>
        <v>1.469618867028138</v>
      </c>
      <c r="S9" s="360">
        <f t="shared" ref="S9:S40" si="7">R9^2*Rdcr</f>
        <v>4.0171900826446267E-3</v>
      </c>
      <c r="T9" s="360">
        <f t="shared" ref="T9:T40" si="8">Core_Loss_Ch1</f>
        <v>0.3</v>
      </c>
      <c r="U9" s="360">
        <f t="shared" ref="U9:U40" si="9">(T9+S9*(1+Ltc*(Ta-25)))/(1-S9*Ltc*ThetaCa)</f>
        <v>0.3041149250795257</v>
      </c>
      <c r="V9" s="4">
        <f>N9/SQRT(12)</f>
        <v>1.469618867028138</v>
      </c>
      <c r="W9" s="360">
        <f t="shared" ref="W9:W73" si="10">RCoutEsr*V9^2</f>
        <v>4.3195592286501359E-3</v>
      </c>
      <c r="X9" s="360">
        <f>W9</f>
        <v>4.3195592286501359E-3</v>
      </c>
      <c r="Y9" s="4">
        <f>SQRT(M9*(1-M9))*SQRT(K9^2+(N9^2)/12)</f>
        <v>0.73317470527442452</v>
      </c>
      <c r="Z9" s="360">
        <f t="shared" ref="Z9:Z73" si="11">RCinEsr*Y9^2</f>
        <v>8.0631772268135895E-4</v>
      </c>
      <c r="AA9" s="541">
        <f>Z9</f>
        <v>8.0631772268135895E-4</v>
      </c>
      <c r="AB9" s="360">
        <f>SQRT(M9)*SQRT(K9^2+(N9^2)/12)</f>
        <v>1.0732578725419952</v>
      </c>
      <c r="AC9" s="360">
        <f t="shared" ref="AC9:AC40" si="12">Rdson1*AB9^2</f>
        <v>1.4974471992653807E-3</v>
      </c>
      <c r="AD9" s="360">
        <f t="shared" ref="AD9:AD40" si="13">(Vin*K9/2)*Fsw*(Tr_buck+Tf_buck)</f>
        <v>0</v>
      </c>
      <c r="AE9" s="360">
        <f t="shared" ref="AE9:AE40" si="14">(0.5*Coss_Q1*(Vin-Q9)^2-0.5*Coss_Q2*(Vin-Q9)^2+(Qoss_Q2*(Vin-Q9)/Vin)*Vin)*Fsw</f>
        <v>7.0300000000000029E-2</v>
      </c>
      <c r="AF9" s="360">
        <f t="shared" ref="AF9:AF40" si="15">IF(K9&gt;N9/2,0,ABS(K9-N9/2)*Vsd_Q1*Deadtime*Fsw)</f>
        <v>0</v>
      </c>
      <c r="AG9" s="360">
        <f t="shared" ref="AG9:AG40" si="16">(AF9+AE9+AD9+AC9*(1+RdsonTopTc*Ta-RdsonTopTc*25))/(1-AC9*RdsonTopTc*ThetaJA_Q1)</f>
        <v>7.1813792878443611E-2</v>
      </c>
      <c r="AH9" s="360">
        <f t="shared" ref="AH9:AH40" si="17">SQRT((1-M9))*SQRT(K9^2+(N9^2)/12)</f>
        <v>1.0039408116775104</v>
      </c>
      <c r="AI9" s="360">
        <f t="shared" ref="AI9:AI40" si="18">Rdson2*AH9^2</f>
        <v>1.3102662993572077E-3</v>
      </c>
      <c r="AJ9" s="360">
        <f t="shared" ref="AJ9:AJ40" si="19">IF(K9&lt;N9/2,Deadtime*Fsw*IF(VfdSky_Q2&gt;0,0,Vsd_Q2)*(K9+N9/2),2*Deadtime*Fsw*IF(VfdSky_Q2&gt;0,0,Vsd_Q2)*K9)</f>
        <v>0</v>
      </c>
      <c r="AK9" s="360">
        <f t="shared" ref="AK9:AK40" si="20">(AJ9+AI9*(1+RdsonBotTc*Ta-RdsonBotTc*25))/(1-AI9*RdsonBotTc*ThetaJA_Q2)</f>
        <v>1.310527304600972E-3</v>
      </c>
      <c r="AL9" s="360">
        <f t="shared" ref="AL9:AL40" si="21">2*Deadtime*Fsw*IF(VfdSky_Q2&gt;0,VfdSky_Q2,Vsd_Q2)*K9</f>
        <v>0</v>
      </c>
      <c r="AM9" s="360">
        <f t="shared" ref="AM9:AM40" si="22">IF(QrrSky_Q2&gt;0,QrrSky_Q2,Qrr_Q2*K9/(Iout/Number_of_Phases))*Fsw*Vin</f>
        <v>4.4549999999999999E-2</v>
      </c>
      <c r="AN9" s="360">
        <f t="shared" ref="AN9:AN40" si="23">CHOOSE(SENSING_TYPE, Rs*R9^2, 0)</f>
        <v>4.7515151515151498E-3</v>
      </c>
      <c r="AO9" s="360">
        <f t="shared" ref="AO9:AO40" si="24">Iq*Vin</f>
        <v>1.5749999999999998E-3</v>
      </c>
      <c r="AP9" s="360">
        <f t="shared" ref="AP9:AP40" si="25">IF(Ext_VCC=1,  (Qg_Q1+Qg_Q2)*Fsw*VCC, (Qg_Q1+Qg_Q2)*Fsw*Vin)</f>
        <v>0.25740000000000002</v>
      </c>
      <c r="AQ9" s="360">
        <f t="shared" ref="AQ9:AQ72" si="26">(Vin-VCC)*Fsw*(Qg_Q1+Qg_Q2)+(RdsonDRT+RdsonDRT2)*Fsw*Qg_Q1*VCC/(RdsonDRT+2*Rgate1+RdsonDRT2)+(RdsonDRB+RdsonDRB2)*Fsw*Qg_Q2*VCC/(RdsonDRB+2*Rgate2+RdsonDRB2)</f>
        <v>0.24596000000000001</v>
      </c>
      <c r="AR9" s="360">
        <f t="shared" ref="AR9:AR40" si="27">(Qg_Q1+Qg_Q2)*Fsw*(Vin-VCC)</f>
        <v>0.2288</v>
      </c>
      <c r="AS9" s="360">
        <f t="shared" ref="AS9:AS40" si="28">SUM(AO9:AP9)</f>
        <v>0.25897500000000001</v>
      </c>
      <c r="AT9" s="360">
        <f t="shared" ref="AT9:AT40" si="29" xml:space="preserve"> SUM(U9,X9,AA9,AG9,AK9,AL9,AM9,AS9,AN9)</f>
        <v>0.69064163736541695</v>
      </c>
      <c r="AU9">
        <f t="shared" ref="AU9:AU40" si="30">Vout*K9</f>
        <v>0</v>
      </c>
      <c r="AV9" s="542">
        <f>AU9/(AU9+AT9)</f>
        <v>0</v>
      </c>
      <c r="AW9" s="551">
        <f t="shared" ref="AW9:AW40" si="31">ThetaJA_Q1*BC9</f>
        <v>3.8462381293808572</v>
      </c>
      <c r="AX9" s="551">
        <f t="shared" ref="AX9:AX40" si="32">ThetaJA_Q2*BD9</f>
        <v>0.60845703757483705</v>
      </c>
      <c r="AZ9" s="4">
        <f>AV9*100</f>
        <v>0</v>
      </c>
      <c r="BA9" s="360">
        <f t="shared" ref="BA9:BA40" si="33">U9</f>
        <v>0.3041149250795257</v>
      </c>
      <c r="BB9" s="360">
        <f t="shared" ref="BB9:BB40" si="34">AG9+AK9+AM9</f>
        <v>0.11767432018304458</v>
      </c>
      <c r="BC9" s="360">
        <f t="shared" ref="BC9:BC40" si="35">AG9+AM9*0.66</f>
        <v>0.10121679287844361</v>
      </c>
      <c r="BD9" s="360">
        <f t="shared" ref="BD9:BD40" si="36">AK9+AM9*0.33</f>
        <v>1.6012027304600975E-2</v>
      </c>
      <c r="BE9" s="360">
        <f t="shared" ref="BE9:BE40" si="37">AN9</f>
        <v>4.7515151515151498E-3</v>
      </c>
      <c r="BJ9" s="18"/>
      <c r="BK9" s="18"/>
      <c r="BL9" s="18"/>
      <c r="BM9" s="19"/>
    </row>
    <row r="10" spans="1:65" ht="13" x14ac:dyDescent="0.3">
      <c r="A10" s="495"/>
      <c r="B10" s="24"/>
      <c r="C10" s="16"/>
      <c r="D10" s="17"/>
      <c r="G10">
        <v>1</v>
      </c>
      <c r="H10" s="548">
        <f t="shared" si="0"/>
        <v>45</v>
      </c>
      <c r="I10" s="4">
        <f t="shared" si="1"/>
        <v>2</v>
      </c>
      <c r="J10" s="360">
        <f t="shared" ref="J10:J41" si="38">Iout*G10/100</f>
        <v>0.6</v>
      </c>
      <c r="K10" s="360">
        <f t="shared" si="2"/>
        <v>0.3</v>
      </c>
      <c r="L10" s="4">
        <f t="shared" si="3"/>
        <v>0.17777777777777776</v>
      </c>
      <c r="M10" s="360">
        <f t="shared" si="4"/>
        <v>0.53336124403508745</v>
      </c>
      <c r="N10" s="4">
        <f t="shared" si="5"/>
        <v>5.0909456810352225</v>
      </c>
      <c r="O10" s="4">
        <f t="shared" ref="O10:O73" si="39">K10+N10/2</f>
        <v>2.8454728405176111</v>
      </c>
      <c r="P10" s="4">
        <f t="shared" ref="P10:P73" si="40">K10-N10/2</f>
        <v>-2.2454728405176114</v>
      </c>
      <c r="Q10" s="4">
        <f t="shared" si="6"/>
        <v>32.078183435965883</v>
      </c>
      <c r="R10" s="4">
        <f t="shared" ref="R10:R73" si="41">SQRT(K10^2+(N10^2)/12)</f>
        <v>1.4999368855402766</v>
      </c>
      <c r="S10" s="360">
        <f t="shared" si="7"/>
        <v>4.1846478287239329E-3</v>
      </c>
      <c r="T10" s="360">
        <f t="shared" si="8"/>
        <v>0.3</v>
      </c>
      <c r="U10" s="360">
        <f t="shared" si="9"/>
        <v>0.30428651438086102</v>
      </c>
      <c r="V10" s="4">
        <f t="shared" ref="V10:V73" si="42">N10/SQRT(12)</f>
        <v>1.4696294296877244</v>
      </c>
      <c r="W10" s="360">
        <f t="shared" si="10"/>
        <v>4.319621321208532E-3</v>
      </c>
      <c r="X10" s="360">
        <f t="shared" ref="X10:X73" si="43">W10</f>
        <v>4.319621321208532E-3</v>
      </c>
      <c r="Y10" s="4">
        <f t="shared" ref="Y10:Y73" si="44">SQRT(M10*(1-M10))*SQRT(K10^2+(N10^2)/12)</f>
        <v>0.74829719197829214</v>
      </c>
      <c r="Z10" s="360">
        <f t="shared" si="11"/>
        <v>8.3992303128389552E-4</v>
      </c>
      <c r="AA10" s="541">
        <f t="shared" ref="AA10:AA73" si="45">Z10</f>
        <v>8.3992303128389552E-4</v>
      </c>
      <c r="AB10" s="360">
        <f t="shared" ref="AB10:AB73" si="46">SQRT(M10)*SQRT(K10^2+(N10^2)/12)</f>
        <v>1.0954276848716635</v>
      </c>
      <c r="AC10" s="360">
        <f t="shared" si="12"/>
        <v>1.5599503566182801E-3</v>
      </c>
      <c r="AD10" s="360">
        <f t="shared" si="13"/>
        <v>8.8075862068965529E-3</v>
      </c>
      <c r="AE10" s="360">
        <f t="shared" si="14"/>
        <v>0.10518358683123771</v>
      </c>
      <c r="AF10" s="360">
        <f t="shared" si="15"/>
        <v>0</v>
      </c>
      <c r="AG10" s="360">
        <f t="shared" si="16"/>
        <v>0.11557852850329947</v>
      </c>
      <c r="AH10" s="360">
        <f t="shared" si="17"/>
        <v>1.0246213192301692</v>
      </c>
      <c r="AI10" s="360">
        <f t="shared" si="18"/>
        <v>1.3648035021672639E-3</v>
      </c>
      <c r="AJ10" s="360">
        <f t="shared" si="19"/>
        <v>0</v>
      </c>
      <c r="AK10" s="360">
        <f t="shared" si="20"/>
        <v>1.3650866895816589E-3</v>
      </c>
      <c r="AL10" s="360">
        <f t="shared" si="21"/>
        <v>1.3305599999999997E-3</v>
      </c>
      <c r="AM10" s="360">
        <f t="shared" si="22"/>
        <v>4.4549999999999999E-2</v>
      </c>
      <c r="AN10" s="360">
        <f t="shared" si="23"/>
        <v>4.9495834533293823E-3</v>
      </c>
      <c r="AO10" s="360">
        <f t="shared" si="24"/>
        <v>1.5749999999999998E-3</v>
      </c>
      <c r="AP10" s="360">
        <f t="shared" si="25"/>
        <v>0.25740000000000002</v>
      </c>
      <c r="AQ10" s="360">
        <f t="shared" si="26"/>
        <v>0.24596000000000001</v>
      </c>
      <c r="AR10" s="360">
        <f t="shared" si="27"/>
        <v>0.2288</v>
      </c>
      <c r="AS10" s="360">
        <f t="shared" si="28"/>
        <v>0.25897500000000001</v>
      </c>
      <c r="AT10" s="360">
        <f t="shared" si="29"/>
        <v>0.73619481737956394</v>
      </c>
      <c r="AU10">
        <f t="shared" si="30"/>
        <v>7.1999999999999993</v>
      </c>
      <c r="AV10" s="542">
        <f t="shared" ref="AV10:AV73" si="47">AU10/(AU10+AT10)</f>
        <v>0.90723579318297942</v>
      </c>
      <c r="AW10" s="551">
        <f t="shared" si="31"/>
        <v>5.5092980831253806</v>
      </c>
      <c r="AX10" s="551">
        <f t="shared" si="32"/>
        <v>0.6105302942041031</v>
      </c>
      <c r="AY10" s="9"/>
      <c r="AZ10" s="4">
        <f t="shared" ref="AZ10:AZ73" si="48">AV10*100</f>
        <v>90.723579318297936</v>
      </c>
      <c r="BA10" s="360">
        <f t="shared" si="33"/>
        <v>0.30428651438086102</v>
      </c>
      <c r="BB10" s="360">
        <f t="shared" si="34"/>
        <v>0.16149361519288113</v>
      </c>
      <c r="BC10" s="360">
        <f t="shared" si="35"/>
        <v>0.14498152850329948</v>
      </c>
      <c r="BD10" s="360">
        <f t="shared" si="36"/>
        <v>1.606658668958166E-2</v>
      </c>
      <c r="BE10" s="360">
        <f t="shared" si="37"/>
        <v>4.9495834533293823E-3</v>
      </c>
      <c r="BJ10" s="18"/>
      <c r="BK10" s="18"/>
      <c r="BL10" s="18"/>
      <c r="BM10" s="19"/>
    </row>
    <row r="11" spans="1:65" x14ac:dyDescent="0.25">
      <c r="A11" s="20" t="s">
        <v>3</v>
      </c>
      <c r="B11" s="5">
        <f>Vin</f>
        <v>45</v>
      </c>
      <c r="C11" s="440" t="s">
        <v>0</v>
      </c>
      <c r="D11" s="21" t="s">
        <v>3</v>
      </c>
      <c r="G11">
        <v>2</v>
      </c>
      <c r="H11" s="548">
        <f t="shared" si="0"/>
        <v>45</v>
      </c>
      <c r="I11" s="4">
        <f t="shared" si="1"/>
        <v>2</v>
      </c>
      <c r="J11" s="360">
        <f t="shared" si="38"/>
        <v>1.2</v>
      </c>
      <c r="K11" s="360">
        <f t="shared" si="2"/>
        <v>0.6</v>
      </c>
      <c r="L11" s="4">
        <f t="shared" si="3"/>
        <v>0.35555555555555551</v>
      </c>
      <c r="M11" s="360">
        <f t="shared" si="4"/>
        <v>0.53338915391815167</v>
      </c>
      <c r="N11" s="4">
        <f t="shared" si="5"/>
        <v>5.0909822392933428</v>
      </c>
      <c r="O11" s="4">
        <f t="shared" si="39"/>
        <v>3.1454911196466715</v>
      </c>
      <c r="P11" s="4">
        <f t="shared" si="40"/>
        <v>-1.9454911196466713</v>
      </c>
      <c r="Q11" s="4">
        <f t="shared" si="6"/>
        <v>27.792730280666735</v>
      </c>
      <c r="R11" s="4">
        <f t="shared" si="41"/>
        <v>1.5874009197637149</v>
      </c>
      <c r="S11" s="360">
        <f t="shared" si="7"/>
        <v>4.6869055249240399E-3</v>
      </c>
      <c r="T11" s="360">
        <f t="shared" si="8"/>
        <v>0.3</v>
      </c>
      <c r="U11" s="360">
        <f t="shared" si="9"/>
        <v>0.30480119147599066</v>
      </c>
      <c r="V11" s="4">
        <f t="shared" si="42"/>
        <v>1.4696399831478077</v>
      </c>
      <c r="W11" s="360">
        <f t="shared" si="10"/>
        <v>4.3196833601333775E-3</v>
      </c>
      <c r="X11" s="360">
        <f t="shared" si="43"/>
        <v>4.3196833601333775E-3</v>
      </c>
      <c r="Y11" s="4">
        <f t="shared" si="44"/>
        <v>0.79192879150019369</v>
      </c>
      <c r="Z11" s="360">
        <f t="shared" si="11"/>
        <v>9.4072681621043585E-4</v>
      </c>
      <c r="AA11" s="541">
        <f t="shared" si="45"/>
        <v>9.4072681621043585E-4</v>
      </c>
      <c r="AB11" s="360">
        <f t="shared" si="46"/>
        <v>1.1593343873699533</v>
      </c>
      <c r="AC11" s="360">
        <f t="shared" si="12"/>
        <v>1.7472730882600045E-3</v>
      </c>
      <c r="AD11" s="360">
        <f t="shared" si="13"/>
        <v>1.7615172413793106E-2</v>
      </c>
      <c r="AE11" s="360">
        <f t="shared" si="14"/>
        <v>0.14006717551537276</v>
      </c>
      <c r="AF11" s="360">
        <f t="shared" si="15"/>
        <v>0</v>
      </c>
      <c r="AG11" s="360">
        <f t="shared" si="16"/>
        <v>0.1594719744630011</v>
      </c>
      <c r="AH11" s="360">
        <f t="shared" si="17"/>
        <v>1.0843364138164058</v>
      </c>
      <c r="AI11" s="360">
        <f t="shared" si="18"/>
        <v>1.5285210958266907E-3</v>
      </c>
      <c r="AJ11" s="360">
        <f t="shared" si="19"/>
        <v>0</v>
      </c>
      <c r="AK11" s="360">
        <f t="shared" si="20"/>
        <v>1.5288763076194347E-3</v>
      </c>
      <c r="AL11" s="360">
        <f t="shared" si="21"/>
        <v>2.6611199999999995E-3</v>
      </c>
      <c r="AM11" s="360">
        <f t="shared" si="22"/>
        <v>4.4549999999999999E-2</v>
      </c>
      <c r="AN11" s="360">
        <f t="shared" si="23"/>
        <v>5.5436516961467133E-3</v>
      </c>
      <c r="AO11" s="360">
        <f t="shared" si="24"/>
        <v>1.5749999999999998E-3</v>
      </c>
      <c r="AP11" s="360">
        <f t="shared" si="25"/>
        <v>0.25740000000000002</v>
      </c>
      <c r="AQ11" s="360">
        <f t="shared" si="26"/>
        <v>0.24596000000000001</v>
      </c>
      <c r="AR11" s="360">
        <f t="shared" si="27"/>
        <v>0.2288</v>
      </c>
      <c r="AS11" s="360">
        <f t="shared" si="28"/>
        <v>0.25897500000000001</v>
      </c>
      <c r="AT11" s="360">
        <f t="shared" si="29"/>
        <v>0.78279222411910165</v>
      </c>
      <c r="AU11">
        <f t="shared" si="30"/>
        <v>14.399999999999999</v>
      </c>
      <c r="AV11" s="542">
        <f t="shared" si="47"/>
        <v>0.94844214341051358</v>
      </c>
      <c r="AW11" s="551">
        <f t="shared" si="31"/>
        <v>7.1772490295940425</v>
      </c>
      <c r="AX11" s="551">
        <f t="shared" si="32"/>
        <v>0.61675429968953854</v>
      </c>
      <c r="AY11" s="9"/>
      <c r="AZ11" s="4">
        <f t="shared" si="48"/>
        <v>94.844214341051355</v>
      </c>
      <c r="BA11" s="360">
        <f t="shared" si="33"/>
        <v>0.30480119147599066</v>
      </c>
      <c r="BB11" s="360">
        <f t="shared" si="34"/>
        <v>0.20555085077062055</v>
      </c>
      <c r="BC11" s="360">
        <f t="shared" si="35"/>
        <v>0.18887497446300111</v>
      </c>
      <c r="BD11" s="360">
        <f t="shared" si="36"/>
        <v>1.6230376307619435E-2</v>
      </c>
      <c r="BE11" s="360">
        <f t="shared" si="37"/>
        <v>5.5436516961467133E-3</v>
      </c>
      <c r="BJ11" s="18"/>
      <c r="BK11" s="18"/>
      <c r="BL11" s="18"/>
      <c r="BM11" s="19"/>
    </row>
    <row r="12" spans="1:65" x14ac:dyDescent="0.25">
      <c r="A12" s="22" t="s">
        <v>4</v>
      </c>
      <c r="B12" s="5">
        <f>Vout</f>
        <v>24</v>
      </c>
      <c r="C12" s="440" t="s">
        <v>0</v>
      </c>
      <c r="D12" s="21" t="s">
        <v>4</v>
      </c>
      <c r="G12">
        <v>3</v>
      </c>
      <c r="H12" s="548">
        <f t="shared" si="0"/>
        <v>45</v>
      </c>
      <c r="I12" s="4">
        <f t="shared" si="1"/>
        <v>2</v>
      </c>
      <c r="J12" s="360">
        <f t="shared" si="38"/>
        <v>1.8</v>
      </c>
      <c r="K12" s="360">
        <f t="shared" si="2"/>
        <v>0.9</v>
      </c>
      <c r="L12" s="4">
        <f t="shared" si="3"/>
        <v>0.53333333333333333</v>
      </c>
      <c r="M12" s="360">
        <f t="shared" si="4"/>
        <v>0.53341706298256208</v>
      </c>
      <c r="N12" s="4">
        <f t="shared" si="5"/>
        <v>5.0910187656848542</v>
      </c>
      <c r="O12" s="4">
        <f t="shared" si="39"/>
        <v>3.445509382842427</v>
      </c>
      <c r="P12" s="4">
        <f t="shared" si="40"/>
        <v>-1.6455093828424272</v>
      </c>
      <c r="Q12" s="4">
        <f t="shared" si="6"/>
        <v>23.507276897748962</v>
      </c>
      <c r="R12" s="4">
        <f t="shared" si="41"/>
        <v>1.7233318521726873</v>
      </c>
      <c r="S12" s="360">
        <f t="shared" si="7"/>
        <v>5.5239631712460779E-3</v>
      </c>
      <c r="T12" s="360">
        <f t="shared" si="8"/>
        <v>0.3</v>
      </c>
      <c r="U12" s="360">
        <f t="shared" si="9"/>
        <v>0.30565903911324765</v>
      </c>
      <c r="V12" s="4">
        <f t="shared" si="42"/>
        <v>1.4696505274087934</v>
      </c>
      <c r="W12" s="360">
        <f t="shared" si="10"/>
        <v>4.3197453454258891E-3</v>
      </c>
      <c r="X12" s="360">
        <f t="shared" si="43"/>
        <v>4.3197453454258891E-3</v>
      </c>
      <c r="Y12" s="4">
        <f t="shared" si="44"/>
        <v>0.8597393273966476</v>
      </c>
      <c r="Z12" s="360">
        <f t="shared" si="11"/>
        <v>1.1087275666086601E-3</v>
      </c>
      <c r="AA12" s="541">
        <f t="shared" si="45"/>
        <v>1.1087275666086601E-3</v>
      </c>
      <c r="AB12" s="360">
        <f t="shared" si="46"/>
        <v>1.2586424267879701</v>
      </c>
      <c r="AC12" s="360">
        <f t="shared" si="12"/>
        <v>2.0594349860639238E-3</v>
      </c>
      <c r="AD12" s="360">
        <f t="shared" si="13"/>
        <v>2.6422758620689657E-2</v>
      </c>
      <c r="AE12" s="360">
        <f t="shared" si="14"/>
        <v>0.17495076605232346</v>
      </c>
      <c r="AF12" s="360">
        <f t="shared" si="15"/>
        <v>0</v>
      </c>
      <c r="AG12" s="360">
        <f t="shared" si="16"/>
        <v>0.20349666105686284</v>
      </c>
      <c r="AH12" s="360">
        <f t="shared" si="17"/>
        <v>1.1771541590642383</v>
      </c>
      <c r="AI12" s="360">
        <f t="shared" si="18"/>
        <v>1.801399488462904E-3</v>
      </c>
      <c r="AJ12" s="360">
        <f t="shared" si="19"/>
        <v>0</v>
      </c>
      <c r="AK12" s="360">
        <f t="shared" si="20"/>
        <v>1.8018928696547404E-3</v>
      </c>
      <c r="AL12" s="360">
        <f t="shared" si="21"/>
        <v>3.9916799999999992E-3</v>
      </c>
      <c r="AM12" s="360">
        <f t="shared" si="22"/>
        <v>4.4549999999999999E-2</v>
      </c>
      <c r="AN12" s="360">
        <f t="shared" si="23"/>
        <v>6.5337198799684795E-3</v>
      </c>
      <c r="AO12" s="360">
        <f t="shared" si="24"/>
        <v>1.5749999999999998E-3</v>
      </c>
      <c r="AP12" s="360">
        <f t="shared" si="25"/>
        <v>0.25740000000000002</v>
      </c>
      <c r="AQ12" s="360">
        <f t="shared" si="26"/>
        <v>0.24596000000000001</v>
      </c>
      <c r="AR12" s="360">
        <f t="shared" si="27"/>
        <v>0.2288</v>
      </c>
      <c r="AS12" s="360">
        <f t="shared" si="28"/>
        <v>0.25897500000000001</v>
      </c>
      <c r="AT12" s="360">
        <f t="shared" si="29"/>
        <v>0.83043646583176822</v>
      </c>
      <c r="AU12">
        <f t="shared" si="30"/>
        <v>21.6</v>
      </c>
      <c r="AV12" s="542">
        <f t="shared" si="47"/>
        <v>0.96297724892260705</v>
      </c>
      <c r="AW12" s="551">
        <f t="shared" si="31"/>
        <v>8.850187120160788</v>
      </c>
      <c r="AX12" s="551">
        <f t="shared" si="32"/>
        <v>0.62712892904688022</v>
      </c>
      <c r="AY12" s="9"/>
      <c r="AZ12" s="4">
        <f t="shared" si="48"/>
        <v>96.297724892260703</v>
      </c>
      <c r="BA12" s="360">
        <f t="shared" si="33"/>
        <v>0.30565903911324765</v>
      </c>
      <c r="BB12" s="360">
        <f t="shared" si="34"/>
        <v>0.24984855392651759</v>
      </c>
      <c r="BC12" s="360">
        <f t="shared" si="35"/>
        <v>0.23289966105686286</v>
      </c>
      <c r="BD12" s="360">
        <f t="shared" si="36"/>
        <v>1.6503392869654743E-2</v>
      </c>
      <c r="BE12" s="360">
        <f t="shared" si="37"/>
        <v>6.5337198799684795E-3</v>
      </c>
      <c r="BJ12" s="18"/>
      <c r="BK12" s="18"/>
      <c r="BL12" s="18"/>
      <c r="BM12" s="19"/>
    </row>
    <row r="13" spans="1:65" x14ac:dyDescent="0.25">
      <c r="A13" s="22" t="s">
        <v>6</v>
      </c>
      <c r="B13" s="5">
        <f>Fsw/1000</f>
        <v>220</v>
      </c>
      <c r="C13" s="440" t="s">
        <v>2</v>
      </c>
      <c r="D13" s="21" t="s">
        <v>94</v>
      </c>
      <c r="G13">
        <v>4</v>
      </c>
      <c r="H13" s="548">
        <f t="shared" si="0"/>
        <v>45</v>
      </c>
      <c r="I13" s="4">
        <f t="shared" si="1"/>
        <v>2</v>
      </c>
      <c r="J13" s="360">
        <f t="shared" si="38"/>
        <v>2.4</v>
      </c>
      <c r="K13" s="360">
        <f t="shared" si="2"/>
        <v>1.2</v>
      </c>
      <c r="L13" s="4">
        <f t="shared" si="3"/>
        <v>0.71111111111111103</v>
      </c>
      <c r="M13" s="360">
        <f t="shared" si="4"/>
        <v>0.53344497122835466</v>
      </c>
      <c r="N13" s="4">
        <f t="shared" si="5"/>
        <v>5.0910552602111592</v>
      </c>
      <c r="O13" s="4">
        <f t="shared" si="39"/>
        <v>3.7455276301055793</v>
      </c>
      <c r="P13" s="4">
        <f t="shared" si="40"/>
        <v>-1.3455276301055796</v>
      </c>
      <c r="Q13" s="4">
        <f t="shared" si="6"/>
        <v>19.221823287222566</v>
      </c>
      <c r="R13" s="4">
        <f t="shared" si="41"/>
        <v>1.897341202457703</v>
      </c>
      <c r="S13" s="360">
        <f t="shared" si="7"/>
        <v>6.6958207676911753E-3</v>
      </c>
      <c r="T13" s="360">
        <f t="shared" si="8"/>
        <v>0.3</v>
      </c>
      <c r="U13" s="360">
        <f t="shared" si="9"/>
        <v>0.30686019523713487</v>
      </c>
      <c r="V13" s="4">
        <f t="shared" si="42"/>
        <v>1.4696610624710866</v>
      </c>
      <c r="W13" s="360">
        <f t="shared" si="10"/>
        <v>4.3198072770872864E-3</v>
      </c>
      <c r="X13" s="360">
        <f t="shared" si="43"/>
        <v>4.3198072770872864E-3</v>
      </c>
      <c r="Y13" s="4">
        <f t="shared" si="44"/>
        <v>0.94654592041849372</v>
      </c>
      <c r="Z13" s="360">
        <f t="shared" si="11"/>
        <v>1.3439237691913403E-3</v>
      </c>
      <c r="AA13" s="541">
        <f t="shared" si="45"/>
        <v>1.3439237691913403E-3</v>
      </c>
      <c r="AB13" s="360">
        <f t="shared" si="46"/>
        <v>1.3857671135106946</v>
      </c>
      <c r="AC13" s="360">
        <f t="shared" si="12"/>
        <v>2.4964556407540911E-3</v>
      </c>
      <c r="AD13" s="360">
        <f t="shared" si="13"/>
        <v>3.5230344827586212E-2</v>
      </c>
      <c r="AE13" s="360">
        <f t="shared" si="14"/>
        <v>0.20983435844200832</v>
      </c>
      <c r="AF13" s="360">
        <f t="shared" si="15"/>
        <v>0</v>
      </c>
      <c r="AG13" s="360">
        <f t="shared" si="16"/>
        <v>0.24765513443906312</v>
      </c>
      <c r="AH13" s="360">
        <f t="shared" si="17"/>
        <v>1.2959757504119742</v>
      </c>
      <c r="AI13" s="360">
        <f t="shared" si="18"/>
        <v>2.1834190893526436E-3</v>
      </c>
      <c r="AJ13" s="360">
        <f t="shared" si="19"/>
        <v>0</v>
      </c>
      <c r="AK13" s="360">
        <f t="shared" si="20"/>
        <v>2.1841439623990957E-3</v>
      </c>
      <c r="AL13" s="360">
        <f t="shared" si="21"/>
        <v>5.3222399999999989E-3</v>
      </c>
      <c r="AM13" s="360">
        <f t="shared" si="22"/>
        <v>4.4549999999999999E-2</v>
      </c>
      <c r="AN13" s="360">
        <f t="shared" si="23"/>
        <v>7.9197880047960131E-3</v>
      </c>
      <c r="AO13" s="360">
        <f t="shared" si="24"/>
        <v>1.5749999999999998E-3</v>
      </c>
      <c r="AP13" s="360">
        <f t="shared" si="25"/>
        <v>0.25740000000000002</v>
      </c>
      <c r="AQ13" s="360">
        <f t="shared" si="26"/>
        <v>0.24596000000000001</v>
      </c>
      <c r="AR13" s="360">
        <f t="shared" si="27"/>
        <v>0.2288</v>
      </c>
      <c r="AS13" s="360">
        <f t="shared" si="28"/>
        <v>0.25897500000000001</v>
      </c>
      <c r="AT13" s="360">
        <f t="shared" si="29"/>
        <v>0.87913023268967161</v>
      </c>
      <c r="AU13">
        <f t="shared" si="30"/>
        <v>28.799999999999997</v>
      </c>
      <c r="AV13" s="542">
        <f t="shared" si="47"/>
        <v>0.97037884109820149</v>
      </c>
      <c r="AW13" s="551">
        <f t="shared" si="31"/>
        <v>10.528209108684399</v>
      </c>
      <c r="AX13" s="551">
        <f t="shared" si="32"/>
        <v>0.64165447057116565</v>
      </c>
      <c r="AY13" s="9"/>
      <c r="AZ13" s="4">
        <f t="shared" si="48"/>
        <v>97.037884109820155</v>
      </c>
      <c r="BA13" s="360">
        <f t="shared" si="33"/>
        <v>0.30686019523713487</v>
      </c>
      <c r="BB13" s="360">
        <f t="shared" si="34"/>
        <v>0.29438927840146223</v>
      </c>
      <c r="BC13" s="360">
        <f t="shared" si="35"/>
        <v>0.27705813443906313</v>
      </c>
      <c r="BD13" s="360">
        <f t="shared" si="36"/>
        <v>1.6885643962399097E-2</v>
      </c>
      <c r="BE13" s="360">
        <f t="shared" si="37"/>
        <v>7.9197880047960131E-3</v>
      </c>
      <c r="BJ13" s="18"/>
      <c r="BK13" s="18"/>
      <c r="BL13" s="18"/>
      <c r="BM13" s="19"/>
    </row>
    <row r="14" spans="1:65" x14ac:dyDescent="0.25">
      <c r="A14" s="22" t="s">
        <v>5</v>
      </c>
      <c r="B14" s="5">
        <f>Iout</f>
        <v>60</v>
      </c>
      <c r="C14" s="440" t="s">
        <v>1</v>
      </c>
      <c r="D14" s="21" t="s">
        <v>95</v>
      </c>
      <c r="G14">
        <v>5</v>
      </c>
      <c r="H14" s="548">
        <f t="shared" si="0"/>
        <v>45</v>
      </c>
      <c r="I14" s="4">
        <f t="shared" si="1"/>
        <v>2</v>
      </c>
      <c r="J14" s="360">
        <f t="shared" si="38"/>
        <v>3</v>
      </c>
      <c r="K14" s="360">
        <f t="shared" si="2"/>
        <v>1.5</v>
      </c>
      <c r="L14" s="4">
        <f t="shared" si="3"/>
        <v>0.88888888888888884</v>
      </c>
      <c r="M14" s="360">
        <f t="shared" si="4"/>
        <v>0.53347287865556525</v>
      </c>
      <c r="N14" s="4">
        <f t="shared" si="5"/>
        <v>5.0910917228736556</v>
      </c>
      <c r="O14" s="4">
        <f t="shared" si="39"/>
        <v>4.0455458614368283</v>
      </c>
      <c r="P14" s="4">
        <f t="shared" si="40"/>
        <v>-1.0455458614368278</v>
      </c>
      <c r="Q14" s="4">
        <f t="shared" si="6"/>
        <v>14.93636944909754</v>
      </c>
      <c r="R14" s="4">
        <f t="shared" si="41"/>
        <v>2.0999844231706546</v>
      </c>
      <c r="S14" s="360">
        <f t="shared" si="7"/>
        <v>8.2024783142604606E-3</v>
      </c>
      <c r="T14" s="360">
        <f t="shared" si="8"/>
        <v>0.3</v>
      </c>
      <c r="U14" s="360">
        <f t="shared" si="9"/>
        <v>0.30840485304378878</v>
      </c>
      <c r="V14" s="4">
        <f t="shared" si="42"/>
        <v>1.4696715883350904</v>
      </c>
      <c r="W14" s="360">
        <f t="shared" si="10"/>
        <v>4.3198691551187742E-3</v>
      </c>
      <c r="X14" s="360">
        <f t="shared" si="43"/>
        <v>4.3198691551187742E-3</v>
      </c>
      <c r="Y14" s="4">
        <f t="shared" si="44"/>
        <v>1.0476366762819713</v>
      </c>
      <c r="Z14" s="360">
        <f t="shared" si="11"/>
        <v>1.6463139082367039E-3</v>
      </c>
      <c r="AA14" s="541">
        <f t="shared" si="45"/>
        <v>1.6463139082367039E-3</v>
      </c>
      <c r="AB14" s="360">
        <f t="shared" si="46"/>
        <v>1.5338124050135076</v>
      </c>
      <c r="AC14" s="360">
        <f t="shared" si="12"/>
        <v>3.0583546419053159E-3</v>
      </c>
      <c r="AD14" s="360">
        <f t="shared" si="13"/>
        <v>4.4037931034482759E-2</v>
      </c>
      <c r="AE14" s="360">
        <f t="shared" si="14"/>
        <v>0.24471795268434604</v>
      </c>
      <c r="AF14" s="360">
        <f t="shared" si="15"/>
        <v>0</v>
      </c>
      <c r="AG14" s="360">
        <f t="shared" si="16"/>
        <v>0.29194995710972677</v>
      </c>
      <c r="AH14" s="360">
        <f t="shared" si="17"/>
        <v>1.4343479646815367</v>
      </c>
      <c r="AI14" s="360">
        <f t="shared" si="18"/>
        <v>2.6745603089218866E-3</v>
      </c>
      <c r="AJ14" s="360">
        <f t="shared" si="19"/>
        <v>0</v>
      </c>
      <c r="AK14" s="360">
        <f t="shared" si="20"/>
        <v>2.6756480485967426E-3</v>
      </c>
      <c r="AL14" s="360">
        <f t="shared" si="21"/>
        <v>6.6527999999999986E-3</v>
      </c>
      <c r="AM14" s="360">
        <f t="shared" si="22"/>
        <v>4.4549999999999999E-2</v>
      </c>
      <c r="AN14" s="360">
        <f t="shared" si="23"/>
        <v>9.7018560706306507E-3</v>
      </c>
      <c r="AO14" s="360">
        <f t="shared" si="24"/>
        <v>1.5749999999999998E-3</v>
      </c>
      <c r="AP14" s="360">
        <f t="shared" si="25"/>
        <v>0.25740000000000002</v>
      </c>
      <c r="AQ14" s="360">
        <f t="shared" si="26"/>
        <v>0.24596000000000001</v>
      </c>
      <c r="AR14" s="360">
        <f t="shared" si="27"/>
        <v>0.2288</v>
      </c>
      <c r="AS14" s="360">
        <f t="shared" si="28"/>
        <v>0.25897500000000001</v>
      </c>
      <c r="AT14" s="360">
        <f t="shared" si="29"/>
        <v>0.92887629733609856</v>
      </c>
      <c r="AU14">
        <f t="shared" si="30"/>
        <v>36</v>
      </c>
      <c r="AV14" s="542">
        <f t="shared" si="47"/>
        <v>0.97484688432279476</v>
      </c>
      <c r="AW14" s="551">
        <f t="shared" si="31"/>
        <v>12.211412370169617</v>
      </c>
      <c r="AX14" s="551">
        <f t="shared" si="32"/>
        <v>0.66033162584667626</v>
      </c>
      <c r="AY14" s="9"/>
      <c r="AZ14" s="4">
        <f t="shared" si="48"/>
        <v>97.484688432279469</v>
      </c>
      <c r="BA14" s="360">
        <f t="shared" si="33"/>
        <v>0.30840485304378878</v>
      </c>
      <c r="BB14" s="360">
        <f t="shared" si="34"/>
        <v>0.33917560515832351</v>
      </c>
      <c r="BC14" s="360">
        <f t="shared" si="35"/>
        <v>0.32135295710972678</v>
      </c>
      <c r="BD14" s="360">
        <f t="shared" si="36"/>
        <v>1.7377148048596743E-2</v>
      </c>
      <c r="BE14" s="360">
        <f t="shared" si="37"/>
        <v>9.7018560706306507E-3</v>
      </c>
      <c r="BJ14" s="18"/>
      <c r="BK14" s="18"/>
      <c r="BL14" s="18"/>
      <c r="BM14" s="19"/>
    </row>
    <row r="15" spans="1:65" x14ac:dyDescent="0.25">
      <c r="A15" s="23" t="s">
        <v>83</v>
      </c>
      <c r="B15" s="5">
        <f>Ta</f>
        <v>25</v>
      </c>
      <c r="C15" s="440" t="s">
        <v>465</v>
      </c>
      <c r="D15" s="21" t="s">
        <v>96</v>
      </c>
      <c r="G15">
        <v>6</v>
      </c>
      <c r="H15" s="548">
        <f t="shared" si="0"/>
        <v>45</v>
      </c>
      <c r="I15" s="4">
        <f t="shared" si="1"/>
        <v>2</v>
      </c>
      <c r="J15" s="360">
        <f t="shared" si="38"/>
        <v>3.6</v>
      </c>
      <c r="K15" s="360">
        <f t="shared" si="2"/>
        <v>1.8</v>
      </c>
      <c r="L15" s="4">
        <f t="shared" si="3"/>
        <v>1.0666666666666667</v>
      </c>
      <c r="M15" s="360">
        <f t="shared" si="4"/>
        <v>0.53350078526423006</v>
      </c>
      <c r="N15" s="4">
        <f t="shared" si="5"/>
        <v>5.0911281536737487</v>
      </c>
      <c r="O15" s="4">
        <f t="shared" si="39"/>
        <v>4.3455640768368742</v>
      </c>
      <c r="P15" s="4">
        <f t="shared" si="40"/>
        <v>-0.74556407683687431</v>
      </c>
      <c r="Q15" s="4">
        <f t="shared" si="6"/>
        <v>10.65091538338392</v>
      </c>
      <c r="R15" s="4">
        <f t="shared" si="41"/>
        <v>2.3237825822913791</v>
      </c>
      <c r="S15" s="360">
        <f t="shared" si="7"/>
        <v>1.0043935810955071E-2</v>
      </c>
      <c r="T15" s="360">
        <f t="shared" si="8"/>
        <v>0.3</v>
      </c>
      <c r="U15" s="360">
        <f t="shared" si="9"/>
        <v>0.31029326105868671</v>
      </c>
      <c r="V15" s="4">
        <f t="shared" si="42"/>
        <v>1.4696821050012108</v>
      </c>
      <c r="W15" s="360">
        <f t="shared" si="10"/>
        <v>4.3199309795215798E-3</v>
      </c>
      <c r="X15" s="360">
        <f t="shared" si="43"/>
        <v>4.3199309795215798E-3</v>
      </c>
      <c r="Y15" s="4">
        <f t="shared" si="44"/>
        <v>1.1592803703415326</v>
      </c>
      <c r="Z15" s="360">
        <f t="shared" si="11"/>
        <v>2.015896465588802E-3</v>
      </c>
      <c r="AA15" s="541">
        <f t="shared" si="45"/>
        <v>2.015896465588802E-3</v>
      </c>
      <c r="AB15" s="360">
        <f t="shared" si="46"/>
        <v>1.6973172447091689</v>
      </c>
      <c r="AC15" s="360">
        <f t="shared" si="12"/>
        <v>3.7451515779432622E-3</v>
      </c>
      <c r="AD15" s="360">
        <f t="shared" si="13"/>
        <v>5.2845517241379314E-2</v>
      </c>
      <c r="AE15" s="360">
        <f t="shared" si="14"/>
        <v>0.27960154877925492</v>
      </c>
      <c r="AF15" s="360">
        <f t="shared" si="15"/>
        <v>0</v>
      </c>
      <c r="AG15" s="360">
        <f t="shared" si="16"/>
        <v>0.33638370841098264</v>
      </c>
      <c r="AH15" s="360">
        <f t="shared" si="17"/>
        <v>1.5871608804950006</v>
      </c>
      <c r="AI15" s="360">
        <f t="shared" si="18"/>
        <v>3.2748035587457651E-3</v>
      </c>
      <c r="AJ15" s="360">
        <f t="shared" si="19"/>
        <v>0</v>
      </c>
      <c r="AK15" s="360">
        <f t="shared" si="20"/>
        <v>3.2764344699936394E-3</v>
      </c>
      <c r="AL15" s="360">
        <f t="shared" si="21"/>
        <v>7.9833599999999984E-3</v>
      </c>
      <c r="AM15" s="360">
        <f t="shared" si="22"/>
        <v>4.4549999999999999E-2</v>
      </c>
      <c r="AN15" s="360">
        <f t="shared" si="23"/>
        <v>1.1879924077473739E-2</v>
      </c>
      <c r="AO15" s="360">
        <f t="shared" si="24"/>
        <v>1.5749999999999998E-3</v>
      </c>
      <c r="AP15" s="360">
        <f t="shared" si="25"/>
        <v>0.25740000000000002</v>
      </c>
      <c r="AQ15" s="360">
        <f t="shared" si="26"/>
        <v>0.24596000000000001</v>
      </c>
      <c r="AR15" s="360">
        <f t="shared" si="27"/>
        <v>0.2288</v>
      </c>
      <c r="AS15" s="360">
        <f t="shared" si="28"/>
        <v>0.25897500000000001</v>
      </c>
      <c r="AT15" s="360">
        <f t="shared" si="29"/>
        <v>0.97967751546224713</v>
      </c>
      <c r="AU15">
        <f t="shared" si="30"/>
        <v>43.2</v>
      </c>
      <c r="AV15" s="542">
        <f t="shared" si="47"/>
        <v>0.9778251546739023</v>
      </c>
      <c r="AW15" s="551">
        <f t="shared" si="31"/>
        <v>13.89989491961734</v>
      </c>
      <c r="AX15" s="551">
        <f t="shared" si="32"/>
        <v>0.68316150985975843</v>
      </c>
      <c r="AY15" s="9"/>
      <c r="AZ15" s="4">
        <f t="shared" si="48"/>
        <v>97.782515467390226</v>
      </c>
      <c r="BA15" s="360">
        <f t="shared" si="33"/>
        <v>0.31029326105868671</v>
      </c>
      <c r="BB15" s="360">
        <f t="shared" si="34"/>
        <v>0.38421014288097627</v>
      </c>
      <c r="BC15" s="360">
        <f t="shared" si="35"/>
        <v>0.36578670841098265</v>
      </c>
      <c r="BD15" s="360">
        <f t="shared" si="36"/>
        <v>1.7977934469993642E-2</v>
      </c>
      <c r="BE15" s="360">
        <f t="shared" si="37"/>
        <v>1.1879924077473739E-2</v>
      </c>
      <c r="BJ15" s="18"/>
      <c r="BK15" s="18"/>
      <c r="BL15" s="18"/>
      <c r="BM15" s="19"/>
    </row>
    <row r="16" spans="1:65" x14ac:dyDescent="0.25">
      <c r="A16" s="448" t="s">
        <v>476</v>
      </c>
      <c r="B16" s="5">
        <f>VCC</f>
        <v>5</v>
      </c>
      <c r="C16" s="440" t="s">
        <v>0</v>
      </c>
      <c r="D16" s="440" t="s">
        <v>475</v>
      </c>
      <c r="G16">
        <v>7</v>
      </c>
      <c r="H16" s="548">
        <f t="shared" si="0"/>
        <v>45</v>
      </c>
      <c r="I16" s="4">
        <f t="shared" si="1"/>
        <v>2</v>
      </c>
      <c r="J16" s="360">
        <f t="shared" si="38"/>
        <v>4.2</v>
      </c>
      <c r="K16" s="360">
        <f t="shared" si="2"/>
        <v>2.1</v>
      </c>
      <c r="L16" s="4">
        <f t="shared" si="3"/>
        <v>1.2444444444444447</v>
      </c>
      <c r="M16" s="360">
        <f t="shared" si="4"/>
        <v>0.53352869105438505</v>
      </c>
      <c r="N16" s="4">
        <f t="shared" si="5"/>
        <v>5.09116455261284</v>
      </c>
      <c r="O16" s="4">
        <f t="shared" si="39"/>
        <v>4.6455822763064205</v>
      </c>
      <c r="P16" s="4">
        <f t="shared" si="40"/>
        <v>-0.44558227630641989</v>
      </c>
      <c r="Q16" s="4">
        <f t="shared" si="6"/>
        <v>6.3654610900917126</v>
      </c>
      <c r="R16" s="4">
        <f t="shared" si="41"/>
        <v>2.5632004165005235</v>
      </c>
      <c r="S16" s="360">
        <f t="shared" si="7"/>
        <v>1.2220193257776133E-2</v>
      </c>
      <c r="T16" s="360">
        <f t="shared" si="8"/>
        <v>0.3</v>
      </c>
      <c r="U16" s="360">
        <f t="shared" si="9"/>
        <v>0.3125257232366544</v>
      </c>
      <c r="V16" s="4">
        <f t="shared" si="42"/>
        <v>1.4696926124698519</v>
      </c>
      <c r="W16" s="360">
        <f t="shared" si="10"/>
        <v>4.3199927502969174E-3</v>
      </c>
      <c r="X16" s="360">
        <f t="shared" si="43"/>
        <v>4.3199927502969174E-3</v>
      </c>
      <c r="Y16" s="4">
        <f t="shared" si="44"/>
        <v>1.278715480643984</v>
      </c>
      <c r="Z16" s="360">
        <f t="shared" si="11"/>
        <v>2.4526699206578626E-3</v>
      </c>
      <c r="AA16" s="541">
        <f t="shared" si="45"/>
        <v>2.4526699206578626E-3</v>
      </c>
      <c r="AB16" s="360">
        <f t="shared" si="46"/>
        <v>1.8722397192306894</v>
      </c>
      <c r="AC16" s="360">
        <f t="shared" si="12"/>
        <v>4.5568660361445142E-3</v>
      </c>
      <c r="AD16" s="360">
        <f t="shared" si="13"/>
        <v>6.1653103448275862E-2</v>
      </c>
      <c r="AE16" s="360">
        <f t="shared" si="14"/>
        <v>0.3144851467266534</v>
      </c>
      <c r="AF16" s="360">
        <f t="shared" si="15"/>
        <v>0</v>
      </c>
      <c r="AG16" s="360">
        <f t="shared" si="16"/>
        <v>0.38095898502819975</v>
      </c>
      <c r="AH16" s="360">
        <f t="shared" si="17"/>
        <v>1.7506326881683223</v>
      </c>
      <c r="AI16" s="360">
        <f t="shared" si="18"/>
        <v>3.9841292515484803E-3</v>
      </c>
      <c r="AJ16" s="360">
        <f t="shared" si="19"/>
        <v>0</v>
      </c>
      <c r="AK16" s="360">
        <f t="shared" si="20"/>
        <v>3.9865434530148066E-3</v>
      </c>
      <c r="AL16" s="360">
        <f t="shared" si="21"/>
        <v>9.3139199999999998E-3</v>
      </c>
      <c r="AM16" s="360">
        <f t="shared" si="22"/>
        <v>4.4549999999999999E-2</v>
      </c>
      <c r="AN16" s="360">
        <f t="shared" si="23"/>
        <v>1.4453992025326608E-2</v>
      </c>
      <c r="AO16" s="360">
        <f t="shared" si="24"/>
        <v>1.5749999999999998E-3</v>
      </c>
      <c r="AP16" s="360">
        <f t="shared" si="25"/>
        <v>0.25740000000000002</v>
      </c>
      <c r="AQ16" s="360">
        <f t="shared" si="26"/>
        <v>0.24596000000000001</v>
      </c>
      <c r="AR16" s="360">
        <f t="shared" si="27"/>
        <v>0.2288</v>
      </c>
      <c r="AS16" s="360">
        <f t="shared" si="28"/>
        <v>0.25897500000000001</v>
      </c>
      <c r="AT16" s="360">
        <f t="shared" si="29"/>
        <v>1.0315368264141502</v>
      </c>
      <c r="AU16">
        <f t="shared" si="30"/>
        <v>50.400000000000006</v>
      </c>
      <c r="AV16" s="542">
        <f t="shared" si="47"/>
        <v>0.97994349595471608</v>
      </c>
      <c r="AW16" s="551">
        <f t="shared" si="31"/>
        <v>15.593755431071591</v>
      </c>
      <c r="AX16" s="551">
        <f t="shared" si="32"/>
        <v>0.71014565121456275</v>
      </c>
      <c r="AY16" s="9"/>
      <c r="AZ16" s="4">
        <f t="shared" si="48"/>
        <v>97.994349595471604</v>
      </c>
      <c r="BA16" s="360">
        <f t="shared" si="33"/>
        <v>0.3125257232366544</v>
      </c>
      <c r="BB16" s="360">
        <f t="shared" si="34"/>
        <v>0.42949552848121453</v>
      </c>
      <c r="BC16" s="360">
        <f t="shared" si="35"/>
        <v>0.41036198502819976</v>
      </c>
      <c r="BD16" s="360">
        <f t="shared" si="36"/>
        <v>1.8688043453014808E-2</v>
      </c>
      <c r="BE16" s="360">
        <f t="shared" si="37"/>
        <v>1.4453992025326608E-2</v>
      </c>
      <c r="BJ16" s="18"/>
      <c r="BK16" s="18"/>
      <c r="BL16" s="18"/>
      <c r="BM16" s="19"/>
    </row>
    <row r="17" spans="1:65" ht="13" x14ac:dyDescent="0.3">
      <c r="A17" s="24" t="s">
        <v>58</v>
      </c>
      <c r="B17" s="16" t="s">
        <v>111</v>
      </c>
      <c r="C17" s="24" t="s">
        <v>76</v>
      </c>
      <c r="D17" s="17" t="s">
        <v>107</v>
      </c>
      <c r="G17">
        <v>8</v>
      </c>
      <c r="H17" s="548">
        <f t="shared" si="0"/>
        <v>45</v>
      </c>
      <c r="I17" s="4">
        <f t="shared" si="1"/>
        <v>2</v>
      </c>
      <c r="J17" s="360">
        <f t="shared" si="38"/>
        <v>4.8</v>
      </c>
      <c r="K17" s="360">
        <f t="shared" si="2"/>
        <v>2.4</v>
      </c>
      <c r="L17" s="4">
        <f t="shared" si="3"/>
        <v>1.4222222222222221</v>
      </c>
      <c r="M17" s="360">
        <f t="shared" si="4"/>
        <v>0.53355659602606631</v>
      </c>
      <c r="N17" s="4">
        <f t="shared" si="5"/>
        <v>5.0912009196923318</v>
      </c>
      <c r="O17" s="4">
        <f t="shared" si="39"/>
        <v>4.9456004598461654</v>
      </c>
      <c r="P17" s="4">
        <f t="shared" si="40"/>
        <v>-0.14560045984616599</v>
      </c>
      <c r="Q17" s="4">
        <f t="shared" si="6"/>
        <v>2.0800065692309428</v>
      </c>
      <c r="R17" s="4">
        <f t="shared" si="41"/>
        <v>2.8142542944309428</v>
      </c>
      <c r="S17" s="360">
        <f t="shared" si="7"/>
        <v>1.4731250654724788E-2</v>
      </c>
      <c r="T17" s="360">
        <f t="shared" si="8"/>
        <v>0.3</v>
      </c>
      <c r="U17" s="360">
        <f t="shared" si="9"/>
        <v>0.31510259908425003</v>
      </c>
      <c r="V17" s="4">
        <f t="shared" si="42"/>
        <v>1.4697031107414191</v>
      </c>
      <c r="W17" s="360">
        <f t="shared" si="10"/>
        <v>4.3200544674460084E-3</v>
      </c>
      <c r="X17" s="360">
        <f t="shared" si="43"/>
        <v>4.3200544674460084E-3</v>
      </c>
      <c r="Y17" s="4">
        <f t="shared" si="44"/>
        <v>1.4039545933827224</v>
      </c>
      <c r="Z17" s="360">
        <f t="shared" si="11"/>
        <v>2.9566327504206682E-3</v>
      </c>
      <c r="AA17" s="541">
        <f t="shared" si="45"/>
        <v>2.9566327504206682E-3</v>
      </c>
      <c r="AB17" s="360">
        <f t="shared" si="46"/>
        <v>2.0556708810651059</v>
      </c>
      <c r="AC17" s="360">
        <f t="shared" si="12"/>
        <v>5.4935176026366852E-3</v>
      </c>
      <c r="AD17" s="360">
        <f t="shared" si="13"/>
        <v>7.0460689655172423E-2</v>
      </c>
      <c r="AE17" s="360">
        <f t="shared" si="14"/>
        <v>0.34936874652646011</v>
      </c>
      <c r="AF17" s="360">
        <f t="shared" si="15"/>
        <v>0</v>
      </c>
      <c r="AG17" s="360">
        <f t="shared" si="16"/>
        <v>0.42567840149660513</v>
      </c>
      <c r="AH17" s="360">
        <f t="shared" si="17"/>
        <v>1.922041743163768</v>
      </c>
      <c r="AI17" s="360">
        <f t="shared" si="18"/>
        <v>4.8025178012032202E-3</v>
      </c>
      <c r="AJ17" s="360">
        <f t="shared" si="19"/>
        <v>0</v>
      </c>
      <c r="AK17" s="360">
        <f t="shared" si="20"/>
        <v>4.8060261171522824E-3</v>
      </c>
      <c r="AL17" s="360">
        <f t="shared" si="21"/>
        <v>1.0644479999999998E-2</v>
      </c>
      <c r="AM17" s="360">
        <f t="shared" si="22"/>
        <v>4.4549999999999999E-2</v>
      </c>
      <c r="AN17" s="360">
        <f t="shared" si="23"/>
        <v>1.7424059914190611E-2</v>
      </c>
      <c r="AO17" s="360">
        <f t="shared" si="24"/>
        <v>1.5749999999999998E-3</v>
      </c>
      <c r="AP17" s="360">
        <f t="shared" si="25"/>
        <v>0.25740000000000002</v>
      </c>
      <c r="AQ17" s="360">
        <f t="shared" si="26"/>
        <v>0.24596000000000001</v>
      </c>
      <c r="AR17" s="360">
        <f t="shared" si="27"/>
        <v>0.2288</v>
      </c>
      <c r="AS17" s="360">
        <f t="shared" si="28"/>
        <v>0.25897500000000001</v>
      </c>
      <c r="AT17" s="360">
        <f t="shared" si="29"/>
        <v>1.0844572538300647</v>
      </c>
      <c r="AU17">
        <f t="shared" si="30"/>
        <v>57.599999999999994</v>
      </c>
      <c r="AV17" s="542">
        <f t="shared" si="47"/>
        <v>0.98152053704544928</v>
      </c>
      <c r="AW17" s="551">
        <f t="shared" si="31"/>
        <v>17.293093256870996</v>
      </c>
      <c r="AX17" s="551">
        <f t="shared" si="32"/>
        <v>0.74128599245178683</v>
      </c>
      <c r="AY17" s="9"/>
      <c r="AZ17" s="4">
        <f t="shared" si="48"/>
        <v>98.152053704544926</v>
      </c>
      <c r="BA17" s="360">
        <f t="shared" si="33"/>
        <v>0.31510259908425003</v>
      </c>
      <c r="BB17" s="360">
        <f t="shared" si="34"/>
        <v>0.47503442761375742</v>
      </c>
      <c r="BC17" s="360">
        <f t="shared" si="35"/>
        <v>0.45508140149660514</v>
      </c>
      <c r="BD17" s="360">
        <f t="shared" si="36"/>
        <v>1.9507526117152285E-2</v>
      </c>
      <c r="BE17" s="360">
        <f t="shared" si="37"/>
        <v>1.7424059914190611E-2</v>
      </c>
      <c r="BJ17" s="18"/>
      <c r="BK17" s="18"/>
      <c r="BL17" s="18"/>
      <c r="BM17" s="19"/>
    </row>
    <row r="18" spans="1:65" x14ac:dyDescent="0.25">
      <c r="A18" s="35" t="s">
        <v>56</v>
      </c>
      <c r="B18" s="38">
        <f>Lf*1000000</f>
        <v>10</v>
      </c>
      <c r="C18" s="441" t="s">
        <v>10</v>
      </c>
      <c r="D18" s="440" t="s">
        <v>468</v>
      </c>
      <c r="G18">
        <v>9</v>
      </c>
      <c r="H18" s="548">
        <f t="shared" si="0"/>
        <v>45</v>
      </c>
      <c r="I18" s="4">
        <f t="shared" si="1"/>
        <v>2</v>
      </c>
      <c r="J18" s="360">
        <f t="shared" si="38"/>
        <v>5.4</v>
      </c>
      <c r="K18" s="360">
        <f t="shared" si="2"/>
        <v>2.7</v>
      </c>
      <c r="L18" s="4">
        <f t="shared" si="3"/>
        <v>1.6000000000000003</v>
      </c>
      <c r="M18" s="360">
        <f t="shared" si="4"/>
        <v>0.5335845001793097</v>
      </c>
      <c r="N18" s="4">
        <f t="shared" si="5"/>
        <v>5.0912372549136231</v>
      </c>
      <c r="O18" s="4">
        <f t="shared" si="39"/>
        <v>5.2456186274568122</v>
      </c>
      <c r="P18" s="4">
        <f t="shared" si="40"/>
        <v>0.15438137254318862</v>
      </c>
      <c r="Q18" s="4">
        <f t="shared" si="6"/>
        <v>0</v>
      </c>
      <c r="R18" s="4">
        <f t="shared" si="41"/>
        <v>3.0740946741252189</v>
      </c>
      <c r="S18" s="360">
        <f t="shared" si="7"/>
        <v>1.7577108001802167E-2</v>
      </c>
      <c r="T18" s="360">
        <f t="shared" si="8"/>
        <v>0.3</v>
      </c>
      <c r="U18" s="360">
        <f t="shared" si="9"/>
        <v>0.31802430380461588</v>
      </c>
      <c r="V18" s="4">
        <f t="shared" si="42"/>
        <v>1.469713599816316</v>
      </c>
      <c r="W18" s="360">
        <f t="shared" si="10"/>
        <v>4.3201161309700687E-3</v>
      </c>
      <c r="X18" s="360">
        <f t="shared" si="43"/>
        <v>4.3201161309700687E-3</v>
      </c>
      <c r="Y18" s="4">
        <f t="shared" si="44"/>
        <v>1.5335760886287764</v>
      </c>
      <c r="Z18" s="360">
        <f t="shared" si="11"/>
        <v>3.5277834294209051E-3</v>
      </c>
      <c r="AA18" s="541">
        <f t="shared" si="45"/>
        <v>3.5277834294209051E-3</v>
      </c>
      <c r="AB18" s="360">
        <f t="shared" si="46"/>
        <v>2.245529895044216</v>
      </c>
      <c r="AC18" s="360">
        <f t="shared" si="12"/>
        <v>6.5551258623984731E-3</v>
      </c>
      <c r="AD18" s="360">
        <f t="shared" si="13"/>
        <v>7.9268275862068985E-2</v>
      </c>
      <c r="AE18" s="360">
        <f t="shared" si="14"/>
        <v>0.36630000000000001</v>
      </c>
      <c r="AF18" s="360">
        <f t="shared" si="15"/>
        <v>0</v>
      </c>
      <c r="AG18" s="360">
        <f t="shared" si="16"/>
        <v>0.45257433734946689</v>
      </c>
      <c r="AH18" s="360">
        <f t="shared" si="17"/>
        <v>2.0994412485106007</v>
      </c>
      <c r="AI18" s="360">
        <f t="shared" si="18"/>
        <v>5.7299496227320749E-3</v>
      </c>
      <c r="AJ18" s="360">
        <f t="shared" si="19"/>
        <v>0</v>
      </c>
      <c r="AK18" s="360">
        <f t="shared" si="20"/>
        <v>5.734944486067213E-3</v>
      </c>
      <c r="AL18" s="360">
        <f t="shared" si="21"/>
        <v>1.1975039999999999E-2</v>
      </c>
      <c r="AM18" s="360">
        <f t="shared" si="22"/>
        <v>4.4549999999999999E-2</v>
      </c>
      <c r="AN18" s="360">
        <f t="shared" si="23"/>
        <v>2.0790127744067081E-2</v>
      </c>
      <c r="AO18" s="360">
        <f t="shared" si="24"/>
        <v>1.5749999999999998E-3</v>
      </c>
      <c r="AP18" s="360">
        <f t="shared" si="25"/>
        <v>0.25740000000000002</v>
      </c>
      <c r="AQ18" s="360">
        <f t="shared" si="26"/>
        <v>0.24596000000000001</v>
      </c>
      <c r="AR18" s="360">
        <f t="shared" si="27"/>
        <v>0.2288</v>
      </c>
      <c r="AS18" s="360">
        <f t="shared" si="28"/>
        <v>0.25897500000000001</v>
      </c>
      <c r="AT18" s="360">
        <f t="shared" si="29"/>
        <v>1.1204716529446082</v>
      </c>
      <c r="AU18">
        <f t="shared" si="30"/>
        <v>64.800000000000011</v>
      </c>
      <c r="AV18" s="542">
        <f t="shared" si="47"/>
        <v>0.98300267542314301</v>
      </c>
      <c r="AW18" s="551">
        <f t="shared" si="31"/>
        <v>18.315138819279742</v>
      </c>
      <c r="AX18" s="551">
        <f t="shared" si="32"/>
        <v>0.77658489047055412</v>
      </c>
      <c r="AY18" s="9"/>
      <c r="AZ18" s="4">
        <f t="shared" si="48"/>
        <v>98.300267542314302</v>
      </c>
      <c r="BA18" s="360">
        <f t="shared" si="33"/>
        <v>0.31802430380461588</v>
      </c>
      <c r="BB18" s="360">
        <f t="shared" si="34"/>
        <v>0.50285928183553408</v>
      </c>
      <c r="BC18" s="360">
        <f t="shared" si="35"/>
        <v>0.48197733734946691</v>
      </c>
      <c r="BD18" s="360">
        <f t="shared" si="36"/>
        <v>2.0436444486067212E-2</v>
      </c>
      <c r="BE18" s="360">
        <f t="shared" si="37"/>
        <v>2.0790127744067081E-2</v>
      </c>
      <c r="BK18" s="18"/>
      <c r="BL18" s="19"/>
    </row>
    <row r="19" spans="1:65" x14ac:dyDescent="0.25">
      <c r="A19" s="35" t="s">
        <v>11</v>
      </c>
      <c r="B19" s="39">
        <f>Rdcr*1000</f>
        <v>1.86</v>
      </c>
      <c r="C19" s="442" t="s">
        <v>466</v>
      </c>
      <c r="D19" s="440" t="s">
        <v>469</v>
      </c>
      <c r="G19">
        <v>10</v>
      </c>
      <c r="H19" s="548">
        <f t="shared" si="0"/>
        <v>45</v>
      </c>
      <c r="I19" s="4">
        <f t="shared" si="1"/>
        <v>2</v>
      </c>
      <c r="J19" s="360">
        <f t="shared" si="38"/>
        <v>6</v>
      </c>
      <c r="K19" s="360">
        <f t="shared" si="2"/>
        <v>3</v>
      </c>
      <c r="L19" s="4">
        <f t="shared" si="3"/>
        <v>1.7777777777777777</v>
      </c>
      <c r="M19" s="360">
        <f t="shared" si="4"/>
        <v>0.53361240351415129</v>
      </c>
      <c r="N19" s="4">
        <f t="shared" si="5"/>
        <v>5.0912735582781181</v>
      </c>
      <c r="O19" s="4">
        <f t="shared" si="39"/>
        <v>5.5456367791390591</v>
      </c>
      <c r="P19" s="4">
        <f t="shared" si="40"/>
        <v>0.45436322086094094</v>
      </c>
      <c r="Q19" s="4">
        <f t="shared" si="6"/>
        <v>0</v>
      </c>
      <c r="R19" s="4">
        <f t="shared" si="41"/>
        <v>3.3406719190059895</v>
      </c>
      <c r="S19" s="360">
        <f t="shared" si="7"/>
        <v>2.0757765299009398E-2</v>
      </c>
      <c r="T19" s="360">
        <f t="shared" si="8"/>
        <v>0.3</v>
      </c>
      <c r="U19" s="360">
        <f t="shared" si="9"/>
        <v>0.3212913084649075</v>
      </c>
      <c r="V19" s="4">
        <f t="shared" si="42"/>
        <v>1.4697240796949478</v>
      </c>
      <c r="W19" s="360">
        <f t="shared" si="10"/>
        <v>4.3201777408703223E-3</v>
      </c>
      <c r="X19" s="360">
        <f t="shared" si="43"/>
        <v>4.3201777408703223E-3</v>
      </c>
      <c r="Y19" s="4">
        <f t="shared" si="44"/>
        <v>1.6665574157065084</v>
      </c>
      <c r="Z19" s="360">
        <f t="shared" si="11"/>
        <v>4.1661204297695339E-3</v>
      </c>
      <c r="AA19" s="541">
        <f t="shared" si="45"/>
        <v>4.1661204297695339E-3</v>
      </c>
      <c r="AB19" s="360">
        <f t="shared" si="46"/>
        <v>2.4403200293372254</v>
      </c>
      <c r="AC19" s="360">
        <f t="shared" si="12"/>
        <v>7.7417103992597673E-3</v>
      </c>
      <c r="AD19" s="360">
        <f t="shared" si="13"/>
        <v>8.8075862068965519E-2</v>
      </c>
      <c r="AE19" s="360">
        <f t="shared" si="14"/>
        <v>0.36630000000000001</v>
      </c>
      <c r="AF19" s="360">
        <f t="shared" si="15"/>
        <v>0</v>
      </c>
      <c r="AG19" s="360">
        <f t="shared" si="16"/>
        <v>0.46266200534746266</v>
      </c>
      <c r="AH19" s="360">
        <f t="shared" si="17"/>
        <v>2.281430916081117</v>
      </c>
      <c r="AI19" s="360">
        <f t="shared" si="18"/>
        <v>6.7664051323059419E-3</v>
      </c>
      <c r="AJ19" s="360">
        <f t="shared" si="19"/>
        <v>0</v>
      </c>
      <c r="AK19" s="360">
        <f t="shared" si="20"/>
        <v>6.7733715014108463E-3</v>
      </c>
      <c r="AL19" s="360">
        <f t="shared" si="21"/>
        <v>1.3305599999999997E-2</v>
      </c>
      <c r="AM19" s="360">
        <f t="shared" si="22"/>
        <v>4.4549999999999999E-2</v>
      </c>
      <c r="AN19" s="360">
        <f t="shared" si="23"/>
        <v>2.4552195514957353E-2</v>
      </c>
      <c r="AO19" s="360">
        <f t="shared" si="24"/>
        <v>1.5749999999999998E-3</v>
      </c>
      <c r="AP19" s="360">
        <f t="shared" si="25"/>
        <v>0.25740000000000002</v>
      </c>
      <c r="AQ19" s="360">
        <f t="shared" si="26"/>
        <v>0.24596000000000001</v>
      </c>
      <c r="AR19" s="360">
        <f t="shared" si="27"/>
        <v>0.2288</v>
      </c>
      <c r="AS19" s="360">
        <f t="shared" si="28"/>
        <v>0.25897500000000001</v>
      </c>
      <c r="AT19" s="360">
        <f t="shared" si="29"/>
        <v>1.1405957789993781</v>
      </c>
      <c r="AU19">
        <f t="shared" si="30"/>
        <v>72</v>
      </c>
      <c r="AV19" s="542">
        <f t="shared" si="47"/>
        <v>0.98440543494551513</v>
      </c>
      <c r="AW19" s="551">
        <f t="shared" si="31"/>
        <v>18.698470203203581</v>
      </c>
      <c r="AX19" s="551">
        <f t="shared" si="32"/>
        <v>0.81604511705361216</v>
      </c>
      <c r="AY19" s="9"/>
      <c r="AZ19" s="4">
        <f t="shared" si="48"/>
        <v>98.44054349455152</v>
      </c>
      <c r="BA19" s="360">
        <f t="shared" si="33"/>
        <v>0.3212913084649075</v>
      </c>
      <c r="BB19" s="360">
        <f t="shared" si="34"/>
        <v>0.51398537684887347</v>
      </c>
      <c r="BC19" s="360">
        <f t="shared" si="35"/>
        <v>0.49206500534746267</v>
      </c>
      <c r="BD19" s="360">
        <f t="shared" si="36"/>
        <v>2.1474871501410846E-2</v>
      </c>
      <c r="BE19" s="360">
        <f t="shared" si="37"/>
        <v>2.4552195514957353E-2</v>
      </c>
      <c r="BK19" s="18"/>
      <c r="BL19" s="19"/>
    </row>
    <row r="20" spans="1:65" x14ac:dyDescent="0.25">
      <c r="A20" s="35" t="s">
        <v>82</v>
      </c>
      <c r="B20" s="39">
        <f>Ltc*1000000</f>
        <v>4000</v>
      </c>
      <c r="C20" s="441" t="s">
        <v>81</v>
      </c>
      <c r="D20" s="21" t="s">
        <v>97</v>
      </c>
      <c r="G20">
        <v>11</v>
      </c>
      <c r="H20" s="548">
        <f t="shared" si="0"/>
        <v>45</v>
      </c>
      <c r="I20" s="4">
        <f t="shared" si="1"/>
        <v>2</v>
      </c>
      <c r="J20" s="360">
        <f t="shared" si="38"/>
        <v>6.6</v>
      </c>
      <c r="K20" s="360">
        <f t="shared" si="2"/>
        <v>3.3</v>
      </c>
      <c r="L20" s="4">
        <f t="shared" si="3"/>
        <v>1.9555555555555553</v>
      </c>
      <c r="M20" s="360">
        <f t="shared" si="4"/>
        <v>0.53364030603062707</v>
      </c>
      <c r="N20" s="4">
        <f t="shared" si="5"/>
        <v>5.0913098297872192</v>
      </c>
      <c r="O20" s="4">
        <f t="shared" si="39"/>
        <v>5.8456549148936094</v>
      </c>
      <c r="P20" s="4">
        <f t="shared" si="40"/>
        <v>0.7543450851063902</v>
      </c>
      <c r="Q20" s="4">
        <f t="shared" si="6"/>
        <v>0</v>
      </c>
      <c r="R20" s="4">
        <f t="shared" si="41"/>
        <v>3.6124949340551327</v>
      </c>
      <c r="S20" s="360">
        <f t="shared" si="7"/>
        <v>2.4273222546347634E-2</v>
      </c>
      <c r="T20" s="360">
        <f t="shared" si="8"/>
        <v>0.3</v>
      </c>
      <c r="U20" s="360">
        <f t="shared" si="9"/>
        <v>0.32490414018642561</v>
      </c>
      <c r="V20" s="4">
        <f t="shared" si="42"/>
        <v>1.4697345503777195</v>
      </c>
      <c r="W20" s="360">
        <f t="shared" si="10"/>
        <v>4.3202392971479946E-3</v>
      </c>
      <c r="X20" s="360">
        <f t="shared" si="43"/>
        <v>4.3202392971479946E-3</v>
      </c>
      <c r="Y20" s="4">
        <f t="shared" si="44"/>
        <v>1.8021546772581531</v>
      </c>
      <c r="Z20" s="360">
        <f t="shared" si="11"/>
        <v>4.8716422211451576E-3</v>
      </c>
      <c r="AA20" s="541">
        <f t="shared" si="45"/>
        <v>4.8716422211451576E-3</v>
      </c>
      <c r="AB20" s="360">
        <f t="shared" si="46"/>
        <v>2.6389524139327194</v>
      </c>
      <c r="AC20" s="360">
        <f t="shared" si="12"/>
        <v>9.053290795901725E-3</v>
      </c>
      <c r="AD20" s="360">
        <f t="shared" si="13"/>
        <v>9.6883448275862066E-2</v>
      </c>
      <c r="AE20" s="360">
        <f t="shared" si="14"/>
        <v>0.36630000000000001</v>
      </c>
      <c r="AF20" s="360">
        <f t="shared" si="15"/>
        <v>0</v>
      </c>
      <c r="AG20" s="360">
        <f t="shared" si="16"/>
        <v>0.47288747962751881</v>
      </c>
      <c r="AH20" s="360">
        <f t="shared" si="17"/>
        <v>2.4669920562443384</v>
      </c>
      <c r="AI20" s="360">
        <f t="shared" si="18"/>
        <v>7.9118647472444688E-3</v>
      </c>
      <c r="AJ20" s="360">
        <f t="shared" si="19"/>
        <v>0</v>
      </c>
      <c r="AK20" s="360">
        <f t="shared" si="20"/>
        <v>7.9213910393705258E-3</v>
      </c>
      <c r="AL20" s="360">
        <f t="shared" si="21"/>
        <v>1.4636159999999997E-2</v>
      </c>
      <c r="AM20" s="360">
        <f t="shared" si="22"/>
        <v>4.4549999999999999E-2</v>
      </c>
      <c r="AN20" s="360">
        <f t="shared" si="23"/>
        <v>2.8710263226862796E-2</v>
      </c>
      <c r="AO20" s="360">
        <f t="shared" si="24"/>
        <v>1.5749999999999998E-3</v>
      </c>
      <c r="AP20" s="360">
        <f t="shared" si="25"/>
        <v>0.25740000000000002</v>
      </c>
      <c r="AQ20" s="360">
        <f t="shared" si="26"/>
        <v>0.24596000000000001</v>
      </c>
      <c r="AR20" s="360">
        <f t="shared" si="27"/>
        <v>0.2288</v>
      </c>
      <c r="AS20" s="360">
        <f t="shared" si="28"/>
        <v>0.25897500000000001</v>
      </c>
      <c r="AT20" s="360">
        <f t="shared" si="29"/>
        <v>1.1617763155984708</v>
      </c>
      <c r="AU20">
        <f t="shared" si="30"/>
        <v>79.199999999999989</v>
      </c>
      <c r="AV20" s="542">
        <f t="shared" si="47"/>
        <v>0.9855431727761228</v>
      </c>
      <c r="AW20" s="551">
        <f t="shared" si="31"/>
        <v>19.087038225845717</v>
      </c>
      <c r="AX20" s="551">
        <f t="shared" si="32"/>
        <v>0.85966985949607999</v>
      </c>
      <c r="AY20" s="9"/>
      <c r="AZ20" s="4">
        <f t="shared" si="48"/>
        <v>98.554317277612284</v>
      </c>
      <c r="BA20" s="360">
        <f t="shared" si="33"/>
        <v>0.32490414018642561</v>
      </c>
      <c r="BB20" s="360">
        <f t="shared" si="34"/>
        <v>0.52535887066688935</v>
      </c>
      <c r="BC20" s="360">
        <f t="shared" si="35"/>
        <v>0.50229047962751883</v>
      </c>
      <c r="BD20" s="360">
        <f t="shared" si="36"/>
        <v>2.2622891039370527E-2</v>
      </c>
      <c r="BE20" s="360">
        <f t="shared" si="37"/>
        <v>2.8710263226862796E-2</v>
      </c>
      <c r="BK20" s="18"/>
      <c r="BL20" s="19"/>
    </row>
    <row r="21" spans="1:65" x14ac:dyDescent="0.25">
      <c r="A21" s="25" t="s">
        <v>129</v>
      </c>
      <c r="B21" s="39">
        <f>ThetaCa</f>
        <v>20</v>
      </c>
      <c r="C21" s="441" t="s">
        <v>205</v>
      </c>
      <c r="D21" s="26" t="s">
        <v>130</v>
      </c>
      <c r="G21">
        <v>12</v>
      </c>
      <c r="H21" s="548">
        <f t="shared" si="0"/>
        <v>45</v>
      </c>
      <c r="I21" s="4">
        <f t="shared" si="1"/>
        <v>2</v>
      </c>
      <c r="J21" s="360">
        <f t="shared" si="38"/>
        <v>7.2</v>
      </c>
      <c r="K21" s="360">
        <f t="shared" si="2"/>
        <v>3.6</v>
      </c>
      <c r="L21" s="4">
        <f t="shared" si="3"/>
        <v>2.1333333333333333</v>
      </c>
      <c r="M21" s="360">
        <f t="shared" si="4"/>
        <v>0.5336682077287731</v>
      </c>
      <c r="N21" s="4">
        <f t="shared" si="5"/>
        <v>5.0913460694423236</v>
      </c>
      <c r="O21" s="4">
        <f t="shared" si="39"/>
        <v>6.1456730347211614</v>
      </c>
      <c r="P21" s="4">
        <f t="shared" si="40"/>
        <v>1.0543269652788383</v>
      </c>
      <c r="Q21" s="4">
        <f t="shared" si="6"/>
        <v>0</v>
      </c>
      <c r="R21" s="4">
        <f t="shared" si="41"/>
        <v>3.8884637583372372</v>
      </c>
      <c r="S21" s="360">
        <f t="shared" si="7"/>
        <v>2.8123479743818007E-2</v>
      </c>
      <c r="T21" s="360">
        <f t="shared" si="8"/>
        <v>0.3</v>
      </c>
      <c r="U21" s="360">
        <f t="shared" si="9"/>
        <v>0.32886338235759538</v>
      </c>
      <c r="V21" s="4">
        <f t="shared" si="42"/>
        <v>1.4697450118650344</v>
      </c>
      <c r="W21" s="360">
        <f t="shared" si="10"/>
        <v>4.3203007998043001E-3</v>
      </c>
      <c r="X21" s="360">
        <f t="shared" si="43"/>
        <v>4.3203007998043001E-3</v>
      </c>
      <c r="Y21" s="4">
        <f t="shared" si="44"/>
        <v>1.9398191102599183</v>
      </c>
      <c r="Z21" s="360">
        <f t="shared" si="11"/>
        <v>5.6443472707943714E-3</v>
      </c>
      <c r="AA21" s="541">
        <f t="shared" si="45"/>
        <v>5.6443472707943714E-3</v>
      </c>
      <c r="AB21" s="360">
        <f t="shared" si="46"/>
        <v>2.8406237984825222</v>
      </c>
      <c r="AC21" s="360">
        <f t="shared" si="12"/>
        <v>1.0489886633856855E-2</v>
      </c>
      <c r="AD21" s="360">
        <f t="shared" si="13"/>
        <v>0.10569103448275863</v>
      </c>
      <c r="AE21" s="360">
        <f t="shared" si="14"/>
        <v>0.36630000000000001</v>
      </c>
      <c r="AF21" s="360">
        <f t="shared" si="15"/>
        <v>0</v>
      </c>
      <c r="AG21" s="360">
        <f t="shared" si="16"/>
        <v>0.48325144755749538</v>
      </c>
      <c r="AH21" s="360">
        <f t="shared" si="17"/>
        <v>2.6553732007755291</v>
      </c>
      <c r="AI21" s="360">
        <f t="shared" si="18"/>
        <v>9.1663088860159409E-3</v>
      </c>
      <c r="AJ21" s="360">
        <f t="shared" si="19"/>
        <v>0</v>
      </c>
      <c r="AK21" s="360">
        <f t="shared" si="20"/>
        <v>9.1790979299479162E-3</v>
      </c>
      <c r="AL21" s="360">
        <f t="shared" si="21"/>
        <v>1.5966719999999997E-2</v>
      </c>
      <c r="AM21" s="360">
        <f t="shared" si="22"/>
        <v>4.4549999999999999E-2</v>
      </c>
      <c r="AN21" s="360">
        <f t="shared" si="23"/>
        <v>3.326433087978474E-2</v>
      </c>
      <c r="AO21" s="360">
        <f t="shared" si="24"/>
        <v>1.5749999999999998E-3</v>
      </c>
      <c r="AP21" s="360">
        <f t="shared" si="25"/>
        <v>0.25740000000000002</v>
      </c>
      <c r="AQ21" s="360">
        <f t="shared" si="26"/>
        <v>0.24596000000000001</v>
      </c>
      <c r="AR21" s="360">
        <f t="shared" si="27"/>
        <v>0.2288</v>
      </c>
      <c r="AS21" s="360">
        <f t="shared" si="28"/>
        <v>0.25897500000000001</v>
      </c>
      <c r="AT21" s="360">
        <f t="shared" si="29"/>
        <v>1.1840146267954219</v>
      </c>
      <c r="AU21">
        <f t="shared" si="30"/>
        <v>86.4</v>
      </c>
      <c r="AV21" s="542">
        <f t="shared" si="47"/>
        <v>0.98648138439599253</v>
      </c>
      <c r="AW21" s="551">
        <f t="shared" si="31"/>
        <v>19.480869007184822</v>
      </c>
      <c r="AX21" s="551">
        <f t="shared" si="32"/>
        <v>0.90746272133802086</v>
      </c>
      <c r="AY21" s="9"/>
      <c r="AZ21" s="4">
        <f t="shared" si="48"/>
        <v>98.648138439599251</v>
      </c>
      <c r="BA21" s="360">
        <f t="shared" si="33"/>
        <v>0.32886338235759538</v>
      </c>
      <c r="BB21" s="360">
        <f t="shared" si="34"/>
        <v>0.53698054548744334</v>
      </c>
      <c r="BC21" s="360">
        <f t="shared" si="35"/>
        <v>0.51265444755749534</v>
      </c>
      <c r="BD21" s="360">
        <f t="shared" si="36"/>
        <v>2.3880597929947917E-2</v>
      </c>
      <c r="BE21" s="360">
        <f t="shared" si="37"/>
        <v>3.326433087978474E-2</v>
      </c>
      <c r="BK21" s="18"/>
      <c r="BL21" s="19"/>
    </row>
    <row r="22" spans="1:65" x14ac:dyDescent="0.25">
      <c r="A22" s="36" t="s">
        <v>57</v>
      </c>
      <c r="B22" s="39">
        <f>Cin*1000000</f>
        <v>1328</v>
      </c>
      <c r="C22" s="443" t="s">
        <v>467</v>
      </c>
      <c r="D22" s="440" t="s">
        <v>484</v>
      </c>
      <c r="G22">
        <v>13</v>
      </c>
      <c r="H22" s="548">
        <f t="shared" si="0"/>
        <v>45</v>
      </c>
      <c r="I22" s="4">
        <f t="shared" si="1"/>
        <v>2</v>
      </c>
      <c r="J22" s="360">
        <f t="shared" si="38"/>
        <v>7.8</v>
      </c>
      <c r="K22" s="360">
        <f t="shared" si="2"/>
        <v>3.9</v>
      </c>
      <c r="L22" s="4">
        <f t="shared" si="3"/>
        <v>2.3111111111111109</v>
      </c>
      <c r="M22" s="360">
        <f t="shared" si="4"/>
        <v>0.53369610860862526</v>
      </c>
      <c r="N22" s="4">
        <f t="shared" si="5"/>
        <v>5.0913822772448354</v>
      </c>
      <c r="O22" s="4">
        <f t="shared" si="39"/>
        <v>6.4456911386224176</v>
      </c>
      <c r="P22" s="4">
        <f t="shared" si="40"/>
        <v>1.3543088613775822</v>
      </c>
      <c r="Q22" s="4">
        <f t="shared" si="6"/>
        <v>0</v>
      </c>
      <c r="R22" s="4">
        <f t="shared" si="41"/>
        <v>4.1677549261467179</v>
      </c>
      <c r="S22" s="360">
        <f t="shared" si="7"/>
        <v>3.2308536891421637E-2</v>
      </c>
      <c r="T22" s="360">
        <f t="shared" si="8"/>
        <v>0.3</v>
      </c>
      <c r="U22" s="360">
        <f t="shared" si="9"/>
        <v>0.33316967486995275</v>
      </c>
      <c r="V22" s="4">
        <f t="shared" si="42"/>
        <v>1.4697554641572979</v>
      </c>
      <c r="W22" s="360">
        <f t="shared" si="10"/>
        <v>4.3203622488404685E-3</v>
      </c>
      <c r="X22" s="360">
        <f t="shared" si="43"/>
        <v>4.3203622488404685E-3</v>
      </c>
      <c r="Y22" s="4">
        <f t="shared" si="44"/>
        <v>2.079139893246265</v>
      </c>
      <c r="Z22" s="360">
        <f t="shared" si="11"/>
        <v>6.4842340435321364E-3</v>
      </c>
      <c r="AA22" s="541">
        <f t="shared" si="45"/>
        <v>6.4842340435321364E-3</v>
      </c>
      <c r="AB22" s="360">
        <f t="shared" si="46"/>
        <v>3.0447328408138001</v>
      </c>
      <c r="AC22" s="360">
        <f t="shared" si="12"/>
        <v>1.2051517493509094E-2</v>
      </c>
      <c r="AD22" s="360">
        <f t="shared" si="13"/>
        <v>0.11449862068965518</v>
      </c>
      <c r="AE22" s="360">
        <f t="shared" si="14"/>
        <v>0.36630000000000001</v>
      </c>
      <c r="AF22" s="360">
        <f t="shared" si="15"/>
        <v>0</v>
      </c>
      <c r="AG22" s="360">
        <f t="shared" si="16"/>
        <v>0.49375461302132601</v>
      </c>
      <c r="AH22" s="360">
        <f t="shared" si="17"/>
        <v>2.8460117801038987</v>
      </c>
      <c r="AI22" s="360">
        <f t="shared" si="18"/>
        <v>1.052971796823721E-2</v>
      </c>
      <c r="AJ22" s="360">
        <f t="shared" si="19"/>
        <v>0</v>
      </c>
      <c r="AK22" s="360">
        <f t="shared" si="20"/>
        <v>1.054659797897815E-2</v>
      </c>
      <c r="AL22" s="360">
        <f t="shared" si="21"/>
        <v>1.7297279999999998E-2</v>
      </c>
      <c r="AM22" s="360">
        <f t="shared" si="22"/>
        <v>4.4549999999999999E-2</v>
      </c>
      <c r="AN22" s="360">
        <f t="shared" si="23"/>
        <v>3.8214398473724522E-2</v>
      </c>
      <c r="AO22" s="360">
        <f t="shared" si="24"/>
        <v>1.5749999999999998E-3</v>
      </c>
      <c r="AP22" s="360">
        <f t="shared" si="25"/>
        <v>0.25740000000000002</v>
      </c>
      <c r="AQ22" s="360">
        <f t="shared" si="26"/>
        <v>0.24596000000000001</v>
      </c>
      <c r="AR22" s="360">
        <f t="shared" si="27"/>
        <v>0.2288</v>
      </c>
      <c r="AS22" s="360">
        <f t="shared" si="28"/>
        <v>0.25897500000000001</v>
      </c>
      <c r="AT22" s="360">
        <f t="shared" si="29"/>
        <v>1.2073121606363539</v>
      </c>
      <c r="AU22">
        <f t="shared" si="30"/>
        <v>93.6</v>
      </c>
      <c r="AV22" s="542">
        <f t="shared" si="47"/>
        <v>0.98726562189010547</v>
      </c>
      <c r="AW22" s="551">
        <f t="shared" si="31"/>
        <v>19.87998929481039</v>
      </c>
      <c r="AX22" s="551">
        <f t="shared" si="32"/>
        <v>0.95942772320116976</v>
      </c>
      <c r="AY22" s="9"/>
      <c r="AZ22" s="4">
        <f t="shared" si="48"/>
        <v>98.726562189010551</v>
      </c>
      <c r="BA22" s="360">
        <f t="shared" si="33"/>
        <v>0.33316967486995275</v>
      </c>
      <c r="BB22" s="360">
        <f t="shared" si="34"/>
        <v>0.5488512110003041</v>
      </c>
      <c r="BC22" s="360">
        <f t="shared" si="35"/>
        <v>0.52315761302132602</v>
      </c>
      <c r="BD22" s="360">
        <f t="shared" si="36"/>
        <v>2.5248097978978153E-2</v>
      </c>
      <c r="BE22" s="360">
        <f t="shared" si="37"/>
        <v>3.8214398473724522E-2</v>
      </c>
      <c r="BK22" s="18"/>
      <c r="BL22" s="19"/>
    </row>
    <row r="23" spans="1:65" x14ac:dyDescent="0.25">
      <c r="A23" s="36" t="s">
        <v>86</v>
      </c>
      <c r="B23" s="39">
        <f>RCinEsr*1000</f>
        <v>1.5</v>
      </c>
      <c r="C23" s="442" t="s">
        <v>466</v>
      </c>
      <c r="D23" s="440" t="s">
        <v>480</v>
      </c>
      <c r="G23">
        <v>14</v>
      </c>
      <c r="H23" s="548">
        <f t="shared" si="0"/>
        <v>45</v>
      </c>
      <c r="I23" s="4">
        <f t="shared" si="1"/>
        <v>2</v>
      </c>
      <c r="J23" s="360">
        <f t="shared" si="38"/>
        <v>8.4</v>
      </c>
      <c r="K23" s="360">
        <f t="shared" si="2"/>
        <v>4.2</v>
      </c>
      <c r="L23" s="4">
        <f t="shared" si="3"/>
        <v>2.4888888888888894</v>
      </c>
      <c r="M23" s="360">
        <f t="shared" si="4"/>
        <v>0.53372400867021974</v>
      </c>
      <c r="N23" s="4">
        <f t="shared" si="5"/>
        <v>5.0914184531961562</v>
      </c>
      <c r="O23" s="4">
        <f t="shared" si="39"/>
        <v>6.7457092265980787</v>
      </c>
      <c r="P23" s="4">
        <f t="shared" si="40"/>
        <v>1.6542907734019221</v>
      </c>
      <c r="Q23" s="4">
        <f t="shared" si="6"/>
        <v>0</v>
      </c>
      <c r="R23" s="4">
        <f t="shared" si="41"/>
        <v>4.4497428939354311</v>
      </c>
      <c r="S23" s="360">
        <f t="shared" si="7"/>
        <v>3.6828393989159693E-2</v>
      </c>
      <c r="T23" s="360">
        <f t="shared" si="8"/>
        <v>0.3</v>
      </c>
      <c r="U23" s="360">
        <f t="shared" si="9"/>
        <v>0.33782371437731723</v>
      </c>
      <c r="V23" s="4">
        <f t="shared" si="42"/>
        <v>1.4697659072549145</v>
      </c>
      <c r="W23" s="360">
        <f t="shared" si="10"/>
        <v>4.3204236442577239E-3</v>
      </c>
      <c r="X23" s="360">
        <f t="shared" si="43"/>
        <v>4.3204236442577239E-3</v>
      </c>
      <c r="Y23" s="4">
        <f t="shared" si="44"/>
        <v>2.2198049466476624</v>
      </c>
      <c r="Z23" s="360">
        <f t="shared" si="11"/>
        <v>7.3913010017421475E-3</v>
      </c>
      <c r="AA23" s="541">
        <f t="shared" si="45"/>
        <v>7.3913010017421475E-3</v>
      </c>
      <c r="AB23" s="360">
        <f t="shared" si="46"/>
        <v>3.2508227306677449</v>
      </c>
      <c r="AC23" s="360">
        <f t="shared" si="12"/>
        <v>1.373820295409392E-2</v>
      </c>
      <c r="AD23" s="360">
        <f t="shared" si="13"/>
        <v>0.12330620689655172</v>
      </c>
      <c r="AE23" s="360">
        <f t="shared" si="14"/>
        <v>0.36630000000000001</v>
      </c>
      <c r="AF23" s="360">
        <f t="shared" si="15"/>
        <v>0</v>
      </c>
      <c r="AG23" s="360">
        <f t="shared" si="16"/>
        <v>0.50439769657526512</v>
      </c>
      <c r="AH23" s="360">
        <f t="shared" si="17"/>
        <v>3.0384804419154601</v>
      </c>
      <c r="AI23" s="360">
        <f t="shared" si="18"/>
        <v>1.20020724146736E-2</v>
      </c>
      <c r="AJ23" s="360">
        <f t="shared" si="19"/>
        <v>0</v>
      </c>
      <c r="AK23" s="360">
        <f t="shared" si="20"/>
        <v>1.20240079928997E-2</v>
      </c>
      <c r="AL23" s="360">
        <f t="shared" si="21"/>
        <v>1.862784E-2</v>
      </c>
      <c r="AM23" s="360">
        <f t="shared" si="22"/>
        <v>4.4549999999999999E-2</v>
      </c>
      <c r="AN23" s="360">
        <f t="shared" si="23"/>
        <v>4.3560466008683504E-2</v>
      </c>
      <c r="AO23" s="360">
        <f t="shared" si="24"/>
        <v>1.5749999999999998E-3</v>
      </c>
      <c r="AP23" s="360">
        <f t="shared" si="25"/>
        <v>0.25740000000000002</v>
      </c>
      <c r="AQ23" s="360">
        <f t="shared" si="26"/>
        <v>0.24596000000000001</v>
      </c>
      <c r="AR23" s="360">
        <f t="shared" si="27"/>
        <v>0.2288</v>
      </c>
      <c r="AS23" s="360">
        <f t="shared" si="28"/>
        <v>0.25897500000000001</v>
      </c>
      <c r="AT23" s="360">
        <f t="shared" si="29"/>
        <v>1.2316704496001654</v>
      </c>
      <c r="AU23">
        <f t="shared" si="30"/>
        <v>100.80000000000001</v>
      </c>
      <c r="AV23" s="542">
        <f t="shared" si="47"/>
        <v>0.98792854763454496</v>
      </c>
      <c r="AW23" s="551">
        <f t="shared" si="31"/>
        <v>20.284426469860072</v>
      </c>
      <c r="AX23" s="551">
        <f t="shared" si="32"/>
        <v>1.0155693037301887</v>
      </c>
      <c r="AY23" s="9"/>
      <c r="AZ23" s="4">
        <f t="shared" si="48"/>
        <v>98.7928547634545</v>
      </c>
      <c r="BA23" s="360">
        <f t="shared" si="33"/>
        <v>0.33782371437731723</v>
      </c>
      <c r="BB23" s="360">
        <f t="shared" si="34"/>
        <v>0.56097170456816481</v>
      </c>
      <c r="BC23" s="360">
        <f t="shared" si="35"/>
        <v>0.53380069657526508</v>
      </c>
      <c r="BD23" s="360">
        <f t="shared" si="36"/>
        <v>2.6725507992899702E-2</v>
      </c>
      <c r="BE23" s="360">
        <f t="shared" si="37"/>
        <v>4.3560466008683504E-2</v>
      </c>
      <c r="BK23" s="18"/>
      <c r="BL23" s="19"/>
    </row>
    <row r="24" spans="1:65" x14ac:dyDescent="0.25">
      <c r="A24" s="35" t="s">
        <v>25</v>
      </c>
      <c r="B24" s="39">
        <f>Cout*1000000</f>
        <v>204</v>
      </c>
      <c r="C24" s="441" t="s">
        <v>467</v>
      </c>
      <c r="D24" s="440" t="s">
        <v>483</v>
      </c>
      <c r="G24">
        <v>15</v>
      </c>
      <c r="H24" s="548">
        <f t="shared" si="0"/>
        <v>45</v>
      </c>
      <c r="I24" s="4">
        <f t="shared" si="1"/>
        <v>2</v>
      </c>
      <c r="J24" s="360">
        <f t="shared" si="38"/>
        <v>9</v>
      </c>
      <c r="K24" s="360">
        <f t="shared" si="2"/>
        <v>4.5</v>
      </c>
      <c r="L24" s="4">
        <f t="shared" si="3"/>
        <v>2.6666666666666665</v>
      </c>
      <c r="M24" s="360">
        <f t="shared" si="4"/>
        <v>0.53375190791359228</v>
      </c>
      <c r="N24" s="4">
        <f t="shared" si="5"/>
        <v>5.0914545972976839</v>
      </c>
      <c r="O24" s="4">
        <f t="shared" si="39"/>
        <v>7.045727298648842</v>
      </c>
      <c r="P24" s="4">
        <f t="shared" si="40"/>
        <v>1.954272701351158</v>
      </c>
      <c r="Q24" s="4">
        <f t="shared" si="6"/>
        <v>0</v>
      </c>
      <c r="R24" s="4">
        <f t="shared" si="41"/>
        <v>4.7339457636340372</v>
      </c>
      <c r="S24" s="360">
        <f t="shared" si="7"/>
        <v>4.1683051037033285E-2</v>
      </c>
      <c r="T24" s="360">
        <f t="shared" si="8"/>
        <v>0.3</v>
      </c>
      <c r="U24" s="360">
        <f t="shared" si="9"/>
        <v>0.3428262545783472</v>
      </c>
      <c r="V24" s="4">
        <f t="shared" si="42"/>
        <v>1.4697763411582878</v>
      </c>
      <c r="W24" s="360">
        <f t="shared" si="10"/>
        <v>4.3204849860572873E-3</v>
      </c>
      <c r="X24" s="360">
        <f t="shared" si="43"/>
        <v>4.3204849860572873E-3</v>
      </c>
      <c r="Y24" s="4">
        <f t="shared" si="44"/>
        <v>2.3615738544986153</v>
      </c>
      <c r="Z24" s="360">
        <f t="shared" si="11"/>
        <v>8.3655466053771717E-3</v>
      </c>
      <c r="AA24" s="541">
        <f t="shared" si="45"/>
        <v>8.3655466053771717E-3</v>
      </c>
      <c r="AB24" s="360">
        <f t="shared" si="46"/>
        <v>3.4585415549708665</v>
      </c>
      <c r="AC24" s="360">
        <f t="shared" si="12"/>
        <v>1.554996259369839E-2</v>
      </c>
      <c r="AD24" s="360">
        <f t="shared" si="13"/>
        <v>0.13211379310344828</v>
      </c>
      <c r="AE24" s="360">
        <f t="shared" si="14"/>
        <v>0.36630000000000001</v>
      </c>
      <c r="AF24" s="360">
        <f t="shared" si="15"/>
        <v>0</v>
      </c>
      <c r="AG24" s="360">
        <f t="shared" si="16"/>
        <v>0.51518143560915564</v>
      </c>
      <c r="AH24" s="360">
        <f t="shared" si="17"/>
        <v>3.2324499695383295</v>
      </c>
      <c r="AI24" s="360">
        <f t="shared" si="18"/>
        <v>1.3583352647238851E-2</v>
      </c>
      <c r="AJ24" s="360">
        <f t="shared" si="19"/>
        <v>0</v>
      </c>
      <c r="AK24" s="360">
        <f t="shared" si="20"/>
        <v>1.3611455806286232E-2</v>
      </c>
      <c r="AL24" s="360">
        <f t="shared" si="21"/>
        <v>1.9958399999999998E-2</v>
      </c>
      <c r="AM24" s="360">
        <f t="shared" si="22"/>
        <v>4.4549999999999999E-2</v>
      </c>
      <c r="AN24" s="360">
        <f t="shared" si="23"/>
        <v>4.9302533484663028E-2</v>
      </c>
      <c r="AO24" s="360">
        <f t="shared" si="24"/>
        <v>1.5749999999999998E-3</v>
      </c>
      <c r="AP24" s="360">
        <f t="shared" si="25"/>
        <v>0.25740000000000002</v>
      </c>
      <c r="AQ24" s="360">
        <f t="shared" si="26"/>
        <v>0.24596000000000001</v>
      </c>
      <c r="AR24" s="360">
        <f t="shared" si="27"/>
        <v>0.2288</v>
      </c>
      <c r="AS24" s="360">
        <f t="shared" si="28"/>
        <v>0.25897500000000001</v>
      </c>
      <c r="AT24" s="360">
        <f t="shared" si="29"/>
        <v>1.2570911110698866</v>
      </c>
      <c r="AU24">
        <f t="shared" si="30"/>
        <v>108</v>
      </c>
      <c r="AV24" s="542">
        <f t="shared" si="47"/>
        <v>0.98849419201732236</v>
      </c>
      <c r="AW24" s="551">
        <f t="shared" si="31"/>
        <v>20.694208553147913</v>
      </c>
      <c r="AX24" s="551">
        <f t="shared" si="32"/>
        <v>1.0758923206388769</v>
      </c>
      <c r="AY24" s="9"/>
      <c r="AZ24" s="4">
        <f t="shared" si="48"/>
        <v>98.849419201732232</v>
      </c>
      <c r="BA24" s="360">
        <f t="shared" si="33"/>
        <v>0.3428262545783472</v>
      </c>
      <c r="BB24" s="360">
        <f t="shared" si="34"/>
        <v>0.57334289141544181</v>
      </c>
      <c r="BC24" s="360">
        <f t="shared" si="35"/>
        <v>0.54458443560915559</v>
      </c>
      <c r="BD24" s="360">
        <f t="shared" si="36"/>
        <v>2.8312955806286233E-2</v>
      </c>
      <c r="BE24" s="360">
        <f t="shared" si="37"/>
        <v>4.9302533484663028E-2</v>
      </c>
      <c r="BK24" s="18"/>
      <c r="BL24" s="19"/>
    </row>
    <row r="25" spans="1:65" x14ac:dyDescent="0.25">
      <c r="A25" s="35" t="s">
        <v>85</v>
      </c>
      <c r="B25" s="40">
        <f>Cout_ESR*1000</f>
        <v>2</v>
      </c>
      <c r="C25" s="442" t="s">
        <v>466</v>
      </c>
      <c r="D25" s="440" t="s">
        <v>482</v>
      </c>
      <c r="G25">
        <v>16</v>
      </c>
      <c r="H25" s="548">
        <f t="shared" si="0"/>
        <v>45</v>
      </c>
      <c r="I25" s="4">
        <f t="shared" si="1"/>
        <v>2</v>
      </c>
      <c r="J25" s="360">
        <f t="shared" si="38"/>
        <v>9.6</v>
      </c>
      <c r="K25" s="360">
        <f t="shared" si="2"/>
        <v>4.8</v>
      </c>
      <c r="L25" s="4">
        <f t="shared" si="3"/>
        <v>2.8444444444444441</v>
      </c>
      <c r="M25" s="360">
        <f t="shared" si="4"/>
        <v>0.53377980633877919</v>
      </c>
      <c r="N25" s="4">
        <f t="shared" si="5"/>
        <v>5.0914907095508246</v>
      </c>
      <c r="O25" s="4">
        <f t="shared" si="39"/>
        <v>7.3457453547754117</v>
      </c>
      <c r="P25" s="4">
        <f t="shared" si="40"/>
        <v>2.2542546452245875</v>
      </c>
      <c r="Q25" s="4">
        <f t="shared" si="6"/>
        <v>0</v>
      </c>
      <c r="R25" s="4">
        <f t="shared" si="41"/>
        <v>5.0199873642390971</v>
      </c>
      <c r="S25" s="360">
        <f t="shared" si="7"/>
        <v>4.6872508035043572E-2</v>
      </c>
      <c r="T25" s="360">
        <f t="shared" si="8"/>
        <v>0.3</v>
      </c>
      <c r="U25" s="360">
        <f t="shared" si="9"/>
        <v>0.34817810652269243</v>
      </c>
      <c r="V25" s="4">
        <f t="shared" si="42"/>
        <v>1.4697867658678236</v>
      </c>
      <c r="W25" s="360">
        <f t="shared" si="10"/>
        <v>4.3205462742403932E-3</v>
      </c>
      <c r="X25" s="360">
        <f t="shared" si="43"/>
        <v>4.3205462742403932E-3</v>
      </c>
      <c r="Y25" s="4">
        <f t="shared" si="44"/>
        <v>2.5042589472016727</v>
      </c>
      <c r="Z25" s="360">
        <f t="shared" si="11"/>
        <v>9.4069693119594455E-3</v>
      </c>
      <c r="AA25" s="541">
        <f t="shared" si="45"/>
        <v>9.4069693119594455E-3</v>
      </c>
      <c r="AB25" s="360">
        <f t="shared" si="46"/>
        <v>3.6676146082728427</v>
      </c>
      <c r="AC25" s="360">
        <f t="shared" si="12"/>
        <v>1.7486815989261262E-2</v>
      </c>
      <c r="AD25" s="360">
        <f t="shared" si="13"/>
        <v>0.14092137931034485</v>
      </c>
      <c r="AE25" s="360">
        <f t="shared" si="14"/>
        <v>0.36630000000000001</v>
      </c>
      <c r="AF25" s="360">
        <f t="shared" si="15"/>
        <v>0</v>
      </c>
      <c r="AG25" s="360">
        <f t="shared" si="16"/>
        <v>0.52610658451279146</v>
      </c>
      <c r="AH25" s="360">
        <f t="shared" si="17"/>
        <v>3.4276633764568887</v>
      </c>
      <c r="AI25" s="360">
        <f t="shared" si="18"/>
        <v>1.5273539088994989E-2</v>
      </c>
      <c r="AJ25" s="360">
        <f t="shared" si="19"/>
        <v>0</v>
      </c>
      <c r="AK25" s="360">
        <f t="shared" si="20"/>
        <v>1.5309080312152753E-2</v>
      </c>
      <c r="AL25" s="360">
        <f t="shared" si="21"/>
        <v>2.1288959999999996E-2</v>
      </c>
      <c r="AM25" s="360">
        <f t="shared" si="22"/>
        <v>4.4549999999999999E-2</v>
      </c>
      <c r="AN25" s="360">
        <f t="shared" si="23"/>
        <v>5.5440600901664444E-2</v>
      </c>
      <c r="AO25" s="360">
        <f t="shared" si="24"/>
        <v>1.5749999999999998E-3</v>
      </c>
      <c r="AP25" s="360">
        <f t="shared" si="25"/>
        <v>0.25740000000000002</v>
      </c>
      <c r="AQ25" s="360">
        <f t="shared" si="26"/>
        <v>0.24596000000000001</v>
      </c>
      <c r="AR25" s="360">
        <f t="shared" si="27"/>
        <v>0.2288</v>
      </c>
      <c r="AS25" s="360">
        <f t="shared" si="28"/>
        <v>0.25897500000000001</v>
      </c>
      <c r="AT25" s="360">
        <f t="shared" si="29"/>
        <v>1.2835758478355008</v>
      </c>
      <c r="AU25">
        <f t="shared" si="30"/>
        <v>115.19999999999999</v>
      </c>
      <c r="AV25" s="542">
        <f t="shared" si="47"/>
        <v>0.98898062805427378</v>
      </c>
      <c r="AW25" s="551">
        <f t="shared" si="31"/>
        <v>21.109364211486074</v>
      </c>
      <c r="AX25" s="551">
        <f t="shared" si="32"/>
        <v>1.1404020518618045</v>
      </c>
      <c r="AY25" s="9"/>
      <c r="AZ25" s="4">
        <f t="shared" si="48"/>
        <v>98.898062805427372</v>
      </c>
      <c r="BA25" s="360">
        <f t="shared" si="33"/>
        <v>0.34817810652269243</v>
      </c>
      <c r="BB25" s="360">
        <f t="shared" si="34"/>
        <v>0.58596566482494417</v>
      </c>
      <c r="BC25" s="360">
        <f t="shared" si="35"/>
        <v>0.55550958451279142</v>
      </c>
      <c r="BD25" s="360">
        <f t="shared" si="36"/>
        <v>3.0010580312152754E-2</v>
      </c>
      <c r="BE25" s="360">
        <f t="shared" si="37"/>
        <v>5.5440600901664444E-2</v>
      </c>
    </row>
    <row r="26" spans="1:65" ht="13" x14ac:dyDescent="0.3">
      <c r="A26" s="24" t="s">
        <v>112</v>
      </c>
      <c r="B26" s="37" t="s">
        <v>111</v>
      </c>
      <c r="C26" s="24" t="s">
        <v>76</v>
      </c>
      <c r="D26" s="17" t="s">
        <v>107</v>
      </c>
      <c r="G26">
        <v>17</v>
      </c>
      <c r="H26" s="548">
        <f t="shared" si="0"/>
        <v>45</v>
      </c>
      <c r="I26" s="4">
        <f t="shared" si="1"/>
        <v>2</v>
      </c>
      <c r="J26" s="360">
        <f t="shared" si="38"/>
        <v>10.199999999999999</v>
      </c>
      <c r="K26" s="360">
        <f t="shared" si="2"/>
        <v>5.0999999999999996</v>
      </c>
      <c r="L26" s="4">
        <f t="shared" si="3"/>
        <v>3.0222222222222221</v>
      </c>
      <c r="M26" s="360">
        <f t="shared" si="4"/>
        <v>0.53380770394581611</v>
      </c>
      <c r="N26" s="4">
        <f t="shared" si="5"/>
        <v>5.0915267899569763</v>
      </c>
      <c r="O26" s="4">
        <f t="shared" si="39"/>
        <v>7.6457633949784878</v>
      </c>
      <c r="P26" s="4">
        <f t="shared" si="40"/>
        <v>2.5542366050215115</v>
      </c>
      <c r="Q26" s="4">
        <f t="shared" si="6"/>
        <v>0</v>
      </c>
      <c r="R26" s="4">
        <f t="shared" si="41"/>
        <v>5.3075704191658284</v>
      </c>
      <c r="S26" s="360">
        <f t="shared" si="7"/>
        <v>5.2396764983191679E-2</v>
      </c>
      <c r="T26" s="360">
        <f t="shared" si="8"/>
        <v>0.3</v>
      </c>
      <c r="U26" s="360">
        <f t="shared" si="9"/>
        <v>0.35388013894097642</v>
      </c>
      <c r="V26" s="4">
        <f t="shared" si="42"/>
        <v>1.4697971813839259</v>
      </c>
      <c r="W26" s="360">
        <f t="shared" si="10"/>
        <v>4.320607508808267E-3</v>
      </c>
      <c r="X26" s="360">
        <f t="shared" si="43"/>
        <v>4.320607508808267E-3</v>
      </c>
      <c r="Y26" s="4">
        <f t="shared" si="44"/>
        <v>2.6477119149158472</v>
      </c>
      <c r="Z26" s="360">
        <f t="shared" si="11"/>
        <v>1.0515567576581014E-2</v>
      </c>
      <c r="AA26" s="541">
        <f t="shared" si="45"/>
        <v>1.0515567576581014E-2</v>
      </c>
      <c r="AB26" s="360">
        <f t="shared" si="46"/>
        <v>3.8778247983366487</v>
      </c>
      <c r="AC26" s="360">
        <f t="shared" si="12"/>
        <v>1.9548782716573072E-2</v>
      </c>
      <c r="AD26" s="360">
        <f t="shared" si="13"/>
        <v>0.14972896551724135</v>
      </c>
      <c r="AE26" s="360">
        <f t="shared" si="14"/>
        <v>0.36630000000000001</v>
      </c>
      <c r="AF26" s="360">
        <f t="shared" si="15"/>
        <v>0</v>
      </c>
      <c r="AG26" s="360">
        <f t="shared" si="16"/>
        <v>0.5371739148474538</v>
      </c>
      <c r="AH26" s="360">
        <f t="shared" si="17"/>
        <v>3.6239175746434213</v>
      </c>
      <c r="AI26" s="360">
        <f t="shared" si="18"/>
        <v>1.7072612164152293E-2</v>
      </c>
      <c r="AJ26" s="360">
        <f t="shared" si="19"/>
        <v>0</v>
      </c>
      <c r="AK26" s="360">
        <f t="shared" si="20"/>
        <v>1.7117031495050013E-2</v>
      </c>
      <c r="AL26" s="360">
        <f t="shared" si="21"/>
        <v>2.2619519999999994E-2</v>
      </c>
      <c r="AM26" s="360">
        <f t="shared" si="22"/>
        <v>4.4549999999999999E-2</v>
      </c>
      <c r="AN26" s="360">
        <f t="shared" si="23"/>
        <v>6.1974668259689086E-2</v>
      </c>
      <c r="AO26" s="360">
        <f t="shared" si="24"/>
        <v>1.5749999999999998E-3</v>
      </c>
      <c r="AP26" s="360">
        <f t="shared" si="25"/>
        <v>0.25740000000000002</v>
      </c>
      <c r="AQ26" s="360">
        <f t="shared" si="26"/>
        <v>0.24596000000000001</v>
      </c>
      <c r="AR26" s="360">
        <f t="shared" si="27"/>
        <v>0.2288</v>
      </c>
      <c r="AS26" s="360">
        <f t="shared" si="28"/>
        <v>0.25897500000000001</v>
      </c>
      <c r="AT26" s="360">
        <f t="shared" si="29"/>
        <v>1.3111264486285588</v>
      </c>
      <c r="AU26">
        <f t="shared" si="30"/>
        <v>122.39999999999999</v>
      </c>
      <c r="AV26" s="542">
        <f t="shared" si="47"/>
        <v>0.98940170956107976</v>
      </c>
      <c r="AW26" s="551">
        <f t="shared" si="31"/>
        <v>21.529922764203242</v>
      </c>
      <c r="AX26" s="551">
        <f t="shared" si="32"/>
        <v>1.2091041968119005</v>
      </c>
      <c r="AY26" s="9"/>
      <c r="AZ26" s="4">
        <f t="shared" si="48"/>
        <v>98.940170956107977</v>
      </c>
      <c r="BA26" s="360">
        <f t="shared" si="33"/>
        <v>0.35388013894097642</v>
      </c>
      <c r="BB26" s="360">
        <f t="shared" si="34"/>
        <v>0.59884094634250384</v>
      </c>
      <c r="BC26" s="360">
        <f t="shared" si="35"/>
        <v>0.56657691484745376</v>
      </c>
      <c r="BD26" s="360">
        <f t="shared" si="36"/>
        <v>3.1818531495050012E-2</v>
      </c>
      <c r="BE26" s="360">
        <f t="shared" si="37"/>
        <v>6.1974668259689086E-2</v>
      </c>
    </row>
    <row r="27" spans="1:65" x14ac:dyDescent="0.25">
      <c r="A27" s="22" t="s">
        <v>61</v>
      </c>
      <c r="B27" s="5">
        <f>RdsonDRT</f>
        <v>1</v>
      </c>
      <c r="C27" s="444" t="s">
        <v>116</v>
      </c>
      <c r="D27" s="440" t="s">
        <v>507</v>
      </c>
      <c r="G27">
        <v>18</v>
      </c>
      <c r="H27" s="548">
        <f t="shared" si="0"/>
        <v>45</v>
      </c>
      <c r="I27" s="4">
        <f t="shared" si="1"/>
        <v>2</v>
      </c>
      <c r="J27" s="360">
        <f t="shared" si="38"/>
        <v>10.8</v>
      </c>
      <c r="K27" s="360">
        <f t="shared" si="2"/>
        <v>5.4</v>
      </c>
      <c r="L27" s="4">
        <f t="shared" si="3"/>
        <v>3.2000000000000006</v>
      </c>
      <c r="M27" s="360">
        <f t="shared" si="4"/>
        <v>0.53383560073473935</v>
      </c>
      <c r="N27" s="4">
        <f t="shared" si="5"/>
        <v>5.0915628385175404</v>
      </c>
      <c r="O27" s="4">
        <f t="shared" si="39"/>
        <v>7.9457814192587701</v>
      </c>
      <c r="P27" s="4">
        <f t="shared" si="40"/>
        <v>2.8542185807412301</v>
      </c>
      <c r="Q27" s="4">
        <f t="shared" si="6"/>
        <v>0</v>
      </c>
      <c r="R27" s="4">
        <f t="shared" si="41"/>
        <v>5.5964573030517322</v>
      </c>
      <c r="S27" s="360">
        <f t="shared" si="7"/>
        <v>5.8255821881478792E-2</v>
      </c>
      <c r="T27" s="360">
        <f t="shared" si="8"/>
        <v>0.3</v>
      </c>
      <c r="U27" s="360">
        <f t="shared" si="9"/>
        <v>0.35993327859886048</v>
      </c>
      <c r="V27" s="4">
        <f t="shared" si="42"/>
        <v>1.4698075877069987</v>
      </c>
      <c r="W27" s="360">
        <f t="shared" si="10"/>
        <v>4.3206686897621334E-3</v>
      </c>
      <c r="X27" s="360">
        <f t="shared" si="43"/>
        <v>4.3206686897621334E-3</v>
      </c>
      <c r="Y27" s="4">
        <f t="shared" si="44"/>
        <v>2.7918142072738421</v>
      </c>
      <c r="Z27" s="360">
        <f t="shared" si="11"/>
        <v>1.1691339851904108E-2</v>
      </c>
      <c r="AA27" s="541">
        <f t="shared" si="45"/>
        <v>1.1691339851904108E-2</v>
      </c>
      <c r="AB27" s="360">
        <f t="shared" si="46"/>
        <v>4.0889985938139519</v>
      </c>
      <c r="AC27" s="360">
        <f t="shared" si="12"/>
        <v>2.1735882350276219E-2</v>
      </c>
      <c r="AD27" s="360">
        <f t="shared" si="13"/>
        <v>0.15853655172413797</v>
      </c>
      <c r="AE27" s="360">
        <f t="shared" si="14"/>
        <v>0.36630000000000001</v>
      </c>
      <c r="AF27" s="360">
        <f t="shared" si="15"/>
        <v>0</v>
      </c>
      <c r="AG27" s="360">
        <f t="shared" si="16"/>
        <v>0.54838421552269945</v>
      </c>
      <c r="AH27" s="360">
        <f t="shared" si="17"/>
        <v>3.8210502279698701</v>
      </c>
      <c r="AI27" s="360">
        <f t="shared" si="18"/>
        <v>1.8980552298069175E-2</v>
      </c>
      <c r="AJ27" s="360">
        <f t="shared" si="19"/>
        <v>0</v>
      </c>
      <c r="AK27" s="360">
        <f t="shared" si="20"/>
        <v>1.9035470466962086E-2</v>
      </c>
      <c r="AL27" s="360">
        <f t="shared" si="21"/>
        <v>2.3950079999999999E-2</v>
      </c>
      <c r="AM27" s="360">
        <f t="shared" si="22"/>
        <v>4.4549999999999999E-2</v>
      </c>
      <c r="AN27" s="360">
        <f t="shared" si="23"/>
        <v>6.8904735558738356E-2</v>
      </c>
      <c r="AO27" s="360">
        <f t="shared" si="24"/>
        <v>1.5749999999999998E-3</v>
      </c>
      <c r="AP27" s="360">
        <f t="shared" si="25"/>
        <v>0.25740000000000002</v>
      </c>
      <c r="AQ27" s="360">
        <f t="shared" si="26"/>
        <v>0.24596000000000001</v>
      </c>
      <c r="AR27" s="360">
        <f t="shared" si="27"/>
        <v>0.2288</v>
      </c>
      <c r="AS27" s="360">
        <f t="shared" si="28"/>
        <v>0.25897500000000001</v>
      </c>
      <c r="AT27" s="360">
        <f t="shared" si="29"/>
        <v>1.3397447886889267</v>
      </c>
      <c r="AU27">
        <f t="shared" si="30"/>
        <v>129.60000000000002</v>
      </c>
      <c r="AV27" s="542">
        <f t="shared" si="47"/>
        <v>0.98976823430616112</v>
      </c>
      <c r="AW27" s="551">
        <f t="shared" si="31"/>
        <v>21.955914189862579</v>
      </c>
      <c r="AX27" s="551">
        <f t="shared" si="32"/>
        <v>1.2820048777445592</v>
      </c>
      <c r="AY27" s="9"/>
      <c r="AZ27" s="4">
        <f t="shared" si="48"/>
        <v>98.976823430616108</v>
      </c>
      <c r="BA27" s="360">
        <f t="shared" si="33"/>
        <v>0.35993327859886048</v>
      </c>
      <c r="BB27" s="360">
        <f t="shared" si="34"/>
        <v>0.6119696859896615</v>
      </c>
      <c r="BC27" s="360">
        <f t="shared" si="35"/>
        <v>0.5777872155226994</v>
      </c>
      <c r="BD27" s="360">
        <f t="shared" si="36"/>
        <v>3.3736970466962085E-2</v>
      </c>
      <c r="BE27" s="360">
        <f t="shared" si="37"/>
        <v>6.8904735558738356E-2</v>
      </c>
    </row>
    <row r="28" spans="1:65" x14ac:dyDescent="0.25">
      <c r="A28" s="22" t="s">
        <v>126</v>
      </c>
      <c r="B28" s="5">
        <f>RdsonDRT2</f>
        <v>0.5</v>
      </c>
      <c r="C28" s="444" t="s">
        <v>116</v>
      </c>
      <c r="D28" s="440" t="s">
        <v>506</v>
      </c>
      <c r="G28">
        <v>19</v>
      </c>
      <c r="H28" s="548">
        <f t="shared" si="0"/>
        <v>45</v>
      </c>
      <c r="I28" s="4">
        <f t="shared" si="1"/>
        <v>2</v>
      </c>
      <c r="J28" s="360">
        <f t="shared" si="38"/>
        <v>11.4</v>
      </c>
      <c r="K28" s="360">
        <f t="shared" si="2"/>
        <v>5.7</v>
      </c>
      <c r="L28" s="4">
        <f t="shared" si="3"/>
        <v>3.3777777777777782</v>
      </c>
      <c r="M28" s="360">
        <f t="shared" si="4"/>
        <v>0.53386349670558475</v>
      </c>
      <c r="N28" s="4">
        <f t="shared" si="5"/>
        <v>5.0915988552339178</v>
      </c>
      <c r="O28" s="4">
        <f t="shared" si="39"/>
        <v>8.2457994276169586</v>
      </c>
      <c r="P28" s="4">
        <f t="shared" si="40"/>
        <v>3.1542005723830413</v>
      </c>
      <c r="Q28" s="4">
        <f t="shared" si="6"/>
        <v>0</v>
      </c>
      <c r="R28" s="4">
        <f t="shared" si="41"/>
        <v>5.8864560567927127</v>
      </c>
      <c r="S28" s="360">
        <f t="shared" si="7"/>
        <v>6.4449678729905993E-2</v>
      </c>
      <c r="T28" s="360">
        <f t="shared" si="8"/>
        <v>0.3</v>
      </c>
      <c r="U28" s="360">
        <f t="shared" si="9"/>
        <v>0.36633851067546003</v>
      </c>
      <c r="V28" s="4">
        <f t="shared" si="42"/>
        <v>1.4698179848374464</v>
      </c>
      <c r="W28" s="360">
        <f t="shared" si="10"/>
        <v>4.3207298171032233E-3</v>
      </c>
      <c r="X28" s="360">
        <f t="shared" si="43"/>
        <v>4.3207298171032233E-3</v>
      </c>
      <c r="Y28" s="4">
        <f t="shared" si="44"/>
        <v>2.936470056395545</v>
      </c>
      <c r="Z28" s="360">
        <f t="shared" si="11"/>
        <v>1.2934284588161484E-2</v>
      </c>
      <c r="AA28" s="541">
        <f t="shared" si="45"/>
        <v>1.2934284588161484E-2</v>
      </c>
      <c r="AB28" s="360">
        <f t="shared" si="46"/>
        <v>4.3009958116933635</v>
      </c>
      <c r="AC28" s="360">
        <f t="shared" si="12"/>
        <v>2.4048134463865011E-2</v>
      </c>
      <c r="AD28" s="360">
        <f t="shared" si="13"/>
        <v>0.16734413793103448</v>
      </c>
      <c r="AE28" s="360">
        <f t="shared" si="14"/>
        <v>0.36630000000000001</v>
      </c>
      <c r="AF28" s="360">
        <f t="shared" si="15"/>
        <v>0</v>
      </c>
      <c r="AG28" s="360">
        <f t="shared" si="16"/>
        <v>0.55973829297848587</v>
      </c>
      <c r="AH28" s="360">
        <f t="shared" si="17"/>
        <v>4.0189301979939591</v>
      </c>
      <c r="AI28" s="360">
        <f t="shared" si="18"/>
        <v>2.0997339917252094E-2</v>
      </c>
      <c r="AJ28" s="360">
        <f t="shared" si="19"/>
        <v>0</v>
      </c>
      <c r="AK28" s="360">
        <f t="shared" si="20"/>
        <v>2.1064569506023634E-2</v>
      </c>
      <c r="AL28" s="360">
        <f t="shared" si="21"/>
        <v>2.5280639999999997E-2</v>
      </c>
      <c r="AM28" s="360">
        <f t="shared" si="22"/>
        <v>4.4549999999999999E-2</v>
      </c>
      <c r="AN28" s="360">
        <f t="shared" si="23"/>
        <v>7.6230802798813543E-2</v>
      </c>
      <c r="AO28" s="360">
        <f t="shared" si="24"/>
        <v>1.5749999999999998E-3</v>
      </c>
      <c r="AP28" s="360">
        <f t="shared" si="25"/>
        <v>0.25740000000000002</v>
      </c>
      <c r="AQ28" s="360">
        <f t="shared" si="26"/>
        <v>0.24596000000000001</v>
      </c>
      <c r="AR28" s="360">
        <f t="shared" si="27"/>
        <v>0.2288</v>
      </c>
      <c r="AS28" s="360">
        <f t="shared" si="28"/>
        <v>0.25897500000000001</v>
      </c>
      <c r="AT28" s="360">
        <f t="shared" si="29"/>
        <v>1.3694328303640477</v>
      </c>
      <c r="AU28">
        <f t="shared" si="30"/>
        <v>136.80000000000001</v>
      </c>
      <c r="AV28" s="542">
        <f t="shared" si="47"/>
        <v>0.99008874247862511</v>
      </c>
      <c r="AW28" s="551">
        <f t="shared" si="31"/>
        <v>22.38736913318246</v>
      </c>
      <c r="AX28" s="551">
        <f t="shared" si="32"/>
        <v>1.3591106412288982</v>
      </c>
      <c r="AY28" s="9"/>
      <c r="AZ28" s="4">
        <f t="shared" si="48"/>
        <v>99.008874247862508</v>
      </c>
      <c r="BA28" s="360">
        <f t="shared" si="33"/>
        <v>0.36633851067546003</v>
      </c>
      <c r="BB28" s="360">
        <f t="shared" si="34"/>
        <v>0.6253528624845095</v>
      </c>
      <c r="BC28" s="360">
        <f t="shared" si="35"/>
        <v>0.58914129297848583</v>
      </c>
      <c r="BD28" s="360">
        <f t="shared" si="36"/>
        <v>3.5766069506023637E-2</v>
      </c>
      <c r="BE28" s="360">
        <f t="shared" si="37"/>
        <v>7.6230802798813543E-2</v>
      </c>
    </row>
    <row r="29" spans="1:65" ht="13" x14ac:dyDescent="0.3">
      <c r="A29" s="24" t="s">
        <v>113</v>
      </c>
      <c r="B29" s="15" t="s">
        <v>111</v>
      </c>
      <c r="C29" s="24" t="s">
        <v>76</v>
      </c>
      <c r="D29" s="17" t="s">
        <v>107</v>
      </c>
      <c r="G29">
        <v>20</v>
      </c>
      <c r="H29" s="548">
        <f t="shared" si="0"/>
        <v>45</v>
      </c>
      <c r="I29" s="4">
        <f t="shared" si="1"/>
        <v>2</v>
      </c>
      <c r="J29" s="360">
        <f t="shared" si="38"/>
        <v>12</v>
      </c>
      <c r="K29" s="360">
        <f t="shared" si="2"/>
        <v>6</v>
      </c>
      <c r="L29" s="4">
        <f t="shared" si="3"/>
        <v>3.5555555555555554</v>
      </c>
      <c r="M29" s="360">
        <f t="shared" si="4"/>
        <v>0.5338913918583883</v>
      </c>
      <c r="N29" s="4">
        <f t="shared" si="5"/>
        <v>5.091634840107508</v>
      </c>
      <c r="O29" s="4">
        <f t="shared" si="39"/>
        <v>8.5458174200537549</v>
      </c>
      <c r="P29" s="4">
        <f t="shared" si="40"/>
        <v>3.454182579946246</v>
      </c>
      <c r="Q29" s="4">
        <f t="shared" si="6"/>
        <v>0</v>
      </c>
      <c r="R29" s="4">
        <f t="shared" si="41"/>
        <v>6.1774100920544672</v>
      </c>
      <c r="S29" s="360">
        <f t="shared" si="7"/>
        <v>7.0978335528474476E-2</v>
      </c>
      <c r="T29" s="360">
        <f t="shared" si="8"/>
        <v>0.3</v>
      </c>
      <c r="U29" s="360">
        <f t="shared" si="9"/>
        <v>0.3730968791664025</v>
      </c>
      <c r="V29" s="4">
        <f t="shared" si="42"/>
        <v>1.4698283727756736</v>
      </c>
      <c r="W29" s="360">
        <f t="shared" si="10"/>
        <v>4.3207908908327692E-3</v>
      </c>
      <c r="X29" s="360">
        <f t="shared" si="43"/>
        <v>4.3207908908327692E-3</v>
      </c>
      <c r="Y29" s="4">
        <f t="shared" si="44"/>
        <v>3.0816013405540539</v>
      </c>
      <c r="Z29" s="360">
        <f t="shared" si="11"/>
        <v>1.4244400233156812E-2</v>
      </c>
      <c r="AA29" s="541">
        <f t="shared" si="45"/>
        <v>1.4244400233156812E-2</v>
      </c>
      <c r="AB29" s="360">
        <f t="shared" si="46"/>
        <v>4.5137020989670837</v>
      </c>
      <c r="AC29" s="360">
        <f t="shared" si="12"/>
        <v>2.6485558629685813E-2</v>
      </c>
      <c r="AD29" s="360">
        <f t="shared" si="13"/>
        <v>0.17615172413793104</v>
      </c>
      <c r="AE29" s="360">
        <f t="shared" si="14"/>
        <v>0.36630000000000001</v>
      </c>
      <c r="AF29" s="360">
        <f t="shared" si="15"/>
        <v>0</v>
      </c>
      <c r="AG29" s="360">
        <f t="shared" si="16"/>
        <v>0.57123697137272078</v>
      </c>
      <c r="AH29" s="360">
        <f t="shared" si="17"/>
        <v>4.2174505103434861</v>
      </c>
      <c r="AI29" s="360">
        <f t="shared" si="18"/>
        <v>2.3122955449355487E-2</v>
      </c>
      <c r="AJ29" s="360">
        <f t="shared" si="19"/>
        <v>0</v>
      </c>
      <c r="AK29" s="360">
        <f t="shared" si="20"/>
        <v>2.3204512098074594E-2</v>
      </c>
      <c r="AL29" s="360">
        <f t="shared" si="21"/>
        <v>2.6611199999999995E-2</v>
      </c>
      <c r="AM29" s="360">
        <f t="shared" si="22"/>
        <v>4.4549999999999999E-2</v>
      </c>
      <c r="AN29" s="360">
        <f t="shared" si="23"/>
        <v>8.395286997991605E-2</v>
      </c>
      <c r="AO29" s="360">
        <f t="shared" si="24"/>
        <v>1.5749999999999998E-3</v>
      </c>
      <c r="AP29" s="360">
        <f t="shared" si="25"/>
        <v>0.25740000000000002</v>
      </c>
      <c r="AQ29" s="360">
        <f t="shared" si="26"/>
        <v>0.24596000000000001</v>
      </c>
      <c r="AR29" s="360">
        <f t="shared" si="27"/>
        <v>0.2288</v>
      </c>
      <c r="AS29" s="360">
        <f t="shared" si="28"/>
        <v>0.25897500000000001</v>
      </c>
      <c r="AT29" s="360">
        <f t="shared" si="29"/>
        <v>1.4001926237411038</v>
      </c>
      <c r="AU29">
        <f t="shared" si="30"/>
        <v>144</v>
      </c>
      <c r="AV29" s="542">
        <f t="shared" si="47"/>
        <v>0.99037007724353954</v>
      </c>
      <c r="AW29" s="551">
        <f t="shared" si="31"/>
        <v>22.824318912163388</v>
      </c>
      <c r="AX29" s="551">
        <f t="shared" si="32"/>
        <v>1.4404284597268346</v>
      </c>
      <c r="AY29" s="9"/>
      <c r="AZ29" s="4">
        <f t="shared" si="48"/>
        <v>99.037007724353955</v>
      </c>
      <c r="BA29" s="360">
        <f t="shared" si="33"/>
        <v>0.3730968791664025</v>
      </c>
      <c r="BB29" s="360">
        <f t="shared" si="34"/>
        <v>0.63899148347079537</v>
      </c>
      <c r="BC29" s="360">
        <f t="shared" si="35"/>
        <v>0.60063997137272074</v>
      </c>
      <c r="BD29" s="360">
        <f t="shared" si="36"/>
        <v>3.7906012098074593E-2</v>
      </c>
      <c r="BE29" s="360">
        <f t="shared" si="37"/>
        <v>8.395286997991605E-2</v>
      </c>
    </row>
    <row r="30" spans="1:65" x14ac:dyDescent="0.25">
      <c r="A30" s="22" t="s">
        <v>60</v>
      </c>
      <c r="B30" s="27">
        <f>RdsonDRB</f>
        <v>1</v>
      </c>
      <c r="C30" s="444" t="s">
        <v>116</v>
      </c>
      <c r="D30" s="440" t="s">
        <v>505</v>
      </c>
      <c r="G30">
        <v>21</v>
      </c>
      <c r="H30" s="548">
        <f t="shared" si="0"/>
        <v>45</v>
      </c>
      <c r="I30" s="4">
        <f t="shared" si="1"/>
        <v>2</v>
      </c>
      <c r="J30" s="360">
        <f t="shared" si="38"/>
        <v>12.6</v>
      </c>
      <c r="K30" s="360">
        <f t="shared" si="2"/>
        <v>6.3</v>
      </c>
      <c r="L30" s="4">
        <f t="shared" si="3"/>
        <v>3.7333333333333329</v>
      </c>
      <c r="M30" s="360">
        <f t="shared" si="4"/>
        <v>0.53391928619318574</v>
      </c>
      <c r="N30" s="4">
        <f t="shared" si="5"/>
        <v>5.0916707931397109</v>
      </c>
      <c r="O30" s="4">
        <f t="shared" si="39"/>
        <v>8.8458353965698553</v>
      </c>
      <c r="P30" s="4">
        <f t="shared" si="40"/>
        <v>3.7541646034301444</v>
      </c>
      <c r="Q30" s="4">
        <f t="shared" si="6"/>
        <v>0</v>
      </c>
      <c r="R30" s="4">
        <f t="shared" si="41"/>
        <v>6.4691905177909232</v>
      </c>
      <c r="S30" s="360">
        <f t="shared" si="7"/>
        <v>7.7841792277185351E-2</v>
      </c>
      <c r="T30" s="360">
        <f t="shared" si="8"/>
        <v>0.3</v>
      </c>
      <c r="U30" s="360">
        <f t="shared" si="9"/>
        <v>0.38020948731183679</v>
      </c>
      <c r="V30" s="4">
        <f t="shared" si="42"/>
        <v>1.4698387515220839</v>
      </c>
      <c r="W30" s="360">
        <f t="shared" si="10"/>
        <v>4.3208519109519967E-3</v>
      </c>
      <c r="X30" s="360">
        <f t="shared" si="43"/>
        <v>4.3208519109519967E-3</v>
      </c>
      <c r="Y30" s="4">
        <f t="shared" si="44"/>
        <v>3.2271437559411611</v>
      </c>
      <c r="Z30" s="360">
        <f t="shared" si="11"/>
        <v>1.5621685232265037E-2</v>
      </c>
      <c r="AA30" s="541">
        <f t="shared" si="45"/>
        <v>1.5621685232265037E-2</v>
      </c>
      <c r="AB30" s="360">
        <f t="shared" si="46"/>
        <v>4.7270233290125097</v>
      </c>
      <c r="AC30" s="360">
        <f t="shared" si="12"/>
        <v>2.9048174418937062E-2</v>
      </c>
      <c r="AD30" s="360">
        <f t="shared" si="13"/>
        <v>0.1849593103448276</v>
      </c>
      <c r="AE30" s="360">
        <f t="shared" si="14"/>
        <v>0.36630000000000001</v>
      </c>
      <c r="AF30" s="360">
        <f t="shared" si="15"/>
        <v>0</v>
      </c>
      <c r="AG30" s="360">
        <f t="shared" si="16"/>
        <v>0.58288109277432276</v>
      </c>
      <c r="AH30" s="360">
        <f t="shared" si="17"/>
        <v>4.4165231124095206</v>
      </c>
      <c r="AI30" s="360">
        <f t="shared" si="18"/>
        <v>2.535737932318172E-2</v>
      </c>
      <c r="AJ30" s="360">
        <f t="shared" si="19"/>
        <v>0</v>
      </c>
      <c r="AK30" s="360">
        <f t="shared" si="20"/>
        <v>2.5455492981071422E-2</v>
      </c>
      <c r="AL30" s="360">
        <f t="shared" si="21"/>
        <v>2.7941759999999996E-2</v>
      </c>
      <c r="AM30" s="360">
        <f t="shared" si="22"/>
        <v>4.4549999999999999E-2</v>
      </c>
      <c r="AN30" s="360">
        <f t="shared" si="23"/>
        <v>9.2070937102047182E-2</v>
      </c>
      <c r="AO30" s="360">
        <f t="shared" si="24"/>
        <v>1.5749999999999998E-3</v>
      </c>
      <c r="AP30" s="360">
        <f t="shared" si="25"/>
        <v>0.25740000000000002</v>
      </c>
      <c r="AQ30" s="360">
        <f t="shared" si="26"/>
        <v>0.24596000000000001</v>
      </c>
      <c r="AR30" s="360">
        <f t="shared" si="27"/>
        <v>0.2288</v>
      </c>
      <c r="AS30" s="360">
        <f t="shared" si="28"/>
        <v>0.25897500000000001</v>
      </c>
      <c r="AT30" s="360">
        <f t="shared" si="29"/>
        <v>1.4320263073124953</v>
      </c>
      <c r="AU30">
        <f t="shared" si="30"/>
        <v>151.19999999999999</v>
      </c>
      <c r="AV30" s="542">
        <f t="shared" si="47"/>
        <v>0.99061778617529961</v>
      </c>
      <c r="AW30" s="551">
        <f t="shared" si="31"/>
        <v>23.266795525424264</v>
      </c>
      <c r="AX30" s="551">
        <f t="shared" si="32"/>
        <v>1.5259657332807139</v>
      </c>
      <c r="AY30" s="9"/>
      <c r="AZ30" s="4">
        <f t="shared" si="48"/>
        <v>99.061778617529967</v>
      </c>
      <c r="BA30" s="360">
        <f t="shared" si="33"/>
        <v>0.38020948731183679</v>
      </c>
      <c r="BB30" s="360">
        <f t="shared" si="34"/>
        <v>0.65288658575539416</v>
      </c>
      <c r="BC30" s="360">
        <f t="shared" si="35"/>
        <v>0.61228409277432272</v>
      </c>
      <c r="BD30" s="360">
        <f t="shared" si="36"/>
        <v>4.0156992981071421E-2</v>
      </c>
      <c r="BE30" s="360">
        <f t="shared" si="37"/>
        <v>9.2070937102047182E-2</v>
      </c>
    </row>
    <row r="31" spans="1:65" x14ac:dyDescent="0.25">
      <c r="A31" s="22" t="s">
        <v>125</v>
      </c>
      <c r="B31" s="27">
        <v>1</v>
      </c>
      <c r="C31" s="444" t="s">
        <v>116</v>
      </c>
      <c r="D31" s="440" t="s">
        <v>504</v>
      </c>
      <c r="G31">
        <v>22</v>
      </c>
      <c r="H31" s="548">
        <f t="shared" si="0"/>
        <v>45</v>
      </c>
      <c r="I31" s="4">
        <f t="shared" si="1"/>
        <v>2</v>
      </c>
      <c r="J31" s="360">
        <f t="shared" si="38"/>
        <v>13.2</v>
      </c>
      <c r="K31" s="360">
        <f t="shared" si="2"/>
        <v>6.6</v>
      </c>
      <c r="L31" s="4">
        <f t="shared" si="3"/>
        <v>3.9111111111111105</v>
      </c>
      <c r="M31" s="360">
        <f t="shared" si="4"/>
        <v>0.5339471797100136</v>
      </c>
      <c r="N31" s="4">
        <f t="shared" si="5"/>
        <v>5.0917067143319326</v>
      </c>
      <c r="O31" s="4">
        <f t="shared" si="39"/>
        <v>9.145853357165965</v>
      </c>
      <c r="P31" s="4">
        <f t="shared" si="40"/>
        <v>4.0541466428340334</v>
      </c>
      <c r="Q31" s="4">
        <f t="shared" si="6"/>
        <v>0</v>
      </c>
      <c r="R31" s="4">
        <f t="shared" si="41"/>
        <v>6.7616903536564781</v>
      </c>
      <c r="S31" s="360">
        <f t="shared" si="7"/>
        <v>8.5040048976039798E-2</v>
      </c>
      <c r="T31" s="360">
        <f t="shared" si="8"/>
        <v>0.3</v>
      </c>
      <c r="U31" s="360">
        <f t="shared" si="9"/>
        <v>0.38767749804972435</v>
      </c>
      <c r="V31" s="4">
        <f t="shared" si="42"/>
        <v>1.4698491210770832</v>
      </c>
      <c r="W31" s="360">
        <f t="shared" si="10"/>
        <v>4.3209128774621486E-3</v>
      </c>
      <c r="X31" s="360">
        <f t="shared" si="43"/>
        <v>4.3209128774621486E-3</v>
      </c>
      <c r="Y31" s="4">
        <f t="shared" si="44"/>
        <v>3.3730439297893051</v>
      </c>
      <c r="Z31" s="360">
        <f t="shared" si="11"/>
        <v>1.7066138028432716E-2</v>
      </c>
      <c r="AA31" s="541">
        <f t="shared" si="45"/>
        <v>1.7066138028432716E-2</v>
      </c>
      <c r="AB31" s="360">
        <f t="shared" si="46"/>
        <v>4.9408813758797105</v>
      </c>
      <c r="AC31" s="360">
        <f t="shared" si="12"/>
        <v>3.1736001401669475E-2</v>
      </c>
      <c r="AD31" s="360">
        <f t="shared" si="13"/>
        <v>0.19376689655172413</v>
      </c>
      <c r="AE31" s="360">
        <f t="shared" si="14"/>
        <v>0.36630000000000001</v>
      </c>
      <c r="AF31" s="360">
        <f t="shared" si="15"/>
        <v>0</v>
      </c>
      <c r="AG31" s="360">
        <f t="shared" si="16"/>
        <v>0.59467151736189017</v>
      </c>
      <c r="AH31" s="360">
        <f t="shared" si="17"/>
        <v>4.616074920125981</v>
      </c>
      <c r="AI31" s="360">
        <f t="shared" si="18"/>
        <v>2.7700591968680906E-2</v>
      </c>
      <c r="AJ31" s="360">
        <f t="shared" si="19"/>
        <v>0</v>
      </c>
      <c r="AK31" s="360">
        <f t="shared" si="20"/>
        <v>2.7817718192375208E-2</v>
      </c>
      <c r="AL31" s="360">
        <f t="shared" si="21"/>
        <v>2.9272319999999994E-2</v>
      </c>
      <c r="AM31" s="360">
        <f t="shared" si="22"/>
        <v>4.4549999999999999E-2</v>
      </c>
      <c r="AN31" s="360">
        <f t="shared" si="23"/>
        <v>0.10058500416520835</v>
      </c>
      <c r="AO31" s="360">
        <f t="shared" si="24"/>
        <v>1.5749999999999998E-3</v>
      </c>
      <c r="AP31" s="360">
        <f t="shared" si="25"/>
        <v>0.25740000000000002</v>
      </c>
      <c r="AQ31" s="360">
        <f t="shared" si="26"/>
        <v>0.24596000000000001</v>
      </c>
      <c r="AR31" s="360">
        <f t="shared" si="27"/>
        <v>0.2288</v>
      </c>
      <c r="AS31" s="360">
        <f t="shared" si="28"/>
        <v>0.25897500000000001</v>
      </c>
      <c r="AT31" s="360">
        <f t="shared" si="29"/>
        <v>1.4649361086750929</v>
      </c>
      <c r="AU31">
        <f t="shared" si="30"/>
        <v>158.39999999999998</v>
      </c>
      <c r="AV31" s="542">
        <f t="shared" si="47"/>
        <v>0.99083641388578647</v>
      </c>
      <c r="AW31" s="551">
        <f t="shared" si="31"/>
        <v>23.714831659751823</v>
      </c>
      <c r="AX31" s="551">
        <f t="shared" si="32"/>
        <v>1.615730291310258</v>
      </c>
      <c r="AY31" s="9"/>
      <c r="AZ31" s="4">
        <f t="shared" si="48"/>
        <v>99.083641388578641</v>
      </c>
      <c r="BA31" s="360">
        <f t="shared" si="33"/>
        <v>0.38767749804972435</v>
      </c>
      <c r="BB31" s="360">
        <f t="shared" si="34"/>
        <v>0.66703923555426536</v>
      </c>
      <c r="BC31" s="360">
        <f t="shared" si="35"/>
        <v>0.62407451736189012</v>
      </c>
      <c r="BD31" s="360">
        <f t="shared" si="36"/>
        <v>4.251921819237521E-2</v>
      </c>
      <c r="BE31" s="360">
        <f t="shared" si="37"/>
        <v>0.10058500416520835</v>
      </c>
    </row>
    <row r="32" spans="1:65" ht="13" x14ac:dyDescent="0.3">
      <c r="A32" s="24" t="s">
        <v>62</v>
      </c>
      <c r="B32" s="15" t="s">
        <v>111</v>
      </c>
      <c r="C32" s="24" t="s">
        <v>76</v>
      </c>
      <c r="D32" s="17" t="s">
        <v>107</v>
      </c>
      <c r="G32">
        <v>23</v>
      </c>
      <c r="H32" s="548">
        <f t="shared" si="0"/>
        <v>45</v>
      </c>
      <c r="I32" s="4">
        <f t="shared" si="1"/>
        <v>2</v>
      </c>
      <c r="J32" s="360">
        <f t="shared" si="38"/>
        <v>13.8</v>
      </c>
      <c r="K32" s="360">
        <f t="shared" si="2"/>
        <v>6.9</v>
      </c>
      <c r="L32" s="4">
        <f t="shared" si="3"/>
        <v>4.0888888888888895</v>
      </c>
      <c r="M32" s="360">
        <f t="shared" si="4"/>
        <v>0.5339750724089074</v>
      </c>
      <c r="N32" s="4">
        <f t="shared" si="5"/>
        <v>5.0917426036855673</v>
      </c>
      <c r="O32" s="4">
        <f t="shared" si="39"/>
        <v>9.445871301842784</v>
      </c>
      <c r="P32" s="4">
        <f t="shared" si="40"/>
        <v>4.3541286981572167</v>
      </c>
      <c r="Q32" s="4">
        <f t="shared" si="6"/>
        <v>0</v>
      </c>
      <c r="R32" s="4">
        <f t="shared" si="41"/>
        <v>7.0548201178472461</v>
      </c>
      <c r="S32" s="360">
        <f t="shared" si="7"/>
        <v>9.2573105625038954E-2</v>
      </c>
      <c r="T32" s="360">
        <f t="shared" si="8"/>
        <v>0.3</v>
      </c>
      <c r="U32" s="360">
        <f t="shared" si="9"/>
        <v>0.3955021344947599</v>
      </c>
      <c r="V32" s="4">
        <f t="shared" si="42"/>
        <v>1.4698594814410741</v>
      </c>
      <c r="W32" s="360">
        <f t="shared" si="10"/>
        <v>4.3209737903644472E-3</v>
      </c>
      <c r="X32" s="360">
        <f t="shared" si="43"/>
        <v>4.3209737903644472E-3</v>
      </c>
      <c r="Y32" s="4">
        <f t="shared" si="44"/>
        <v>3.5192572191849827</v>
      </c>
      <c r="Z32" s="360">
        <f t="shared" si="11"/>
        <v>1.8577757062178426E-2</v>
      </c>
      <c r="AA32" s="541">
        <f t="shared" si="45"/>
        <v>1.8577757062178426E-2</v>
      </c>
      <c r="AB32" s="360">
        <f t="shared" si="46"/>
        <v>5.15521089226052</v>
      </c>
      <c r="AC32" s="360">
        <f t="shared" si="12"/>
        <v>3.4549059146785958E-2</v>
      </c>
      <c r="AD32" s="360">
        <f t="shared" si="13"/>
        <v>0.20257448275862069</v>
      </c>
      <c r="AE32" s="360">
        <f t="shared" si="14"/>
        <v>0.36630000000000001</v>
      </c>
      <c r="AF32" s="360">
        <f t="shared" si="15"/>
        <v>0</v>
      </c>
      <c r="AG32" s="360">
        <f t="shared" si="16"/>
        <v>0.60660912362807007</v>
      </c>
      <c r="AH32" s="360">
        <f t="shared" si="17"/>
        <v>4.8160448037264691</v>
      </c>
      <c r="AI32" s="360">
        <f t="shared" si="18"/>
        <v>3.0152573816950943E-2</v>
      </c>
      <c r="AJ32" s="360">
        <f t="shared" si="19"/>
        <v>0</v>
      </c>
      <c r="AK32" s="360">
        <f t="shared" si="20"/>
        <v>3.0291405118938877E-2</v>
      </c>
      <c r="AL32" s="360">
        <f t="shared" si="21"/>
        <v>3.0602879999999999E-2</v>
      </c>
      <c r="AM32" s="360">
        <f t="shared" si="22"/>
        <v>4.4549999999999999E-2</v>
      </c>
      <c r="AN32" s="360">
        <f t="shared" si="23"/>
        <v>0.10949507116940091</v>
      </c>
      <c r="AO32" s="360">
        <f t="shared" si="24"/>
        <v>1.5749999999999998E-3</v>
      </c>
      <c r="AP32" s="360">
        <f t="shared" si="25"/>
        <v>0.25740000000000002</v>
      </c>
      <c r="AQ32" s="360">
        <f t="shared" si="26"/>
        <v>0.24596000000000001</v>
      </c>
      <c r="AR32" s="360">
        <f t="shared" si="27"/>
        <v>0.2288</v>
      </c>
      <c r="AS32" s="360">
        <f t="shared" si="28"/>
        <v>0.25897500000000001</v>
      </c>
      <c r="AT32" s="360">
        <f t="shared" si="29"/>
        <v>1.4989243452637127</v>
      </c>
      <c r="AU32">
        <f t="shared" si="30"/>
        <v>165.60000000000002</v>
      </c>
      <c r="AV32" s="542">
        <f t="shared" si="47"/>
        <v>0.99102971876607304</v>
      </c>
      <c r="AW32" s="551">
        <f t="shared" si="31"/>
        <v>24.16846069786666</v>
      </c>
      <c r="AX32" s="551">
        <f t="shared" si="32"/>
        <v>1.7097303945196773</v>
      </c>
      <c r="AY32" s="9"/>
      <c r="AZ32" s="4">
        <f t="shared" si="48"/>
        <v>99.102971876607299</v>
      </c>
      <c r="BA32" s="360">
        <f t="shared" si="33"/>
        <v>0.3955021344947599</v>
      </c>
      <c r="BB32" s="360">
        <f t="shared" si="34"/>
        <v>0.68145052874700895</v>
      </c>
      <c r="BC32" s="360">
        <f t="shared" si="35"/>
        <v>0.63601212362807003</v>
      </c>
      <c r="BD32" s="360">
        <f t="shared" si="36"/>
        <v>4.4992905118938879E-2</v>
      </c>
      <c r="BE32" s="360">
        <f t="shared" si="37"/>
        <v>0.10949507116940091</v>
      </c>
    </row>
    <row r="33" spans="1:57" x14ac:dyDescent="0.25">
      <c r="A33" s="22" t="s">
        <v>62</v>
      </c>
      <c r="B33" s="5">
        <f>Deadtime*1000000000</f>
        <v>14</v>
      </c>
      <c r="C33" s="440" t="s">
        <v>75</v>
      </c>
      <c r="D33" s="21" t="s">
        <v>98</v>
      </c>
      <c r="G33">
        <v>24</v>
      </c>
      <c r="H33" s="548">
        <f t="shared" si="0"/>
        <v>45</v>
      </c>
      <c r="I33" s="4">
        <f t="shared" si="1"/>
        <v>2</v>
      </c>
      <c r="J33" s="360">
        <f t="shared" si="38"/>
        <v>14.4</v>
      </c>
      <c r="K33" s="360">
        <f t="shared" si="2"/>
        <v>7.2</v>
      </c>
      <c r="L33" s="4">
        <f t="shared" si="3"/>
        <v>4.2666666666666666</v>
      </c>
      <c r="M33" s="360">
        <f t="shared" si="4"/>
        <v>0.53400296428990335</v>
      </c>
      <c r="N33" s="4">
        <f t="shared" si="5"/>
        <v>5.0917784612020212</v>
      </c>
      <c r="O33" s="4">
        <f t="shared" si="39"/>
        <v>9.7458892306010103</v>
      </c>
      <c r="P33" s="4">
        <f t="shared" si="40"/>
        <v>4.65411076939899</v>
      </c>
      <c r="Q33" s="4">
        <f t="shared" si="6"/>
        <v>0</v>
      </c>
      <c r="R33" s="4">
        <f t="shared" si="41"/>
        <v>7.3485044277614797</v>
      </c>
      <c r="S33" s="360">
        <f t="shared" si="7"/>
        <v>0.10044096222418394</v>
      </c>
      <c r="T33" s="360">
        <f t="shared" si="8"/>
        <v>0.3</v>
      </c>
      <c r="U33" s="360">
        <f t="shared" si="9"/>
        <v>0.40368468044329486</v>
      </c>
      <c r="V33" s="4">
        <f t="shared" si="42"/>
        <v>1.4698698326144628</v>
      </c>
      <c r="W33" s="360">
        <f t="shared" si="10"/>
        <v>4.3210346496601387E-3</v>
      </c>
      <c r="X33" s="360">
        <f t="shared" si="43"/>
        <v>4.3210346496601387E-3</v>
      </c>
      <c r="Y33" s="4">
        <f t="shared" si="44"/>
        <v>3.6657460151691783</v>
      </c>
      <c r="Z33" s="360">
        <f t="shared" si="11"/>
        <v>2.0156540771593064E-2</v>
      </c>
      <c r="AA33" s="541">
        <f t="shared" si="45"/>
        <v>2.0156540771593064E-2</v>
      </c>
      <c r="AB33" s="360">
        <f t="shared" si="46"/>
        <v>5.3699568270748266</v>
      </c>
      <c r="AC33" s="360">
        <f t="shared" si="12"/>
        <v>3.7487367222041802E-2</v>
      </c>
      <c r="AD33" s="360">
        <f t="shared" si="13"/>
        <v>0.21138206896551726</v>
      </c>
      <c r="AE33" s="360">
        <f t="shared" si="14"/>
        <v>0.36630000000000001</v>
      </c>
      <c r="AF33" s="360">
        <f t="shared" si="15"/>
        <v>0</v>
      </c>
      <c r="AG33" s="360">
        <f t="shared" si="16"/>
        <v>0.61869480858973125</v>
      </c>
      <c r="AH33" s="360">
        <f t="shared" si="17"/>
        <v>5.0163812654325355</v>
      </c>
      <c r="AI33" s="360">
        <f t="shared" si="18"/>
        <v>3.2713305300237285E-2</v>
      </c>
      <c r="AJ33" s="360">
        <f t="shared" si="19"/>
        <v>0</v>
      </c>
      <c r="AK33" s="360">
        <f t="shared" si="20"/>
        <v>3.2876782550416199E-2</v>
      </c>
      <c r="AL33" s="360">
        <f t="shared" si="21"/>
        <v>3.1933439999999993E-2</v>
      </c>
      <c r="AM33" s="360">
        <f t="shared" si="22"/>
        <v>4.4549999999999999E-2</v>
      </c>
      <c r="AN33" s="360">
        <f t="shared" si="23"/>
        <v>0.11880113811462616</v>
      </c>
      <c r="AO33" s="360">
        <f t="shared" si="24"/>
        <v>1.5749999999999998E-3</v>
      </c>
      <c r="AP33" s="360">
        <f t="shared" si="25"/>
        <v>0.25740000000000002</v>
      </c>
      <c r="AQ33" s="360">
        <f t="shared" si="26"/>
        <v>0.24596000000000001</v>
      </c>
      <c r="AR33" s="360">
        <f t="shared" si="27"/>
        <v>0.2288</v>
      </c>
      <c r="AS33" s="360">
        <f t="shared" si="28"/>
        <v>0.25897500000000001</v>
      </c>
      <c r="AT33" s="360">
        <f t="shared" si="29"/>
        <v>1.5339934251193217</v>
      </c>
      <c r="AU33">
        <f t="shared" si="30"/>
        <v>172.8</v>
      </c>
      <c r="AV33" s="542">
        <f t="shared" si="47"/>
        <v>0.99120083584973229</v>
      </c>
      <c r="AW33" s="551">
        <f t="shared" si="31"/>
        <v>24.627716726409787</v>
      </c>
      <c r="AX33" s="551">
        <f t="shared" si="32"/>
        <v>1.8079747369158155</v>
      </c>
      <c r="AY33" s="9"/>
      <c r="AZ33" s="4">
        <f t="shared" si="48"/>
        <v>99.12008358497323</v>
      </c>
      <c r="BA33" s="360">
        <f t="shared" si="33"/>
        <v>0.40368468044329486</v>
      </c>
      <c r="BB33" s="360">
        <f t="shared" si="34"/>
        <v>0.69612159114014738</v>
      </c>
      <c r="BC33" s="360">
        <f t="shared" si="35"/>
        <v>0.64809780858973121</v>
      </c>
      <c r="BD33" s="360">
        <f t="shared" si="36"/>
        <v>4.7578282550416198E-2</v>
      </c>
      <c r="BE33" s="360">
        <f t="shared" si="37"/>
        <v>0.11880113811462616</v>
      </c>
    </row>
    <row r="34" spans="1:57" ht="13" x14ac:dyDescent="0.3">
      <c r="A34" s="24" t="s">
        <v>52</v>
      </c>
      <c r="B34" s="15" t="s">
        <v>111</v>
      </c>
      <c r="C34" s="24" t="s">
        <v>76</v>
      </c>
      <c r="D34" s="17" t="s">
        <v>107</v>
      </c>
      <c r="G34">
        <v>25</v>
      </c>
      <c r="H34" s="548">
        <f t="shared" si="0"/>
        <v>45</v>
      </c>
      <c r="I34" s="4">
        <f t="shared" si="1"/>
        <v>2</v>
      </c>
      <c r="J34" s="360">
        <f t="shared" si="38"/>
        <v>15</v>
      </c>
      <c r="K34" s="360">
        <f t="shared" si="2"/>
        <v>7.5</v>
      </c>
      <c r="L34" s="4">
        <f t="shared" si="3"/>
        <v>4.4444444444444446</v>
      </c>
      <c r="M34" s="360">
        <f t="shared" si="4"/>
        <v>0.53403085535303718</v>
      </c>
      <c r="N34" s="4">
        <f t="shared" si="5"/>
        <v>5.0918142868826877</v>
      </c>
      <c r="O34" s="4">
        <f t="shared" si="39"/>
        <v>10.045907143441344</v>
      </c>
      <c r="P34" s="4">
        <f t="shared" si="40"/>
        <v>4.9540928565586562</v>
      </c>
      <c r="Q34" s="4">
        <f t="shared" si="6"/>
        <v>0</v>
      </c>
      <c r="R34" s="4">
        <f t="shared" si="41"/>
        <v>7.6426793552834091</v>
      </c>
      <c r="S34" s="360">
        <f t="shared" si="7"/>
        <v>0.10864361877347593</v>
      </c>
      <c r="T34" s="360">
        <f t="shared" si="8"/>
        <v>0.3</v>
      </c>
      <c r="U34" s="360">
        <f t="shared" si="9"/>
        <v>0.41222648090465486</v>
      </c>
      <c r="V34" s="4">
        <f t="shared" si="42"/>
        <v>1.4698801745976511</v>
      </c>
      <c r="W34" s="360">
        <f t="shared" si="10"/>
        <v>4.3210954553504427E-3</v>
      </c>
      <c r="X34" s="360">
        <f t="shared" si="43"/>
        <v>4.3210954553504427E-3</v>
      </c>
      <c r="Y34" s="4">
        <f t="shared" si="44"/>
        <v>3.8124784233129563</v>
      </c>
      <c r="Z34" s="360">
        <f t="shared" si="11"/>
        <v>2.1802487592340269E-2</v>
      </c>
      <c r="AA34" s="541">
        <f t="shared" si="45"/>
        <v>2.1802487592340269E-2</v>
      </c>
      <c r="AB34" s="360">
        <f t="shared" si="46"/>
        <v>5.5850724941266252</v>
      </c>
      <c r="AC34" s="360">
        <f t="shared" si="12"/>
        <v>4.0550945194044744E-2</v>
      </c>
      <c r="AD34" s="360">
        <f t="shared" si="13"/>
        <v>0.22018965517241379</v>
      </c>
      <c r="AE34" s="360">
        <f t="shared" si="14"/>
        <v>0.36630000000000001</v>
      </c>
      <c r="AF34" s="360">
        <f t="shared" si="15"/>
        <v>0</v>
      </c>
      <c r="AG34" s="360">
        <f t="shared" si="16"/>
        <v>0.63092948800404114</v>
      </c>
      <c r="AH34" s="360">
        <f t="shared" si="17"/>
        <v>5.217040632679165</v>
      </c>
      <c r="AI34" s="360">
        <f t="shared" si="18"/>
        <v>3.5382766851933048E-2</v>
      </c>
      <c r="AJ34" s="360">
        <f t="shared" si="19"/>
        <v>0</v>
      </c>
      <c r="AK34" s="360">
        <f t="shared" si="20"/>
        <v>3.5574090735218014E-2</v>
      </c>
      <c r="AL34" s="360">
        <f t="shared" si="21"/>
        <v>3.3263999999999995E-2</v>
      </c>
      <c r="AM34" s="360">
        <f t="shared" si="22"/>
        <v>4.4549999999999999E-2</v>
      </c>
      <c r="AN34" s="360">
        <f t="shared" si="23"/>
        <v>0.12850320500088552</v>
      </c>
      <c r="AO34" s="360">
        <f t="shared" si="24"/>
        <v>1.5749999999999998E-3</v>
      </c>
      <c r="AP34" s="360">
        <f t="shared" si="25"/>
        <v>0.25740000000000002</v>
      </c>
      <c r="AQ34" s="360">
        <f t="shared" si="26"/>
        <v>0.24596000000000001</v>
      </c>
      <c r="AR34" s="360">
        <f t="shared" si="27"/>
        <v>0.2288</v>
      </c>
      <c r="AS34" s="360">
        <f t="shared" si="28"/>
        <v>0.25897500000000001</v>
      </c>
      <c r="AT34" s="360">
        <f t="shared" si="29"/>
        <v>1.5701458476924901</v>
      </c>
      <c r="AU34">
        <f t="shared" si="30"/>
        <v>180</v>
      </c>
      <c r="AV34" s="542">
        <f t="shared" si="47"/>
        <v>0.99135240080156362</v>
      </c>
      <c r="AW34" s="551">
        <f t="shared" si="31"/>
        <v>25.092634544153562</v>
      </c>
      <c r="AX34" s="551">
        <f t="shared" si="32"/>
        <v>1.9104724479382844</v>
      </c>
      <c r="AY34" s="9"/>
      <c r="AZ34" s="4">
        <f t="shared" si="48"/>
        <v>99.135240080156365</v>
      </c>
      <c r="BA34" s="360">
        <f t="shared" si="33"/>
        <v>0.41222648090465486</v>
      </c>
      <c r="BB34" s="360">
        <f t="shared" si="34"/>
        <v>0.71105357873925912</v>
      </c>
      <c r="BC34" s="360">
        <f t="shared" si="35"/>
        <v>0.6603324880040411</v>
      </c>
      <c r="BD34" s="360">
        <f t="shared" si="36"/>
        <v>5.0275590735218013E-2</v>
      </c>
      <c r="BE34" s="360">
        <f t="shared" si="37"/>
        <v>0.12850320500088552</v>
      </c>
    </row>
    <row r="35" spans="1:57" x14ac:dyDescent="0.25">
      <c r="A35" s="22" t="s">
        <v>128</v>
      </c>
      <c r="B35" s="5">
        <f>Iq*1000</f>
        <v>3.4999999999999996E-2</v>
      </c>
      <c r="C35" s="440" t="s">
        <v>64</v>
      </c>
      <c r="D35" s="21" t="s">
        <v>131</v>
      </c>
      <c r="G35">
        <v>26</v>
      </c>
      <c r="H35" s="548">
        <f t="shared" si="0"/>
        <v>45</v>
      </c>
      <c r="I35" s="4">
        <f t="shared" si="1"/>
        <v>2</v>
      </c>
      <c r="J35" s="360">
        <f t="shared" si="38"/>
        <v>15.6</v>
      </c>
      <c r="K35" s="360">
        <f t="shared" si="2"/>
        <v>7.8</v>
      </c>
      <c r="L35" s="4">
        <f t="shared" si="3"/>
        <v>4.6222222222222218</v>
      </c>
      <c r="M35" s="360">
        <f t="shared" si="4"/>
        <v>0.53405874559834521</v>
      </c>
      <c r="N35" s="4">
        <f t="shared" si="5"/>
        <v>5.0918500807289737</v>
      </c>
      <c r="O35" s="4">
        <f t="shared" si="39"/>
        <v>10.345925040364486</v>
      </c>
      <c r="P35" s="4">
        <f t="shared" si="40"/>
        <v>5.2540749596355134</v>
      </c>
      <c r="Q35" s="4">
        <f t="shared" si="6"/>
        <v>0</v>
      </c>
      <c r="R35" s="4">
        <f t="shared" si="41"/>
        <v>7.9372903502214349</v>
      </c>
      <c r="S35" s="360">
        <f t="shared" si="7"/>
        <v>0.11718107527291606</v>
      </c>
      <c r="T35" s="360">
        <f t="shared" si="8"/>
        <v>0.3</v>
      </c>
      <c r="U35" s="360">
        <f t="shared" si="9"/>
        <v>0.42112894265926476</v>
      </c>
      <c r="V35" s="4">
        <f t="shared" si="42"/>
        <v>1.4698905073910453</v>
      </c>
      <c r="W35" s="360">
        <f t="shared" si="10"/>
        <v>4.3211562074366092E-3</v>
      </c>
      <c r="X35" s="360">
        <f t="shared" si="43"/>
        <v>4.3211562074366092E-3</v>
      </c>
      <c r="Y35" s="4">
        <f t="shared" si="44"/>
        <v>3.9594272277402909</v>
      </c>
      <c r="Z35" s="360">
        <f t="shared" si="11"/>
        <v>2.3515595957656749E-2</v>
      </c>
      <c r="AA35" s="541">
        <f t="shared" si="45"/>
        <v>2.3515595957656749E-2</v>
      </c>
      <c r="AB35" s="360">
        <f t="shared" si="46"/>
        <v>5.8005180556604063</v>
      </c>
      <c r="AC35" s="360">
        <f t="shared" si="12"/>
        <v>4.373981262825509E-2</v>
      </c>
      <c r="AD35" s="360">
        <f t="shared" si="13"/>
        <v>0.22899724137931035</v>
      </c>
      <c r="AE35" s="360">
        <f t="shared" si="14"/>
        <v>0.36630000000000001</v>
      </c>
      <c r="AF35" s="360">
        <f t="shared" si="15"/>
        <v>0</v>
      </c>
      <c r="AG35" s="360">
        <f t="shared" si="16"/>
        <v>0.64331409659055538</v>
      </c>
      <c r="AH35" s="360">
        <f t="shared" si="17"/>
        <v>5.4179856394859467</v>
      </c>
      <c r="AI35" s="360">
        <f t="shared" si="18"/>
        <v>3.8160938906578727E-2</v>
      </c>
      <c r="AJ35" s="360">
        <f t="shared" si="19"/>
        <v>0</v>
      </c>
      <c r="AK35" s="360">
        <f t="shared" si="20"/>
        <v>3.838358143954089E-2</v>
      </c>
      <c r="AL35" s="360">
        <f t="shared" si="21"/>
        <v>3.4594559999999996E-2</v>
      </c>
      <c r="AM35" s="360">
        <f t="shared" si="22"/>
        <v>4.4549999999999999E-2</v>
      </c>
      <c r="AN35" s="360">
        <f t="shared" si="23"/>
        <v>0.1386012718281803</v>
      </c>
      <c r="AO35" s="360">
        <f t="shared" si="24"/>
        <v>1.5749999999999998E-3</v>
      </c>
      <c r="AP35" s="360">
        <f t="shared" si="25"/>
        <v>0.25740000000000002</v>
      </c>
      <c r="AQ35" s="360">
        <f t="shared" si="26"/>
        <v>0.24596000000000001</v>
      </c>
      <c r="AR35" s="360">
        <f t="shared" si="27"/>
        <v>0.2288</v>
      </c>
      <c r="AS35" s="360">
        <f t="shared" si="28"/>
        <v>0.25897500000000001</v>
      </c>
      <c r="AT35" s="360">
        <f t="shared" si="29"/>
        <v>1.6073842046826348</v>
      </c>
      <c r="AU35">
        <f t="shared" si="30"/>
        <v>187.2</v>
      </c>
      <c r="AV35" s="542">
        <f t="shared" si="47"/>
        <v>0.99148664544316711</v>
      </c>
      <c r="AW35" s="551">
        <f t="shared" si="31"/>
        <v>25.563249670441103</v>
      </c>
      <c r="AX35" s="551">
        <f t="shared" si="32"/>
        <v>2.0172330947025539</v>
      </c>
      <c r="AY35" s="9"/>
      <c r="AZ35" s="4">
        <f t="shared" si="48"/>
        <v>99.148664544316716</v>
      </c>
      <c r="BA35" s="360">
        <f t="shared" si="33"/>
        <v>0.42112894265926476</v>
      </c>
      <c r="BB35" s="360">
        <f t="shared" si="34"/>
        <v>0.72624767803009627</v>
      </c>
      <c r="BC35" s="360">
        <f t="shared" si="35"/>
        <v>0.67271709659055534</v>
      </c>
      <c r="BD35" s="360">
        <f t="shared" si="36"/>
        <v>5.3085081439540889E-2</v>
      </c>
      <c r="BE35" s="360">
        <f t="shared" si="37"/>
        <v>0.1386012718281803</v>
      </c>
    </row>
    <row r="36" spans="1:57" ht="13" x14ac:dyDescent="0.3">
      <c r="A36" s="24" t="s">
        <v>525</v>
      </c>
      <c r="B36" s="15" t="s">
        <v>111</v>
      </c>
      <c r="C36" s="24" t="s">
        <v>76</v>
      </c>
      <c r="D36" s="17" t="s">
        <v>107</v>
      </c>
      <c r="G36">
        <v>27</v>
      </c>
      <c r="H36" s="548">
        <f t="shared" si="0"/>
        <v>45</v>
      </c>
      <c r="I36" s="4">
        <f t="shared" si="1"/>
        <v>2</v>
      </c>
      <c r="J36" s="360">
        <f t="shared" si="38"/>
        <v>16.2</v>
      </c>
      <c r="K36" s="360">
        <f t="shared" si="2"/>
        <v>8.1</v>
      </c>
      <c r="L36" s="4">
        <f t="shared" si="3"/>
        <v>4.8</v>
      </c>
      <c r="M36" s="360">
        <f t="shared" si="4"/>
        <v>0.53408663502586307</v>
      </c>
      <c r="N36" s="4">
        <f t="shared" si="5"/>
        <v>5.0918858427422728</v>
      </c>
      <c r="O36" s="4">
        <f t="shared" si="39"/>
        <v>10.645942921371136</v>
      </c>
      <c r="P36" s="4">
        <f t="shared" si="40"/>
        <v>5.5540570786288637</v>
      </c>
      <c r="Q36" s="4">
        <f t="shared" si="6"/>
        <v>0</v>
      </c>
      <c r="R36" s="4">
        <f t="shared" si="41"/>
        <v>8.2322905957552255</v>
      </c>
      <c r="S36" s="360">
        <f t="shared" si="7"/>
        <v>0.12605333172250546</v>
      </c>
      <c r="T36" s="360">
        <f t="shared" si="8"/>
        <v>0.3</v>
      </c>
      <c r="U36" s="360">
        <f t="shared" si="9"/>
        <v>0.43039353484401865</v>
      </c>
      <c r="V36" s="4">
        <f t="shared" si="42"/>
        <v>1.4699008309950479</v>
      </c>
      <c r="W36" s="360">
        <f t="shared" si="10"/>
        <v>4.3212169059198644E-3</v>
      </c>
      <c r="X36" s="360">
        <f t="shared" si="43"/>
        <v>4.3212169059198644E-3</v>
      </c>
      <c r="Y36" s="4">
        <f t="shared" si="44"/>
        <v>4.1065690706762874</v>
      </c>
      <c r="Z36" s="360">
        <f t="shared" si="11"/>
        <v>2.529586429835266E-2</v>
      </c>
      <c r="AA36" s="541">
        <f t="shared" si="45"/>
        <v>2.529586429835266E-2</v>
      </c>
      <c r="AB36" s="360">
        <f t="shared" si="46"/>
        <v>6.0162593213970323</v>
      </c>
      <c r="AC36" s="360">
        <f t="shared" si="12"/>
        <v>4.7053989088985684E-2</v>
      </c>
      <c r="AD36" s="360">
        <f t="shared" si="13"/>
        <v>0.23780482758620691</v>
      </c>
      <c r="AE36" s="360">
        <f t="shared" si="14"/>
        <v>0.36630000000000001</v>
      </c>
      <c r="AF36" s="360">
        <f t="shared" si="15"/>
        <v>0</v>
      </c>
      <c r="AG36" s="360">
        <f t="shared" si="16"/>
        <v>0.65584958825942874</v>
      </c>
      <c r="AH36" s="360">
        <f t="shared" si="17"/>
        <v>5.6191843029627755</v>
      </c>
      <c r="AI36" s="360">
        <f t="shared" si="18"/>
        <v>4.1047801899862228E-2</v>
      </c>
      <c r="AJ36" s="360">
        <f t="shared" si="19"/>
        <v>0</v>
      </c>
      <c r="AK36" s="360">
        <f t="shared" si="20"/>
        <v>4.1305518009396608E-2</v>
      </c>
      <c r="AL36" s="360">
        <f t="shared" si="21"/>
        <v>3.5925119999999991E-2</v>
      </c>
      <c r="AM36" s="360">
        <f t="shared" si="22"/>
        <v>4.4549999999999999E-2</v>
      </c>
      <c r="AN36" s="360">
        <f t="shared" si="23"/>
        <v>0.14909533859651183</v>
      </c>
      <c r="AO36" s="360">
        <f t="shared" si="24"/>
        <v>1.5749999999999998E-3</v>
      </c>
      <c r="AP36" s="360">
        <f t="shared" si="25"/>
        <v>0.25740000000000002</v>
      </c>
      <c r="AQ36" s="360">
        <f t="shared" si="26"/>
        <v>0.24596000000000001</v>
      </c>
      <c r="AR36" s="360">
        <f t="shared" si="27"/>
        <v>0.2288</v>
      </c>
      <c r="AS36" s="360">
        <f t="shared" si="28"/>
        <v>0.25897500000000001</v>
      </c>
      <c r="AT36" s="360">
        <f t="shared" si="29"/>
        <v>1.6457111809136284</v>
      </c>
      <c r="AU36">
        <f t="shared" si="30"/>
        <v>194.39999999999998</v>
      </c>
      <c r="AV36" s="542">
        <f t="shared" si="47"/>
        <v>0.99160547215748607</v>
      </c>
      <c r="AW36" s="551">
        <f t="shared" si="31"/>
        <v>26.039598353858292</v>
      </c>
      <c r="AX36" s="551">
        <f t="shared" si="32"/>
        <v>2.128266684357071</v>
      </c>
      <c r="AY36" s="9"/>
      <c r="AZ36" s="4">
        <f t="shared" si="48"/>
        <v>99.160547215748608</v>
      </c>
      <c r="BA36" s="360">
        <f t="shared" si="33"/>
        <v>0.43039353484401865</v>
      </c>
      <c r="BB36" s="360">
        <f t="shared" si="34"/>
        <v>0.74170510626882535</v>
      </c>
      <c r="BC36" s="360">
        <f t="shared" si="35"/>
        <v>0.6852525882594287</v>
      </c>
      <c r="BD36" s="360">
        <f t="shared" si="36"/>
        <v>5.6007018009396607E-2</v>
      </c>
      <c r="BE36" s="360">
        <f t="shared" si="37"/>
        <v>0.14909533859651183</v>
      </c>
    </row>
    <row r="37" spans="1:57" x14ac:dyDescent="0.25">
      <c r="A37" s="23" t="s">
        <v>71</v>
      </c>
      <c r="B37" s="5">
        <f>Rdson1*1000</f>
        <v>1.3</v>
      </c>
      <c r="C37" s="442" t="s">
        <v>466</v>
      </c>
      <c r="D37" s="440" t="s">
        <v>528</v>
      </c>
      <c r="G37">
        <v>28</v>
      </c>
      <c r="H37" s="548">
        <f t="shared" si="0"/>
        <v>45</v>
      </c>
      <c r="I37" s="4">
        <f t="shared" si="1"/>
        <v>2</v>
      </c>
      <c r="J37" s="360">
        <f t="shared" si="38"/>
        <v>16.8</v>
      </c>
      <c r="K37" s="360">
        <f t="shared" si="2"/>
        <v>8.4</v>
      </c>
      <c r="L37" s="4">
        <f t="shared" si="3"/>
        <v>4.9777777777777787</v>
      </c>
      <c r="M37" s="360">
        <f t="shared" si="4"/>
        <v>0.53411452363562706</v>
      </c>
      <c r="N37" s="4">
        <f t="shared" si="5"/>
        <v>5.0919215729239919</v>
      </c>
      <c r="O37" s="4">
        <f t="shared" si="39"/>
        <v>10.945960786461995</v>
      </c>
      <c r="P37" s="4">
        <f t="shared" si="40"/>
        <v>5.8540392135380044</v>
      </c>
      <c r="Q37" s="4">
        <f t="shared" si="6"/>
        <v>0</v>
      </c>
      <c r="R37" s="4">
        <f t="shared" si="41"/>
        <v>8.5276396954491887</v>
      </c>
      <c r="S37" s="360">
        <f t="shared" si="7"/>
        <v>0.13526038812224536</v>
      </c>
      <c r="T37" s="360">
        <f t="shared" si="8"/>
        <v>0.3</v>
      </c>
      <c r="U37" s="360">
        <f t="shared" si="9"/>
        <v>0.4400217895653537</v>
      </c>
      <c r="V37" s="4">
        <f t="shared" si="42"/>
        <v>1.4699111454100648</v>
      </c>
      <c r="W37" s="360">
        <f t="shared" si="10"/>
        <v>4.3212775508014584E-3</v>
      </c>
      <c r="X37" s="360">
        <f t="shared" si="43"/>
        <v>4.3212775508014584E-3</v>
      </c>
      <c r="Y37" s="4">
        <f t="shared" si="44"/>
        <v>4.2538837974108619</v>
      </c>
      <c r="Z37" s="360">
        <f t="shared" si="11"/>
        <v>2.7143291042811983E-2</v>
      </c>
      <c r="AA37" s="541">
        <f t="shared" si="45"/>
        <v>2.7143291042811983E-2</v>
      </c>
      <c r="AB37" s="360">
        <f t="shared" si="46"/>
        <v>6.232266789700331</v>
      </c>
      <c r="AC37" s="360">
        <f t="shared" si="12"/>
        <v>5.049349413940217E-2</v>
      </c>
      <c r="AD37" s="360">
        <f t="shared" si="13"/>
        <v>0.24661241379310345</v>
      </c>
      <c r="AE37" s="360">
        <f t="shared" si="14"/>
        <v>0.36630000000000001</v>
      </c>
      <c r="AF37" s="360">
        <f t="shared" si="15"/>
        <v>0</v>
      </c>
      <c r="AG37" s="360">
        <f t="shared" si="16"/>
        <v>0.66853693634586342</v>
      </c>
      <c r="AH37" s="360">
        <f t="shared" si="17"/>
        <v>5.8206090263304118</v>
      </c>
      <c r="AI37" s="360">
        <f t="shared" si="18"/>
        <v>4.4043336268618782E-2</v>
      </c>
      <c r="AJ37" s="360">
        <f t="shared" si="19"/>
        <v>0</v>
      </c>
      <c r="AK37" s="360">
        <f t="shared" si="20"/>
        <v>4.434017543567105E-2</v>
      </c>
      <c r="AL37" s="360">
        <f t="shared" si="21"/>
        <v>3.7255679999999999E-2</v>
      </c>
      <c r="AM37" s="360">
        <f t="shared" si="22"/>
        <v>4.4549999999999999E-2</v>
      </c>
      <c r="AN37" s="360">
        <f t="shared" si="23"/>
        <v>0.15998540530588162</v>
      </c>
      <c r="AO37" s="360">
        <f t="shared" si="24"/>
        <v>1.5749999999999998E-3</v>
      </c>
      <c r="AP37" s="360">
        <f t="shared" si="25"/>
        <v>0.25740000000000002</v>
      </c>
      <c r="AQ37" s="360">
        <f t="shared" si="26"/>
        <v>0.24596000000000001</v>
      </c>
      <c r="AR37" s="360">
        <f t="shared" si="27"/>
        <v>0.2288</v>
      </c>
      <c r="AS37" s="360">
        <f t="shared" si="28"/>
        <v>0.25897500000000001</v>
      </c>
      <c r="AT37" s="360">
        <f t="shared" si="29"/>
        <v>1.6851295552463832</v>
      </c>
      <c r="AU37">
        <f t="shared" si="30"/>
        <v>201.60000000000002</v>
      </c>
      <c r="AV37" s="542">
        <f t="shared" si="47"/>
        <v>0.99171051242688946</v>
      </c>
      <c r="AW37" s="551">
        <f t="shared" si="31"/>
        <v>26.521717581142809</v>
      </c>
      <c r="AX37" s="551">
        <f t="shared" si="32"/>
        <v>2.2435836665554998</v>
      </c>
      <c r="AY37" s="9"/>
      <c r="AZ37" s="4">
        <f t="shared" si="48"/>
        <v>99.171051242688947</v>
      </c>
      <c r="BA37" s="360">
        <f t="shared" si="33"/>
        <v>0.4400217895653537</v>
      </c>
      <c r="BB37" s="360">
        <f t="shared" si="34"/>
        <v>0.75742711178153443</v>
      </c>
      <c r="BC37" s="360">
        <f t="shared" si="35"/>
        <v>0.69793993634586338</v>
      </c>
      <c r="BD37" s="360">
        <f t="shared" si="36"/>
        <v>5.904167543567105E-2</v>
      </c>
      <c r="BE37" s="360">
        <f t="shared" si="37"/>
        <v>0.15998540530588162</v>
      </c>
    </row>
    <row r="38" spans="1:57" x14ac:dyDescent="0.25">
      <c r="A38" s="22" t="s">
        <v>79</v>
      </c>
      <c r="B38" s="5">
        <f>RdsonTopTc*1000000</f>
        <v>4000</v>
      </c>
      <c r="C38" s="440" t="s">
        <v>81</v>
      </c>
      <c r="D38" s="21" t="s">
        <v>109</v>
      </c>
      <c r="G38">
        <v>29</v>
      </c>
      <c r="H38" s="548">
        <f t="shared" si="0"/>
        <v>45</v>
      </c>
      <c r="I38" s="4">
        <f t="shared" si="1"/>
        <v>2</v>
      </c>
      <c r="J38" s="360">
        <f t="shared" si="38"/>
        <v>17.399999999999999</v>
      </c>
      <c r="K38" s="360">
        <f t="shared" si="2"/>
        <v>8.6999999999999993</v>
      </c>
      <c r="L38" s="4">
        <f t="shared" si="3"/>
        <v>5.155555555555555</v>
      </c>
      <c r="M38" s="360">
        <f t="shared" si="4"/>
        <v>0.53414241142767271</v>
      </c>
      <c r="N38" s="4">
        <f t="shared" si="5"/>
        <v>5.0919572712755254</v>
      </c>
      <c r="O38" s="4">
        <f t="shared" si="39"/>
        <v>11.245978635637762</v>
      </c>
      <c r="P38" s="4">
        <f t="shared" si="40"/>
        <v>6.1540213643622366</v>
      </c>
      <c r="Q38" s="4">
        <f t="shared" si="6"/>
        <v>0</v>
      </c>
      <c r="R38" s="4">
        <f t="shared" si="41"/>
        <v>8.8233026169933275</v>
      </c>
      <c r="S38" s="360">
        <f t="shared" si="7"/>
        <v>0.14480224447213683</v>
      </c>
      <c r="T38" s="360">
        <f t="shared" si="8"/>
        <v>0.3</v>
      </c>
      <c r="U38" s="360">
        <f t="shared" si="9"/>
        <v>0.45001530254051064</v>
      </c>
      <c r="V38" s="4">
        <f t="shared" si="42"/>
        <v>1.4699214506364986</v>
      </c>
      <c r="W38" s="360">
        <f t="shared" si="10"/>
        <v>4.3213381420826166E-3</v>
      </c>
      <c r="X38" s="360">
        <f t="shared" si="43"/>
        <v>4.3213381420826166E-3</v>
      </c>
      <c r="Y38" s="4">
        <f t="shared" si="44"/>
        <v>4.4013539293413517</v>
      </c>
      <c r="Z38" s="360">
        <f t="shared" si="11"/>
        <v>2.9057874616992833E-2</v>
      </c>
      <c r="AA38" s="541">
        <f t="shared" si="45"/>
        <v>2.9057874616992833E-2</v>
      </c>
      <c r="AB38" s="360">
        <f t="shared" si="46"/>
        <v>6.4485148762225659</v>
      </c>
      <c r="AC38" s="360">
        <f t="shared" si="12"/>
        <v>5.4058347341522851E-2</v>
      </c>
      <c r="AD38" s="360">
        <f t="shared" si="13"/>
        <v>0.25541999999999998</v>
      </c>
      <c r="AE38" s="360">
        <f t="shared" si="14"/>
        <v>0.36630000000000001</v>
      </c>
      <c r="AF38" s="360">
        <f t="shared" si="15"/>
        <v>0</v>
      </c>
      <c r="AG38" s="360">
        <f t="shared" si="16"/>
        <v>0.68137713385091003</v>
      </c>
      <c r="AH38" s="360">
        <f t="shared" si="17"/>
        <v>6.0222358773280842</v>
      </c>
      <c r="AI38" s="360">
        <f t="shared" si="18"/>
        <v>4.7147522450830828E-2</v>
      </c>
      <c r="AJ38" s="360">
        <f t="shared" si="19"/>
        <v>0</v>
      </c>
      <c r="AK38" s="360">
        <f t="shared" si="20"/>
        <v>4.7487840422243105E-2</v>
      </c>
      <c r="AL38" s="360">
        <f t="shared" si="21"/>
        <v>3.8586239999999994E-2</v>
      </c>
      <c r="AM38" s="360">
        <f t="shared" si="22"/>
        <v>4.4549999999999999E-2</v>
      </c>
      <c r="AN38" s="360">
        <f t="shared" si="23"/>
        <v>0.17127147195629086</v>
      </c>
      <c r="AO38" s="360">
        <f t="shared" si="24"/>
        <v>1.5749999999999998E-3</v>
      </c>
      <c r="AP38" s="360">
        <f t="shared" si="25"/>
        <v>0.25740000000000002</v>
      </c>
      <c r="AQ38" s="360">
        <f t="shared" si="26"/>
        <v>0.24596000000000001</v>
      </c>
      <c r="AR38" s="360">
        <f t="shared" si="27"/>
        <v>0.2288</v>
      </c>
      <c r="AS38" s="360">
        <f t="shared" si="28"/>
        <v>0.25897500000000001</v>
      </c>
      <c r="AT38" s="360">
        <f t="shared" si="29"/>
        <v>1.72564220152903</v>
      </c>
      <c r="AU38">
        <f t="shared" si="30"/>
        <v>208.79999999999998</v>
      </c>
      <c r="AV38" s="542">
        <f t="shared" si="47"/>
        <v>0.99180317331663981</v>
      </c>
      <c r="AW38" s="551">
        <f t="shared" si="31"/>
        <v>27.009645086334579</v>
      </c>
      <c r="AX38" s="551">
        <f t="shared" si="32"/>
        <v>2.3631949360452378</v>
      </c>
      <c r="AY38" s="9"/>
      <c r="AZ38" s="4">
        <f t="shared" si="48"/>
        <v>99.180317331663986</v>
      </c>
      <c r="BA38" s="360">
        <f t="shared" si="33"/>
        <v>0.45001530254051064</v>
      </c>
      <c r="BB38" s="360">
        <f t="shared" si="34"/>
        <v>0.77341497427315309</v>
      </c>
      <c r="BC38" s="360">
        <f t="shared" si="35"/>
        <v>0.71078013385090999</v>
      </c>
      <c r="BD38" s="360">
        <f t="shared" si="36"/>
        <v>6.2189340422243104E-2</v>
      </c>
      <c r="BE38" s="360">
        <f t="shared" si="37"/>
        <v>0.17127147195629086</v>
      </c>
    </row>
    <row r="39" spans="1:57" x14ac:dyDescent="0.25">
      <c r="A39" s="23" t="s">
        <v>70</v>
      </c>
      <c r="B39" s="5">
        <f>Qg_Q1*1000000000</f>
        <v>13</v>
      </c>
      <c r="C39" s="440" t="s">
        <v>65</v>
      </c>
      <c r="D39" s="21" t="s">
        <v>99</v>
      </c>
      <c r="G39">
        <v>30</v>
      </c>
      <c r="H39" s="548">
        <f t="shared" si="0"/>
        <v>45</v>
      </c>
      <c r="I39" s="4">
        <f t="shared" si="1"/>
        <v>2</v>
      </c>
      <c r="J39" s="360">
        <f t="shared" si="38"/>
        <v>18</v>
      </c>
      <c r="K39" s="360">
        <f t="shared" si="2"/>
        <v>9</v>
      </c>
      <c r="L39" s="4">
        <f t="shared" si="3"/>
        <v>5.333333333333333</v>
      </c>
      <c r="M39" s="360">
        <f t="shared" si="4"/>
        <v>0.53417029840203645</v>
      </c>
      <c r="N39" s="4">
        <f t="shared" si="5"/>
        <v>5.0919929377982767</v>
      </c>
      <c r="O39" s="4">
        <f t="shared" si="39"/>
        <v>11.545996468899139</v>
      </c>
      <c r="P39" s="4">
        <f t="shared" si="40"/>
        <v>6.4540035311008612</v>
      </c>
      <c r="Q39" s="4">
        <f t="shared" si="6"/>
        <v>0</v>
      </c>
      <c r="R39" s="4">
        <f t="shared" si="41"/>
        <v>9.1192488363835267</v>
      </c>
      <c r="S39" s="360">
        <f t="shared" si="7"/>
        <v>0.15467890077218108</v>
      </c>
      <c r="T39" s="360">
        <f t="shared" si="8"/>
        <v>0.3</v>
      </c>
      <c r="U39" s="360">
        <f t="shared" si="9"/>
        <v>0.46037573376748842</v>
      </c>
      <c r="V39" s="4">
        <f t="shared" si="42"/>
        <v>1.4699317466747543</v>
      </c>
      <c r="W39" s="360">
        <f t="shared" si="10"/>
        <v>4.3213986797645881E-3</v>
      </c>
      <c r="X39" s="360">
        <f t="shared" si="43"/>
        <v>4.3213986797645881E-3</v>
      </c>
      <c r="Y39" s="4">
        <f t="shared" si="44"/>
        <v>4.548964237012485</v>
      </c>
      <c r="Z39" s="360">
        <f t="shared" si="11"/>
        <v>3.103961344442787E-2</v>
      </c>
      <c r="AA39" s="541">
        <f t="shared" si="45"/>
        <v>3.103961344442787E-2</v>
      </c>
      <c r="AB39" s="360">
        <f t="shared" si="46"/>
        <v>6.6649812889239959</v>
      </c>
      <c r="AC39" s="360">
        <f t="shared" si="12"/>
        <v>5.7748568256219053E-2</v>
      </c>
      <c r="AD39" s="360">
        <f t="shared" si="13"/>
        <v>0.26422758620689657</v>
      </c>
      <c r="AE39" s="360">
        <f t="shared" si="14"/>
        <v>0.36630000000000001</v>
      </c>
      <c r="AF39" s="360">
        <f t="shared" si="15"/>
        <v>0</v>
      </c>
      <c r="AG39" s="360">
        <f t="shared" si="16"/>
        <v>0.69437119368874656</v>
      </c>
      <c r="AH39" s="360">
        <f t="shared" si="17"/>
        <v>6.2240440035539066</v>
      </c>
      <c r="AI39" s="360">
        <f t="shared" si="18"/>
        <v>5.0360340885627942E-2</v>
      </c>
      <c r="AJ39" s="360">
        <f t="shared" si="19"/>
        <v>0</v>
      </c>
      <c r="AK39" s="360">
        <f t="shared" si="20"/>
        <v>5.0748811457195717E-2</v>
      </c>
      <c r="AL39" s="360">
        <f t="shared" si="21"/>
        <v>3.9916799999999995E-2</v>
      </c>
      <c r="AM39" s="360">
        <f t="shared" si="22"/>
        <v>4.4549999999999999E-2</v>
      </c>
      <c r="AN39" s="360">
        <f t="shared" si="23"/>
        <v>0.18295353854774107</v>
      </c>
      <c r="AO39" s="360">
        <f t="shared" si="24"/>
        <v>1.5749999999999998E-3</v>
      </c>
      <c r="AP39" s="360">
        <f t="shared" si="25"/>
        <v>0.25740000000000002</v>
      </c>
      <c r="AQ39" s="360">
        <f t="shared" si="26"/>
        <v>0.24596000000000001</v>
      </c>
      <c r="AR39" s="360">
        <f t="shared" si="27"/>
        <v>0.2288</v>
      </c>
      <c r="AS39" s="360">
        <f t="shared" si="28"/>
        <v>0.25897500000000001</v>
      </c>
      <c r="AT39" s="360">
        <f t="shared" si="29"/>
        <v>1.7672520895853643</v>
      </c>
      <c r="AU39">
        <f t="shared" si="30"/>
        <v>216</v>
      </c>
      <c r="AV39" s="542">
        <f t="shared" si="47"/>
        <v>0.99188467470371378</v>
      </c>
      <c r="AW39" s="551">
        <f t="shared" si="31"/>
        <v>27.503419360172366</v>
      </c>
      <c r="AX39" s="551">
        <f t="shared" si="32"/>
        <v>2.4871118353734376</v>
      </c>
      <c r="AY39" s="9"/>
      <c r="AZ39" s="4">
        <f t="shared" si="48"/>
        <v>99.188467470371378</v>
      </c>
      <c r="BA39" s="360">
        <f t="shared" si="33"/>
        <v>0.46037573376748842</v>
      </c>
      <c r="BB39" s="360">
        <f t="shared" si="34"/>
        <v>0.78967000514594221</v>
      </c>
      <c r="BC39" s="360">
        <f t="shared" si="35"/>
        <v>0.72377419368874651</v>
      </c>
      <c r="BD39" s="360">
        <f t="shared" si="36"/>
        <v>6.5450311457195723E-2</v>
      </c>
      <c r="BE39" s="360">
        <f t="shared" si="37"/>
        <v>0.18295353854774107</v>
      </c>
    </row>
    <row r="40" spans="1:57" x14ac:dyDescent="0.25">
      <c r="A40" s="23" t="s">
        <v>120</v>
      </c>
      <c r="B40" s="5">
        <f>Qgd_Q1*1000000000</f>
        <v>3.6</v>
      </c>
      <c r="C40" s="440" t="s">
        <v>65</v>
      </c>
      <c r="D40" s="21" t="s">
        <v>121</v>
      </c>
      <c r="G40">
        <v>31</v>
      </c>
      <c r="H40" s="548">
        <f t="shared" si="0"/>
        <v>45</v>
      </c>
      <c r="I40" s="4">
        <f t="shared" si="1"/>
        <v>2</v>
      </c>
      <c r="J40" s="360">
        <f t="shared" si="38"/>
        <v>18.600000000000001</v>
      </c>
      <c r="K40" s="360">
        <f t="shared" si="2"/>
        <v>9.3000000000000007</v>
      </c>
      <c r="L40" s="4">
        <f t="shared" si="3"/>
        <v>5.511111111111112</v>
      </c>
      <c r="M40" s="360">
        <f t="shared" si="4"/>
        <v>0.53419818455875401</v>
      </c>
      <c r="N40" s="4">
        <f t="shared" si="5"/>
        <v>5.0920285724936463</v>
      </c>
      <c r="O40" s="4">
        <f t="shared" si="39"/>
        <v>11.846014286246824</v>
      </c>
      <c r="P40" s="4">
        <f t="shared" si="40"/>
        <v>6.7539857137531776</v>
      </c>
      <c r="Q40" s="4">
        <f t="shared" si="6"/>
        <v>0</v>
      </c>
      <c r="R40" s="4">
        <f t="shared" si="41"/>
        <v>9.4154516398271788</v>
      </c>
      <c r="S40" s="360">
        <f t="shared" si="7"/>
        <v>0.16489035702237922</v>
      </c>
      <c r="T40" s="360">
        <f t="shared" si="8"/>
        <v>0.3</v>
      </c>
      <c r="U40" s="360">
        <f t="shared" si="9"/>
        <v>0.47110480822422335</v>
      </c>
      <c r="V40" s="4">
        <f t="shared" si="42"/>
        <v>1.4699420335252362</v>
      </c>
      <c r="W40" s="360">
        <f t="shared" si="10"/>
        <v>4.3214591638486141E-3</v>
      </c>
      <c r="X40" s="360">
        <f t="shared" si="43"/>
        <v>4.3214591638486141E-3</v>
      </c>
      <c r="Y40" s="4">
        <f t="shared" si="44"/>
        <v>4.6967013918440417</v>
      </c>
      <c r="Z40" s="360">
        <f t="shared" si="11"/>
        <v>3.3088505946224638E-2</v>
      </c>
      <c r="AA40" s="541">
        <f t="shared" si="45"/>
        <v>3.3088505946224638E-2</v>
      </c>
      <c r="AB40" s="360">
        <f t="shared" si="46"/>
        <v>6.8816465182740245</v>
      </c>
      <c r="AC40" s="360">
        <f t="shared" si="12"/>
        <v>6.1564176443214907E-2</v>
      </c>
      <c r="AD40" s="360">
        <f t="shared" si="13"/>
        <v>0.27303517241379316</v>
      </c>
      <c r="AE40" s="360">
        <f t="shared" si="14"/>
        <v>0.36630000000000001</v>
      </c>
      <c r="AF40" s="360">
        <f t="shared" si="15"/>
        <v>0</v>
      </c>
      <c r="AG40" s="360">
        <f t="shared" si="16"/>
        <v>0.70752014894055704</v>
      </c>
      <c r="AH40" s="360">
        <f t="shared" si="17"/>
        <v>6.4260151555572387</v>
      </c>
      <c r="AI40" s="360">
        <f t="shared" si="18"/>
        <v>5.3681772013286722E-2</v>
      </c>
      <c r="AJ40" s="360">
        <f t="shared" si="19"/>
        <v>0</v>
      </c>
      <c r="AK40" s="360">
        <f t="shared" si="20"/>
        <v>5.4123398887152653E-2</v>
      </c>
      <c r="AL40" s="360">
        <f t="shared" si="21"/>
        <v>4.1247359999999997E-2</v>
      </c>
      <c r="AM40" s="360">
        <f t="shared" si="22"/>
        <v>4.4549999999999999E-2</v>
      </c>
      <c r="AN40" s="360">
        <f t="shared" si="23"/>
        <v>0.19503160508023348</v>
      </c>
      <c r="AO40" s="360">
        <f t="shared" si="24"/>
        <v>1.5749999999999998E-3</v>
      </c>
      <c r="AP40" s="360">
        <f t="shared" si="25"/>
        <v>0.25740000000000002</v>
      </c>
      <c r="AQ40" s="360">
        <f t="shared" si="26"/>
        <v>0.24596000000000001</v>
      </c>
      <c r="AR40" s="360">
        <f t="shared" si="27"/>
        <v>0.2288</v>
      </c>
      <c r="AS40" s="360">
        <f t="shared" si="28"/>
        <v>0.25897500000000001</v>
      </c>
      <c r="AT40" s="360">
        <f t="shared" si="29"/>
        <v>1.8099622862422398</v>
      </c>
      <c r="AU40">
        <f t="shared" si="30"/>
        <v>223.20000000000002</v>
      </c>
      <c r="AV40" s="542">
        <f t="shared" si="47"/>
        <v>0.9919560793315465</v>
      </c>
      <c r="AW40" s="551">
        <f t="shared" si="31"/>
        <v>28.003079659741164</v>
      </c>
      <c r="AX40" s="551">
        <f t="shared" si="32"/>
        <v>2.6153461577118007</v>
      </c>
      <c r="AY40" s="9"/>
      <c r="AZ40" s="4">
        <f t="shared" si="48"/>
        <v>99.195607933154648</v>
      </c>
      <c r="BA40" s="360">
        <f t="shared" si="33"/>
        <v>0.47110480822422335</v>
      </c>
      <c r="BB40" s="360">
        <f t="shared" si="34"/>
        <v>0.80619354782770969</v>
      </c>
      <c r="BC40" s="360">
        <f t="shared" si="35"/>
        <v>0.73692314894055699</v>
      </c>
      <c r="BD40" s="360">
        <f t="shared" si="36"/>
        <v>6.8824898887152652E-2</v>
      </c>
      <c r="BE40" s="360">
        <f t="shared" si="37"/>
        <v>0.19503160508023348</v>
      </c>
    </row>
    <row r="41" spans="1:57" x14ac:dyDescent="0.25">
      <c r="A41" s="23" t="s">
        <v>124</v>
      </c>
      <c r="B41" s="5">
        <f>Qgs_Q1*1000000000</f>
        <v>4</v>
      </c>
      <c r="C41" s="440" t="s">
        <v>65</v>
      </c>
      <c r="D41" s="21"/>
      <c r="G41">
        <v>32</v>
      </c>
      <c r="H41" s="548">
        <f t="shared" ref="H41:H72" si="49">Vin</f>
        <v>45</v>
      </c>
      <c r="I41" s="4">
        <f t="shared" ref="I41:I72" si="50">MODE</f>
        <v>2</v>
      </c>
      <c r="J41" s="360">
        <f t="shared" si="38"/>
        <v>19.2</v>
      </c>
      <c r="K41" s="360">
        <f t="shared" ref="K41:K72" si="51">Iout*G41/100/Number_of_Phases</f>
        <v>9.6</v>
      </c>
      <c r="L41" s="4">
        <f t="shared" ref="L41:L72" si="52">Vout*K41/(Vin*Efficiency)</f>
        <v>5.6888888888888882</v>
      </c>
      <c r="M41" s="360">
        <f t="shared" ref="M41:M72" si="53">(Vout+(Rdson2+Rs+Rdcr)*K41)/(Vin+(Rs+Rdson2-Rdson1)*K41)</f>
        <v>0.53422606989786126</v>
      </c>
      <c r="N41" s="4">
        <f t="shared" ref="N41:N72" si="54">(Vin-(Rdson1+Rdcr)*K41-Vout)*M41/(Fsw*Lf)</f>
        <v>5.0920641753630296</v>
      </c>
      <c r="O41" s="4">
        <f t="shared" si="39"/>
        <v>12.146032087681515</v>
      </c>
      <c r="P41" s="4">
        <f t="shared" si="40"/>
        <v>7.0539679123184849</v>
      </c>
      <c r="Q41" s="4">
        <f t="shared" ref="Q41:Q72" si="55">IF(MIN(Vin, -P41/(Coss_Q1+Coss_Q2)*0.00000002)&lt;0, 0, MIN(Vin, -P41/(Coss_Q1+Coss_Q2)*0.00000002))</f>
        <v>0</v>
      </c>
      <c r="R41" s="4">
        <f t="shared" si="41"/>
        <v>9.7118875506859101</v>
      </c>
      <c r="S41" s="360">
        <f t="shared" ref="S41:S72" si="56">R41^2*Rdcr</f>
        <v>0.17543661322273243</v>
      </c>
      <c r="T41" s="360">
        <f t="shared" ref="T41:T72" si="57">Core_Loss_Ch1</f>
        <v>0.3</v>
      </c>
      <c r="U41" s="360">
        <f t="shared" ref="U41:U72" si="58">(T41+S41*(1+Ltc*(Ta-25)))/(1-S41*Ltc*ThetaCa)</f>
        <v>0.48220431659755297</v>
      </c>
      <c r="V41" s="4">
        <f t="shared" si="42"/>
        <v>1.4699523111883475</v>
      </c>
      <c r="W41" s="360">
        <f t="shared" si="10"/>
        <v>4.3215195943359288E-3</v>
      </c>
      <c r="X41" s="360">
        <f t="shared" si="43"/>
        <v>4.3215195943359288E-3</v>
      </c>
      <c r="Y41" s="4">
        <f t="shared" si="44"/>
        <v>4.8445536802383193</v>
      </c>
      <c r="Z41" s="360">
        <f t="shared" si="11"/>
        <v>3.5204550541065964E-2</v>
      </c>
      <c r="AA41" s="541">
        <f t="shared" si="45"/>
        <v>3.5204550541065964E-2</v>
      </c>
      <c r="AB41" s="360">
        <f t="shared" si="46"/>
        <v>7.0984934187629722</v>
      </c>
      <c r="AC41" s="360">
        <f t="shared" ref="AC41:AC72" si="59">Rdson1*AB41^2</f>
        <v>6.5505191461087589E-2</v>
      </c>
      <c r="AD41" s="360">
        <f t="shared" ref="AD41:AD72" si="60">(Vin*K41/2)*Fsw*(Tr_buck+Tf_buck)</f>
        <v>0.28184275862068969</v>
      </c>
      <c r="AE41" s="360">
        <f t="shared" ref="AE41:AE72" si="61">(0.5*Coss_Q1*(Vin-Q41)^2-0.5*Coss_Q2*(Vin-Q41)^2+(Qoss_Q2*(Vin-Q41)/Vin)*Vin)*Fsw</f>
        <v>0.36630000000000001</v>
      </c>
      <c r="AF41" s="360">
        <f t="shared" ref="AF41:AF72" si="62">IF(K41&gt;N41/2,0,ABS(K41-N41/2)*Vsd_Q1*Deadtime*Fsw)</f>
        <v>0</v>
      </c>
      <c r="AG41" s="360">
        <f t="shared" ref="AG41:AG72" si="63">(AF41+AE41+AD41+AC41*(1+RdsonTopTc*Ta-RdsonTopTc*25))/(1-AC41*RdsonTopTc*ThetaJA_Q1)</f>
        <v>0.72082505311514422</v>
      </c>
      <c r="AH41" s="360">
        <f t="shared" ref="AH41:AH72" si="64">SQRT((1-M41))*SQRT(K41^2+(N41^2)/12)</f>
        <v>6.6281332953514696</v>
      </c>
      <c r="AI41" s="360">
        <f t="shared" ref="AI41:AI72" si="65">Rdson2*AH41^2</f>
        <v>5.7111796275230747E-2</v>
      </c>
      <c r="AJ41" s="360">
        <f t="shared" ref="AJ41:AJ72" si="66">IF(K41&lt;N41/2,Deadtime*Fsw*IF(VfdSky_Q2&gt;0,0,Vsd_Q2)*(K41+N41/2),2*Deadtime*Fsw*IF(VfdSky_Q2&gt;0,0,Vsd_Q2)*K41)</f>
        <v>0</v>
      </c>
      <c r="AK41" s="360">
        <f t="shared" ref="AK41:AK72" si="67">(AJ41+AI41*(1+RdsonBotTc*Ta-RdsonBotTc*25))/(1-AI41*RdsonBotTc*ThetaJA_Q2)</f>
        <v>5.7611924994776229E-2</v>
      </c>
      <c r="AL41" s="360">
        <f t="shared" ref="AL41:AL72" si="68">2*Deadtime*Fsw*IF(VfdSky_Q2&gt;0,VfdSky_Q2,Vsd_Q2)*K41</f>
        <v>4.2577919999999991E-2</v>
      </c>
      <c r="AM41" s="360">
        <f t="shared" ref="AM41:AM72" si="69">IF(QrrSky_Q2&gt;0,QrrSky_Q2,Qrr_Q2*K41/(Iout/Number_of_Phases))*Fsw*Vin</f>
        <v>4.4549999999999999E-2</v>
      </c>
      <c r="AN41" s="360">
        <f t="shared" ref="AN41:AN72" si="70">CHOOSE(SENSING_TYPE, Rs*R41^2, 0)</f>
        <v>0.20750567155376953</v>
      </c>
      <c r="AO41" s="360">
        <f t="shared" ref="AO41:AO72" si="71">Iq*Vin</f>
        <v>1.5749999999999998E-3</v>
      </c>
      <c r="AP41" s="360">
        <f t="shared" ref="AP41:AP72" si="72">IF(Ext_VCC=1,  (Qg_Q1+Qg_Q2)*Fsw*VCC, (Qg_Q1+Qg_Q2)*Fsw*Vin)</f>
        <v>0.25740000000000002</v>
      </c>
      <c r="AQ41" s="360">
        <f t="shared" si="26"/>
        <v>0.24596000000000001</v>
      </c>
      <c r="AR41" s="360">
        <f t="shared" ref="AR41:AR72" si="73">(Qg_Q1+Qg_Q2)*Fsw*(Vin-VCC)</f>
        <v>0.2288</v>
      </c>
      <c r="AS41" s="360">
        <f t="shared" ref="AS41:AS74" si="74">SUM(AO41:AP41)</f>
        <v>0.25897500000000001</v>
      </c>
      <c r="AT41" s="360">
        <f t="shared" ref="AT41:AT72" si="75" xml:space="preserve"> SUM(U41,X41,AA41,AG41,AK41,AL41,AM41,AS41,AN41)</f>
        <v>1.8537759563966449</v>
      </c>
      <c r="AU41">
        <f t="shared" ref="AU41:AU72" si="76">Vout*K41</f>
        <v>230.39999999999998</v>
      </c>
      <c r="AV41" s="542">
        <f t="shared" si="47"/>
        <v>0.99201831725334499</v>
      </c>
      <c r="AW41" s="551">
        <f t="shared" ref="AW41:AW72" si="77">ThetaJA_Q1*BC41</f>
        <v>28.508666018375479</v>
      </c>
      <c r="AX41" s="551">
        <f t="shared" ref="AX41:AX72" si="78">ThetaJA_Q2*BD41</f>
        <v>2.7479101498014971</v>
      </c>
      <c r="AY41" s="9"/>
      <c r="AZ41" s="4">
        <f t="shared" si="48"/>
        <v>99.2018317253345</v>
      </c>
      <c r="BA41" s="360">
        <f t="shared" ref="BA41:BA72" si="79">U41</f>
        <v>0.48220431659755297</v>
      </c>
      <c r="BB41" s="360">
        <f t="shared" ref="BB41:BB73" si="80">AG41+AK41+AM41</f>
        <v>0.82298697810992039</v>
      </c>
      <c r="BC41" s="360">
        <f t="shared" ref="BC41:BC73" si="81">AG41+AM41*0.66</f>
        <v>0.75022805311514418</v>
      </c>
      <c r="BD41" s="360">
        <f t="shared" ref="BD41:BD73" si="82">AK41+AM41*0.33</f>
        <v>7.2313424994776235E-2</v>
      </c>
      <c r="BE41" s="360">
        <f t="shared" ref="BE41:BE73" si="83">AN41</f>
        <v>0.20750567155376953</v>
      </c>
    </row>
    <row r="42" spans="1:57" x14ac:dyDescent="0.25">
      <c r="A42" s="23" t="s">
        <v>90</v>
      </c>
      <c r="B42" s="5">
        <f>Rgate1</f>
        <v>0.5</v>
      </c>
      <c r="C42" s="444" t="s">
        <v>116</v>
      </c>
      <c r="D42" s="21" t="s">
        <v>100</v>
      </c>
      <c r="G42">
        <v>33</v>
      </c>
      <c r="H42" s="548">
        <f t="shared" si="49"/>
        <v>45</v>
      </c>
      <c r="I42" s="4">
        <f t="shared" si="50"/>
        <v>2</v>
      </c>
      <c r="J42" s="360">
        <f t="shared" ref="J42:J73" si="84">Iout*G42/100</f>
        <v>19.8</v>
      </c>
      <c r="K42" s="360">
        <f t="shared" si="51"/>
        <v>9.9</v>
      </c>
      <c r="L42" s="4">
        <f t="shared" si="52"/>
        <v>5.8666666666666671</v>
      </c>
      <c r="M42" s="360">
        <f t="shared" si="53"/>
        <v>0.53425395441939438</v>
      </c>
      <c r="N42" s="4">
        <f t="shared" si="54"/>
        <v>5.0920997464078299</v>
      </c>
      <c r="O42" s="4">
        <f t="shared" si="39"/>
        <v>12.446049873203915</v>
      </c>
      <c r="P42" s="4">
        <f t="shared" si="40"/>
        <v>7.3539501267960858</v>
      </c>
      <c r="Q42" s="4">
        <f t="shared" si="55"/>
        <v>0</v>
      </c>
      <c r="R42" s="4">
        <f t="shared" si="41"/>
        <v>10.008535856238609</v>
      </c>
      <c r="S42" s="360">
        <f t="shared" si="56"/>
        <v>0.18631766937324187</v>
      </c>
      <c r="T42" s="360">
        <f t="shared" si="57"/>
        <v>0.3</v>
      </c>
      <c r="U42" s="360">
        <f t="shared" si="58"/>
        <v>0.4936761160425443</v>
      </c>
      <c r="V42" s="4">
        <f t="shared" si="42"/>
        <v>1.4699625796644928</v>
      </c>
      <c r="W42" s="360">
        <f t="shared" si="10"/>
        <v>4.3215799712277804E-3</v>
      </c>
      <c r="X42" s="360">
        <f t="shared" si="43"/>
        <v>4.3215799712277804E-3</v>
      </c>
      <c r="Y42" s="4">
        <f t="shared" si="44"/>
        <v>4.992510767486988</v>
      </c>
      <c r="Z42" s="360">
        <f t="shared" si="11"/>
        <v>3.7387745645210274E-2</v>
      </c>
      <c r="AA42" s="541">
        <f t="shared" si="45"/>
        <v>3.7387745645210274E-2</v>
      </c>
      <c r="AB42" s="360">
        <f t="shared" si="46"/>
        <v>7.3155068633095341</v>
      </c>
      <c r="AC42" s="360">
        <f t="shared" si="59"/>
        <v>6.9571632867267558E-2</v>
      </c>
      <c r="AD42" s="360">
        <f t="shared" si="60"/>
        <v>0.29065034482758623</v>
      </c>
      <c r="AE42" s="360">
        <f t="shared" si="61"/>
        <v>0.36630000000000001</v>
      </c>
      <c r="AF42" s="360">
        <f t="shared" si="62"/>
        <v>0</v>
      </c>
      <c r="AG42" s="360">
        <f t="shared" si="63"/>
        <v>0.73428698041640694</v>
      </c>
      <c r="AH42" s="360">
        <f t="shared" si="64"/>
        <v>6.8303842731199991</v>
      </c>
      <c r="AI42" s="360">
        <f t="shared" si="65"/>
        <v>6.0650394114030518E-2</v>
      </c>
      <c r="AJ42" s="360">
        <f t="shared" si="66"/>
        <v>0</v>
      </c>
      <c r="AK42" s="360">
        <f t="shared" si="67"/>
        <v>6.1214724079462678E-2</v>
      </c>
      <c r="AL42" s="360">
        <f t="shared" si="68"/>
        <v>4.3908479999999993E-2</v>
      </c>
      <c r="AM42" s="360">
        <f t="shared" si="69"/>
        <v>4.4549999999999999E-2</v>
      </c>
      <c r="AN42" s="360">
        <f t="shared" si="70"/>
        <v>0.22037573796835061</v>
      </c>
      <c r="AO42" s="360">
        <f t="shared" si="71"/>
        <v>1.5749999999999998E-3</v>
      </c>
      <c r="AP42" s="360">
        <f t="shared" si="72"/>
        <v>0.25740000000000002</v>
      </c>
      <c r="AQ42" s="360">
        <f t="shared" si="26"/>
        <v>0.24596000000000001</v>
      </c>
      <c r="AR42" s="360">
        <f t="shared" si="73"/>
        <v>0.2288</v>
      </c>
      <c r="AS42" s="360">
        <f t="shared" si="74"/>
        <v>0.25897500000000001</v>
      </c>
      <c r="AT42" s="360">
        <f t="shared" si="75"/>
        <v>1.8986963641232026</v>
      </c>
      <c r="AU42">
        <f t="shared" si="76"/>
        <v>237.60000000000002</v>
      </c>
      <c r="AV42" s="542">
        <f t="shared" si="47"/>
        <v>0.99207220584935252</v>
      </c>
      <c r="AW42" s="551">
        <f t="shared" si="77"/>
        <v>29.020219255823463</v>
      </c>
      <c r="AX42" s="551">
        <f t="shared" si="78"/>
        <v>2.8848165150195819</v>
      </c>
      <c r="AY42" s="9"/>
      <c r="AZ42" s="4">
        <f t="shared" si="48"/>
        <v>99.207220584935257</v>
      </c>
      <c r="BA42" s="360">
        <f t="shared" si="79"/>
        <v>0.4936761160425443</v>
      </c>
      <c r="BB42" s="360">
        <f t="shared" si="80"/>
        <v>0.84005170449586963</v>
      </c>
      <c r="BC42" s="360">
        <f t="shared" si="81"/>
        <v>0.7636899804164069</v>
      </c>
      <c r="BD42" s="360">
        <f t="shared" si="82"/>
        <v>7.5916224079462677E-2</v>
      </c>
      <c r="BE42" s="360">
        <f t="shared" si="83"/>
        <v>0.22037573796835061</v>
      </c>
    </row>
    <row r="43" spans="1:57" x14ac:dyDescent="0.25">
      <c r="A43" s="23" t="s">
        <v>69</v>
      </c>
      <c r="B43" s="5">
        <f>Gfs_Q1</f>
        <v>300</v>
      </c>
      <c r="C43" s="440" t="s">
        <v>66</v>
      </c>
      <c r="D43" s="21" t="s">
        <v>101</v>
      </c>
      <c r="G43">
        <v>34</v>
      </c>
      <c r="H43" s="548">
        <f t="shared" si="49"/>
        <v>45</v>
      </c>
      <c r="I43" s="4">
        <f t="shared" si="50"/>
        <v>2</v>
      </c>
      <c r="J43" s="360">
        <f t="shared" si="84"/>
        <v>20.399999999999999</v>
      </c>
      <c r="K43" s="360">
        <f t="shared" si="51"/>
        <v>10.199999999999999</v>
      </c>
      <c r="L43" s="4">
        <f t="shared" si="52"/>
        <v>6.0444444444444443</v>
      </c>
      <c r="M43" s="360">
        <f t="shared" si="53"/>
        <v>0.53428183812338914</v>
      </c>
      <c r="N43" s="4">
        <f t="shared" si="54"/>
        <v>5.0921352856294444</v>
      </c>
      <c r="O43" s="4">
        <f t="shared" si="39"/>
        <v>12.746067642814722</v>
      </c>
      <c r="P43" s="4">
        <f t="shared" si="40"/>
        <v>7.6539323571852771</v>
      </c>
      <c r="Q43" s="4">
        <f t="shared" si="55"/>
        <v>0</v>
      </c>
      <c r="R43" s="4">
        <f t="shared" si="41"/>
        <v>10.305378214663579</v>
      </c>
      <c r="S43" s="360">
        <f t="shared" si="56"/>
        <v>0.19753352547390862</v>
      </c>
      <c r="T43" s="360">
        <f t="shared" si="57"/>
        <v>0.3</v>
      </c>
      <c r="U43" s="360">
        <f t="shared" si="58"/>
        <v>0.50552213097279985</v>
      </c>
      <c r="V43" s="4">
        <f t="shared" si="42"/>
        <v>1.4699728389540758</v>
      </c>
      <c r="W43" s="360">
        <f t="shared" si="10"/>
        <v>4.3216402945254109E-3</v>
      </c>
      <c r="X43" s="360">
        <f t="shared" si="43"/>
        <v>4.3216402945254109E-3</v>
      </c>
      <c r="Y43" s="4">
        <f t="shared" si="44"/>
        <v>5.1405635016984874</v>
      </c>
      <c r="Z43" s="360">
        <f t="shared" si="11"/>
        <v>3.9638089672491925E-2</v>
      </c>
      <c r="AA43" s="541">
        <f t="shared" si="45"/>
        <v>3.9638089672491925E-2</v>
      </c>
      <c r="AB43" s="360">
        <f t="shared" si="46"/>
        <v>7.5326734562498432</v>
      </c>
      <c r="AC43" s="360">
        <f t="shared" si="59"/>
        <v>7.3763520218038239E-2</v>
      </c>
      <c r="AD43" s="360">
        <f t="shared" si="60"/>
        <v>0.29945793103448271</v>
      </c>
      <c r="AE43" s="360">
        <f t="shared" si="61"/>
        <v>0.36630000000000001</v>
      </c>
      <c r="AF43" s="360">
        <f t="shared" si="62"/>
        <v>0</v>
      </c>
      <c r="AG43" s="360">
        <f t="shared" si="63"/>
        <v>0.74790702601782255</v>
      </c>
      <c r="AH43" s="360">
        <f t="shared" si="64"/>
        <v>7.0327555587245962</v>
      </c>
      <c r="AI43" s="360">
        <f t="shared" si="65"/>
        <v>6.4297545973403217E-2</v>
      </c>
      <c r="AJ43" s="360">
        <f t="shared" si="66"/>
        <v>0</v>
      </c>
      <c r="AK43" s="360">
        <f t="shared" si="67"/>
        <v>6.4932142541273483E-2</v>
      </c>
      <c r="AL43" s="360">
        <f t="shared" si="68"/>
        <v>4.5239039999999987E-2</v>
      </c>
      <c r="AM43" s="360">
        <f t="shared" si="69"/>
        <v>4.4549999999999999E-2</v>
      </c>
      <c r="AN43" s="360">
        <f t="shared" si="70"/>
        <v>0.23364180432397794</v>
      </c>
      <c r="AO43" s="360">
        <f t="shared" si="71"/>
        <v>1.5749999999999998E-3</v>
      </c>
      <c r="AP43" s="360">
        <f t="shared" si="72"/>
        <v>0.25740000000000002</v>
      </c>
      <c r="AQ43" s="360">
        <f t="shared" si="26"/>
        <v>0.24596000000000001</v>
      </c>
      <c r="AR43" s="360">
        <f t="shared" si="73"/>
        <v>0.2288</v>
      </c>
      <c r="AS43" s="360">
        <f t="shared" si="74"/>
        <v>0.25897500000000001</v>
      </c>
      <c r="AT43" s="360">
        <f t="shared" si="75"/>
        <v>1.9447268738228911</v>
      </c>
      <c r="AU43">
        <f t="shared" si="76"/>
        <v>244.79999999999998</v>
      </c>
      <c r="AV43" s="542">
        <f t="shared" si="47"/>
        <v>0.99211846632565581</v>
      </c>
      <c r="AW43" s="551">
        <f t="shared" si="77"/>
        <v>29.537780988677255</v>
      </c>
      <c r="AX43" s="551">
        <f t="shared" si="78"/>
        <v>3.0260784165683927</v>
      </c>
      <c r="AY43" s="9"/>
      <c r="AZ43" s="4">
        <f t="shared" si="48"/>
        <v>99.211846632565582</v>
      </c>
      <c r="BA43" s="360">
        <f t="shared" si="79"/>
        <v>0.50552213097279985</v>
      </c>
      <c r="BB43" s="360">
        <f t="shared" si="80"/>
        <v>0.85738916855909597</v>
      </c>
      <c r="BC43" s="360">
        <f t="shared" si="81"/>
        <v>0.77731002601782251</v>
      </c>
      <c r="BD43" s="360">
        <f t="shared" si="82"/>
        <v>7.9633642541273489E-2</v>
      </c>
      <c r="BE43" s="360">
        <f t="shared" si="83"/>
        <v>0.23364180432397794</v>
      </c>
    </row>
    <row r="44" spans="1:57" x14ac:dyDescent="0.25">
      <c r="A44" s="23" t="s">
        <v>92</v>
      </c>
      <c r="B44" s="5">
        <f>Vth_Q1</f>
        <v>2.8</v>
      </c>
      <c r="C44" s="440" t="s">
        <v>0</v>
      </c>
      <c r="D44" s="21" t="s">
        <v>102</v>
      </c>
      <c r="G44">
        <v>35</v>
      </c>
      <c r="H44" s="548">
        <f t="shared" si="49"/>
        <v>45</v>
      </c>
      <c r="I44" s="4">
        <f t="shared" si="50"/>
        <v>2</v>
      </c>
      <c r="J44" s="360">
        <f t="shared" si="84"/>
        <v>21</v>
      </c>
      <c r="K44" s="360">
        <f t="shared" si="51"/>
        <v>10.5</v>
      </c>
      <c r="L44" s="4">
        <f t="shared" si="52"/>
        <v>6.2222222222222223</v>
      </c>
      <c r="M44" s="360">
        <f t="shared" si="53"/>
        <v>0.53430972100988161</v>
      </c>
      <c r="N44" s="4">
        <f t="shared" si="54"/>
        <v>5.0921707930292746</v>
      </c>
      <c r="O44" s="4">
        <f t="shared" si="39"/>
        <v>13.046085396514638</v>
      </c>
      <c r="P44" s="4">
        <f t="shared" si="40"/>
        <v>7.9539146034853623</v>
      </c>
      <c r="Q44" s="4">
        <f t="shared" si="55"/>
        <v>0</v>
      </c>
      <c r="R44" s="4">
        <f t="shared" si="41"/>
        <v>10.602398326893544</v>
      </c>
      <c r="S44" s="360">
        <f t="shared" si="56"/>
        <v>0.20908418152473396</v>
      </c>
      <c r="T44" s="360">
        <f t="shared" si="57"/>
        <v>0.3</v>
      </c>
      <c r="U44" s="360">
        <f t="shared" si="58"/>
        <v>0.51774435388237794</v>
      </c>
      <c r="V44" s="4">
        <f t="shared" si="42"/>
        <v>1.469983089057501</v>
      </c>
      <c r="W44" s="360">
        <f t="shared" si="10"/>
        <v>4.3217005642300649E-3</v>
      </c>
      <c r="X44" s="360">
        <f t="shared" si="43"/>
        <v>4.3217005642300649E-3</v>
      </c>
      <c r="Y44" s="4">
        <f t="shared" si="44"/>
        <v>5.2887037500898533</v>
      </c>
      <c r="Z44" s="360">
        <f t="shared" si="11"/>
        <v>4.1955581034321718E-2</v>
      </c>
      <c r="AA44" s="541">
        <f t="shared" si="45"/>
        <v>4.1955581034321718E-2</v>
      </c>
      <c r="AB44" s="360">
        <f t="shared" si="46"/>
        <v>7.7499812937013237</v>
      </c>
      <c r="AC44" s="360">
        <f t="shared" si="59"/>
        <v>7.8080873068536574E-2</v>
      </c>
      <c r="AD44" s="360">
        <f t="shared" si="60"/>
        <v>0.30826551724137935</v>
      </c>
      <c r="AE44" s="360">
        <f t="shared" si="61"/>
        <v>0.36630000000000001</v>
      </c>
      <c r="AF44" s="360">
        <f t="shared" si="62"/>
        <v>0</v>
      </c>
      <c r="AG44" s="360">
        <f t="shared" si="63"/>
        <v>0.76168630634407752</v>
      </c>
      <c r="AH44" s="360">
        <f t="shared" si="64"/>
        <v>7.2352360175321566</v>
      </c>
      <c r="AI44" s="360">
        <f t="shared" si="65"/>
        <v>6.8053232298212959E-2</v>
      </c>
      <c r="AJ44" s="360">
        <f t="shared" si="66"/>
        <v>0</v>
      </c>
      <c r="AK44" s="360">
        <f t="shared" si="67"/>
        <v>6.8764538968143302E-2</v>
      </c>
      <c r="AL44" s="360">
        <f t="shared" si="68"/>
        <v>4.6569599999999996E-2</v>
      </c>
      <c r="AM44" s="360">
        <f t="shared" si="69"/>
        <v>4.4549999999999999E-2</v>
      </c>
      <c r="AN44" s="360">
        <f t="shared" si="70"/>
        <v>0.24730387062065307</v>
      </c>
      <c r="AO44" s="360">
        <f t="shared" si="71"/>
        <v>1.5749999999999998E-3</v>
      </c>
      <c r="AP44" s="360">
        <f t="shared" si="72"/>
        <v>0.25740000000000002</v>
      </c>
      <c r="AQ44" s="360">
        <f t="shared" si="26"/>
        <v>0.24596000000000001</v>
      </c>
      <c r="AR44" s="360">
        <f t="shared" si="73"/>
        <v>0.2288</v>
      </c>
      <c r="AS44" s="360">
        <f t="shared" si="74"/>
        <v>0.25897500000000001</v>
      </c>
      <c r="AT44" s="360">
        <f t="shared" si="75"/>
        <v>1.9918709514138038</v>
      </c>
      <c r="AU44">
        <f t="shared" si="76"/>
        <v>252</v>
      </c>
      <c r="AV44" s="542">
        <f t="shared" si="47"/>
        <v>0.99215773739548208</v>
      </c>
      <c r="AW44" s="551">
        <f t="shared" si="77"/>
        <v>30.061393641074943</v>
      </c>
      <c r="AX44" s="551">
        <f t="shared" si="78"/>
        <v>3.1717094807894455</v>
      </c>
      <c r="AY44" s="9"/>
      <c r="AZ44" s="4">
        <f t="shared" si="48"/>
        <v>99.215773739548212</v>
      </c>
      <c r="BA44" s="360">
        <f t="shared" si="79"/>
        <v>0.51774435388237794</v>
      </c>
      <c r="BB44" s="360">
        <f t="shared" si="80"/>
        <v>0.87500084531222078</v>
      </c>
      <c r="BC44" s="360">
        <f t="shared" si="81"/>
        <v>0.79108930634407748</v>
      </c>
      <c r="BD44" s="360">
        <f t="shared" si="82"/>
        <v>8.3466038968143308E-2</v>
      </c>
      <c r="BE44" s="360">
        <f t="shared" si="83"/>
        <v>0.24730387062065307</v>
      </c>
    </row>
    <row r="45" spans="1:57" x14ac:dyDescent="0.25">
      <c r="A45" s="28" t="s">
        <v>123</v>
      </c>
      <c r="B45" s="447">
        <f>Vsp_Q1</f>
        <v>2.9</v>
      </c>
      <c r="C45" s="445" t="s">
        <v>0</v>
      </c>
      <c r="G45">
        <v>36</v>
      </c>
      <c r="H45" s="548">
        <f t="shared" si="49"/>
        <v>45</v>
      </c>
      <c r="I45" s="4">
        <f t="shared" si="50"/>
        <v>2</v>
      </c>
      <c r="J45" s="360">
        <f t="shared" si="84"/>
        <v>21.6</v>
      </c>
      <c r="K45" s="360">
        <f t="shared" si="51"/>
        <v>10.8</v>
      </c>
      <c r="L45" s="4">
        <f t="shared" si="52"/>
        <v>6.4000000000000012</v>
      </c>
      <c r="M45" s="360">
        <f t="shared" si="53"/>
        <v>0.53433760307890765</v>
      </c>
      <c r="N45" s="4">
        <f t="shared" si="54"/>
        <v>5.0922062686087184</v>
      </c>
      <c r="O45" s="4">
        <f t="shared" si="39"/>
        <v>13.346103134304361</v>
      </c>
      <c r="P45" s="4">
        <f t="shared" si="40"/>
        <v>8.2538968656956406</v>
      </c>
      <c r="Q45" s="4">
        <f t="shared" si="55"/>
        <v>0</v>
      </c>
      <c r="R45" s="4">
        <f t="shared" si="41"/>
        <v>10.899581661246064</v>
      </c>
      <c r="S45" s="360">
        <f t="shared" si="56"/>
        <v>0.22096963752571899</v>
      </c>
      <c r="T45" s="360">
        <f t="shared" si="57"/>
        <v>0.3</v>
      </c>
      <c r="U45" s="360">
        <f t="shared" si="58"/>
        <v>0.53034484619999467</v>
      </c>
      <c r="V45" s="4">
        <f t="shared" si="42"/>
        <v>1.4699933299751717</v>
      </c>
      <c r="W45" s="360">
        <f t="shared" si="10"/>
        <v>4.3217607803429882E-3</v>
      </c>
      <c r="X45" s="360">
        <f t="shared" si="43"/>
        <v>4.3217607803429882E-3</v>
      </c>
      <c r="Y45" s="4">
        <f t="shared" si="44"/>
        <v>5.4369242616076656</v>
      </c>
      <c r="Z45" s="360">
        <f t="shared" si="11"/>
        <v>4.4340218139687089E-2</v>
      </c>
      <c r="AA45" s="541">
        <f t="shared" si="45"/>
        <v>4.4340218139687089E-2</v>
      </c>
      <c r="AB45" s="360">
        <f t="shared" si="46"/>
        <v>7.9674197624669079</v>
      </c>
      <c r="AC45" s="360">
        <f t="shared" si="59"/>
        <v>8.2523710972752712E-2</v>
      </c>
      <c r="AD45" s="360">
        <f t="shared" si="60"/>
        <v>0.31707310344827594</v>
      </c>
      <c r="AE45" s="360">
        <f t="shared" si="61"/>
        <v>0.36630000000000001</v>
      </c>
      <c r="AF45" s="360">
        <f t="shared" si="62"/>
        <v>0</v>
      </c>
      <c r="AG45" s="360">
        <f t="shared" si="63"/>
        <v>0.77562595935999323</v>
      </c>
      <c r="AH45" s="360">
        <f t="shared" si="64"/>
        <v>7.4378157222953067</v>
      </c>
      <c r="AI45" s="360">
        <f t="shared" si="65"/>
        <v>7.1917433534470235E-2</v>
      </c>
      <c r="AJ45" s="360">
        <f t="shared" si="66"/>
        <v>0</v>
      </c>
      <c r="AK45" s="360">
        <f t="shared" si="67"/>
        <v>7.2712284226405022E-2</v>
      </c>
      <c r="AL45" s="360">
        <f t="shared" si="68"/>
        <v>4.7900159999999997E-2</v>
      </c>
      <c r="AM45" s="360">
        <f t="shared" si="69"/>
        <v>4.4549999999999999E-2</v>
      </c>
      <c r="AN45" s="360">
        <f t="shared" si="70"/>
        <v>0.26136193685837733</v>
      </c>
      <c r="AO45" s="360">
        <f t="shared" si="71"/>
        <v>1.5749999999999998E-3</v>
      </c>
      <c r="AP45" s="360">
        <f t="shared" si="72"/>
        <v>0.25740000000000002</v>
      </c>
      <c r="AQ45" s="360">
        <f t="shared" si="26"/>
        <v>0.24596000000000001</v>
      </c>
      <c r="AR45" s="360">
        <f t="shared" si="73"/>
        <v>0.2288</v>
      </c>
      <c r="AS45" s="360">
        <f t="shared" si="74"/>
        <v>0.25897500000000001</v>
      </c>
      <c r="AT45" s="360">
        <f t="shared" si="75"/>
        <v>2.0401321655648004</v>
      </c>
      <c r="AU45">
        <f t="shared" si="76"/>
        <v>259.20000000000005</v>
      </c>
      <c r="AV45" s="542">
        <f t="shared" si="47"/>
        <v>0.99219058668875648</v>
      </c>
      <c r="AW45" s="551">
        <f t="shared" si="77"/>
        <v>30.59110045567974</v>
      </c>
      <c r="AX45" s="551">
        <f t="shared" si="78"/>
        <v>3.3217238006033911</v>
      </c>
      <c r="AY45" s="9"/>
      <c r="AZ45" s="4">
        <f t="shared" si="48"/>
        <v>99.219058668875647</v>
      </c>
      <c r="BA45" s="360">
        <f t="shared" si="79"/>
        <v>0.53034484619999467</v>
      </c>
      <c r="BB45" s="360">
        <f t="shared" si="80"/>
        <v>0.89288824358639818</v>
      </c>
      <c r="BC45" s="360">
        <f t="shared" si="81"/>
        <v>0.80502895935999319</v>
      </c>
      <c r="BD45" s="360">
        <f t="shared" si="82"/>
        <v>8.7413784226405028E-2</v>
      </c>
      <c r="BE45" s="360">
        <f t="shared" si="83"/>
        <v>0.26136193685837733</v>
      </c>
    </row>
    <row r="46" spans="1:57" x14ac:dyDescent="0.25">
      <c r="A46" s="77" t="s">
        <v>203</v>
      </c>
      <c r="B46" s="5">
        <f>Vsd_Q1</f>
        <v>0</v>
      </c>
      <c r="C46" s="445" t="s">
        <v>0</v>
      </c>
      <c r="G46">
        <v>37</v>
      </c>
      <c r="H46" s="548">
        <f t="shared" si="49"/>
        <v>45</v>
      </c>
      <c r="I46" s="4">
        <f t="shared" si="50"/>
        <v>2</v>
      </c>
      <c r="J46" s="360">
        <f t="shared" si="84"/>
        <v>22.2</v>
      </c>
      <c r="K46" s="360">
        <f t="shared" si="51"/>
        <v>11.1</v>
      </c>
      <c r="L46" s="4">
        <f t="shared" si="52"/>
        <v>6.5777777777777775</v>
      </c>
      <c r="M46" s="360">
        <f t="shared" si="53"/>
        <v>0.53436548433050335</v>
      </c>
      <c r="N46" s="4">
        <f t="shared" si="54"/>
        <v>5.0922417123691792</v>
      </c>
      <c r="O46" s="4">
        <f t="shared" si="39"/>
        <v>13.64612085618459</v>
      </c>
      <c r="P46" s="4">
        <f t="shared" si="40"/>
        <v>8.5538791438154096</v>
      </c>
      <c r="Q46" s="4">
        <f t="shared" si="55"/>
        <v>0</v>
      </c>
      <c r="R46" s="4">
        <f t="shared" si="41"/>
        <v>11.196915221230922</v>
      </c>
      <c r="S46" s="360">
        <f t="shared" si="56"/>
        <v>0.23318989347686486</v>
      </c>
      <c r="T46" s="360">
        <f t="shared" si="57"/>
        <v>0.3</v>
      </c>
      <c r="U46" s="360">
        <f t="shared" si="58"/>
        <v>0.54332573917620386</v>
      </c>
      <c r="V46" s="4">
        <f t="shared" si="42"/>
        <v>1.4700035617074934</v>
      </c>
      <c r="W46" s="360">
        <f t="shared" si="10"/>
        <v>4.321820942865433E-3</v>
      </c>
      <c r="X46" s="360">
        <f t="shared" si="43"/>
        <v>4.321820942865433E-3</v>
      </c>
      <c r="Y46" s="4">
        <f t="shared" si="44"/>
        <v>5.5852185510895653</v>
      </c>
      <c r="Z46" s="360">
        <f t="shared" si="11"/>
        <v>4.6791999395152536E-2</v>
      </c>
      <c r="AA46" s="541">
        <f t="shared" si="45"/>
        <v>4.6791999395152536E-2</v>
      </c>
      <c r="AB46" s="360">
        <f t="shared" si="46"/>
        <v>8.1849793704702343</v>
      </c>
      <c r="AC46" s="360">
        <f t="shared" si="59"/>
        <v>8.7092053483530302E-2</v>
      </c>
      <c r="AD46" s="360">
        <f t="shared" si="60"/>
        <v>0.32588068965517242</v>
      </c>
      <c r="AE46" s="360">
        <f t="shared" si="61"/>
        <v>0.36630000000000001</v>
      </c>
      <c r="AF46" s="360">
        <f t="shared" si="62"/>
        <v>0</v>
      </c>
      <c r="AG46" s="360">
        <f t="shared" si="63"/>
        <v>0.78972714486690065</v>
      </c>
      <c r="AH46" s="360">
        <f t="shared" si="64"/>
        <v>7.6404857945296509</v>
      </c>
      <c r="AI46" s="360">
        <f t="shared" si="65"/>
        <v>7.5890130129332198E-2</v>
      </c>
      <c r="AJ46" s="360">
        <f t="shared" si="66"/>
        <v>0</v>
      </c>
      <c r="AK46" s="360">
        <f t="shared" si="67"/>
        <v>7.6775761554676983E-2</v>
      </c>
      <c r="AL46" s="360">
        <f t="shared" si="68"/>
        <v>4.9230719999999992E-2</v>
      </c>
      <c r="AM46" s="360">
        <f t="shared" si="69"/>
        <v>4.4549999999999999E-2</v>
      </c>
      <c r="AN46" s="360">
        <f t="shared" si="70"/>
        <v>0.27581600303715198</v>
      </c>
      <c r="AO46" s="360">
        <f t="shared" si="71"/>
        <v>1.5749999999999998E-3</v>
      </c>
      <c r="AP46" s="360">
        <f t="shared" si="72"/>
        <v>0.25740000000000002</v>
      </c>
      <c r="AQ46" s="360">
        <f t="shared" si="26"/>
        <v>0.24596000000000001</v>
      </c>
      <c r="AR46" s="360">
        <f t="shared" si="73"/>
        <v>0.2288</v>
      </c>
      <c r="AS46" s="360">
        <f t="shared" si="74"/>
        <v>0.25897500000000001</v>
      </c>
      <c r="AT46" s="360">
        <f t="shared" si="75"/>
        <v>2.0895141889729514</v>
      </c>
      <c r="AU46">
        <f t="shared" si="76"/>
        <v>266.39999999999998</v>
      </c>
      <c r="AV46" s="542">
        <f t="shared" si="47"/>
        <v>0.99221752031812216</v>
      </c>
      <c r="AW46" s="551">
        <f t="shared" si="77"/>
        <v>31.126945504942224</v>
      </c>
      <c r="AX46" s="551">
        <f t="shared" si="78"/>
        <v>3.4761359390777256</v>
      </c>
      <c r="AY46" s="9"/>
      <c r="AZ46" s="4">
        <f t="shared" si="48"/>
        <v>99.221752031812215</v>
      </c>
      <c r="BA46" s="360">
        <f t="shared" si="79"/>
        <v>0.54332573917620386</v>
      </c>
      <c r="BB46" s="360">
        <f t="shared" si="80"/>
        <v>0.91105290642157766</v>
      </c>
      <c r="BC46" s="360">
        <f t="shared" si="81"/>
        <v>0.81913014486690061</v>
      </c>
      <c r="BD46" s="360">
        <f t="shared" si="82"/>
        <v>9.1477261554676989E-2</v>
      </c>
      <c r="BE46" s="360">
        <f t="shared" si="83"/>
        <v>0.27581600303715198</v>
      </c>
    </row>
    <row r="47" spans="1:57" ht="15.5" x14ac:dyDescent="0.4">
      <c r="A47" s="446" t="s">
        <v>472</v>
      </c>
      <c r="B47" s="5">
        <f>ThetaJA_Q1</f>
        <v>38</v>
      </c>
      <c r="C47" s="441" t="s">
        <v>205</v>
      </c>
      <c r="D47" s="21" t="s">
        <v>103</v>
      </c>
      <c r="G47">
        <v>38</v>
      </c>
      <c r="H47" s="548">
        <f t="shared" si="49"/>
        <v>45</v>
      </c>
      <c r="I47" s="4">
        <f t="shared" si="50"/>
        <v>2</v>
      </c>
      <c r="J47" s="360">
        <f t="shared" si="84"/>
        <v>22.8</v>
      </c>
      <c r="K47" s="360">
        <f t="shared" si="51"/>
        <v>11.4</v>
      </c>
      <c r="L47" s="4">
        <f t="shared" si="52"/>
        <v>6.7555555555555564</v>
      </c>
      <c r="M47" s="360">
        <f t="shared" si="53"/>
        <v>0.53439336476470445</v>
      </c>
      <c r="N47" s="4">
        <f t="shared" si="54"/>
        <v>5.0922771243120497</v>
      </c>
      <c r="O47" s="4">
        <f t="shared" si="39"/>
        <v>13.946138562156026</v>
      </c>
      <c r="P47" s="4">
        <f t="shared" si="40"/>
        <v>8.8538614378439746</v>
      </c>
      <c r="Q47" s="4">
        <f t="shared" si="55"/>
        <v>0</v>
      </c>
      <c r="R47" s="4">
        <f t="shared" si="41"/>
        <v>11.494387348871593</v>
      </c>
      <c r="S47" s="360">
        <f t="shared" si="56"/>
        <v>0.24574494937817276</v>
      </c>
      <c r="T47" s="360">
        <f t="shared" si="57"/>
        <v>0.3</v>
      </c>
      <c r="U47" s="360">
        <f t="shared" si="58"/>
        <v>0.5566892348042809</v>
      </c>
      <c r="V47" s="4">
        <f t="shared" si="42"/>
        <v>1.4700137842548677</v>
      </c>
      <c r="W47" s="360">
        <f t="shared" si="10"/>
        <v>4.3218810517986336E-3</v>
      </c>
      <c r="X47" s="360">
        <f t="shared" si="43"/>
        <v>4.3218810517986336E-3</v>
      </c>
      <c r="Y47" s="4">
        <f t="shared" si="44"/>
        <v>5.7335808011433844</v>
      </c>
      <c r="Z47" s="360">
        <f t="shared" si="11"/>
        <v>4.9310923204860017E-2</v>
      </c>
      <c r="AA47" s="541">
        <f t="shared" si="45"/>
        <v>4.9310923204860017E-2</v>
      </c>
      <c r="AB47" s="360">
        <f t="shared" si="46"/>
        <v>8.4026516031258094</v>
      </c>
      <c r="AC47" s="360">
        <f t="shared" si="59"/>
        <v>9.1785920152566536E-2</v>
      </c>
      <c r="AD47" s="360">
        <f t="shared" si="60"/>
        <v>0.33468827586206895</v>
      </c>
      <c r="AE47" s="360">
        <f t="shared" si="61"/>
        <v>0.36630000000000001</v>
      </c>
      <c r="AF47" s="360">
        <f t="shared" si="62"/>
        <v>0</v>
      </c>
      <c r="AG47" s="360">
        <f t="shared" si="63"/>
        <v>0.80399104480661931</v>
      </c>
      <c r="AH47" s="360">
        <f t="shared" si="64"/>
        <v>7.8432382701526153</v>
      </c>
      <c r="AI47" s="360">
        <f t="shared" si="65"/>
        <v>7.9971302531102573E-2</v>
      </c>
      <c r="AJ47" s="360">
        <f t="shared" si="66"/>
        <v>0</v>
      </c>
      <c r="AK47" s="360">
        <f t="shared" si="67"/>
        <v>8.0955366661156478E-2</v>
      </c>
      <c r="AL47" s="360">
        <f t="shared" si="68"/>
        <v>5.0561279999999993E-2</v>
      </c>
      <c r="AM47" s="360">
        <f t="shared" si="69"/>
        <v>4.4549999999999999E-2</v>
      </c>
      <c r="AN47" s="360">
        <f t="shared" si="70"/>
        <v>0.29066606915697851</v>
      </c>
      <c r="AO47" s="360">
        <f t="shared" si="71"/>
        <v>1.5749999999999998E-3</v>
      </c>
      <c r="AP47" s="360">
        <f t="shared" si="72"/>
        <v>0.25740000000000002</v>
      </c>
      <c r="AQ47" s="360">
        <f t="shared" si="26"/>
        <v>0.24596000000000001</v>
      </c>
      <c r="AR47" s="360">
        <f t="shared" si="73"/>
        <v>0.2288</v>
      </c>
      <c r="AS47" s="360">
        <f t="shared" si="74"/>
        <v>0.25897500000000001</v>
      </c>
      <c r="AT47" s="360">
        <f t="shared" si="75"/>
        <v>2.1400207996856939</v>
      </c>
      <c r="AU47">
        <f t="shared" si="76"/>
        <v>273.60000000000002</v>
      </c>
      <c r="AV47" s="542">
        <f t="shared" si="47"/>
        <v>0.99223899093980139</v>
      </c>
      <c r="AW47" s="551">
        <f t="shared" si="77"/>
        <v>31.668973702651531</v>
      </c>
      <c r="AX47" s="551">
        <f t="shared" si="78"/>
        <v>3.6349609331239465</v>
      </c>
      <c r="AY47" s="9"/>
      <c r="AZ47" s="4">
        <f t="shared" si="48"/>
        <v>99.223899093980137</v>
      </c>
      <c r="BA47" s="360">
        <f t="shared" si="79"/>
        <v>0.5566892348042809</v>
      </c>
      <c r="BB47" s="360">
        <f t="shared" si="80"/>
        <v>0.92949641146777573</v>
      </c>
      <c r="BC47" s="360">
        <f t="shared" si="81"/>
        <v>0.83339404480661927</v>
      </c>
      <c r="BD47" s="360">
        <f t="shared" si="82"/>
        <v>9.5656866661156484E-2</v>
      </c>
      <c r="BE47" s="360">
        <f t="shared" si="83"/>
        <v>0.29066606915697851</v>
      </c>
    </row>
    <row r="48" spans="1:57" ht="13" x14ac:dyDescent="0.3">
      <c r="A48" s="24" t="s">
        <v>526</v>
      </c>
      <c r="B48" s="15" t="s">
        <v>111</v>
      </c>
      <c r="C48" s="24" t="s">
        <v>76</v>
      </c>
      <c r="D48" s="17" t="s">
        <v>107</v>
      </c>
      <c r="G48">
        <v>39</v>
      </c>
      <c r="H48" s="548">
        <f t="shared" si="49"/>
        <v>45</v>
      </c>
      <c r="I48" s="4">
        <f t="shared" si="50"/>
        <v>2</v>
      </c>
      <c r="J48" s="360">
        <f t="shared" si="84"/>
        <v>23.4</v>
      </c>
      <c r="K48" s="360">
        <f t="shared" si="51"/>
        <v>11.7</v>
      </c>
      <c r="L48" s="4">
        <f t="shared" si="52"/>
        <v>6.9333333333333318</v>
      </c>
      <c r="M48" s="360">
        <f t="shared" si="53"/>
        <v>0.53442124438154714</v>
      </c>
      <c r="N48" s="4">
        <f t="shared" si="54"/>
        <v>5.0923125044387341</v>
      </c>
      <c r="O48" s="4">
        <f t="shared" si="39"/>
        <v>14.246156252219366</v>
      </c>
      <c r="P48" s="4">
        <f t="shared" si="40"/>
        <v>9.1538437477806323</v>
      </c>
      <c r="Q48" s="4">
        <f t="shared" si="55"/>
        <v>0</v>
      </c>
      <c r="R48" s="4">
        <f t="shared" si="41"/>
        <v>11.791987557387088</v>
      </c>
      <c r="S48" s="360">
        <f t="shared" si="56"/>
        <v>0.25863480522964377</v>
      </c>
      <c r="T48" s="360">
        <f t="shared" si="57"/>
        <v>0.3</v>
      </c>
      <c r="U48" s="360">
        <f t="shared" si="58"/>
        <v>0.57043760677556876</v>
      </c>
      <c r="V48" s="4">
        <f t="shared" si="42"/>
        <v>1.4700239976177003</v>
      </c>
      <c r="W48" s="360">
        <f t="shared" si="10"/>
        <v>4.3219411071438495E-3</v>
      </c>
      <c r="X48" s="360">
        <f t="shared" si="43"/>
        <v>4.3219411071438495E-3</v>
      </c>
      <c r="Y48" s="4">
        <f t="shared" si="44"/>
        <v>5.8820057786738733</v>
      </c>
      <c r="Z48" s="360">
        <f t="shared" si="11"/>
        <v>5.189698797052926E-2</v>
      </c>
      <c r="AA48" s="541">
        <f t="shared" si="45"/>
        <v>5.189698797052926E-2</v>
      </c>
      <c r="AB48" s="360">
        <f t="shared" si="46"/>
        <v>8.620428801150311</v>
      </c>
      <c r="AC48" s="360">
        <f t="shared" si="59"/>
        <v>9.6605330530412314E-2</v>
      </c>
      <c r="AD48" s="360">
        <f t="shared" si="60"/>
        <v>0.34349586206896554</v>
      </c>
      <c r="AE48" s="360">
        <f t="shared" si="61"/>
        <v>0.36630000000000001</v>
      </c>
      <c r="AF48" s="360">
        <f t="shared" si="62"/>
        <v>0</v>
      </c>
      <c r="AG48" s="360">
        <f t="shared" si="63"/>
        <v>0.81841886357320559</v>
      </c>
      <c r="AH48" s="360">
        <f t="shared" si="64"/>
        <v>8.0460659851799718</v>
      </c>
      <c r="AI48" s="360">
        <f t="shared" si="65"/>
        <v>8.4160931189231181E-2</v>
      </c>
      <c r="AJ48" s="360">
        <f t="shared" si="66"/>
        <v>0</v>
      </c>
      <c r="AK48" s="360">
        <f t="shared" si="67"/>
        <v>8.5251507824366454E-2</v>
      </c>
      <c r="AL48" s="360">
        <f t="shared" si="68"/>
        <v>5.1891839999999988E-2</v>
      </c>
      <c r="AM48" s="360">
        <f t="shared" si="69"/>
        <v>4.4549999999999999E-2</v>
      </c>
      <c r="AN48" s="360">
        <f t="shared" si="70"/>
        <v>0.30591213521785821</v>
      </c>
      <c r="AO48" s="360">
        <f t="shared" si="71"/>
        <v>1.5749999999999998E-3</v>
      </c>
      <c r="AP48" s="360">
        <f t="shared" si="72"/>
        <v>0.25740000000000002</v>
      </c>
      <c r="AQ48" s="360">
        <f t="shared" si="26"/>
        <v>0.24596000000000001</v>
      </c>
      <c r="AR48" s="360">
        <f t="shared" si="73"/>
        <v>0.2288</v>
      </c>
      <c r="AS48" s="360">
        <f t="shared" si="74"/>
        <v>0.25897500000000001</v>
      </c>
      <c r="AT48" s="360">
        <f t="shared" si="75"/>
        <v>2.1916558824686723</v>
      </c>
      <c r="AU48">
        <f t="shared" si="76"/>
        <v>280.79999999999995</v>
      </c>
      <c r="AV48" s="542">
        <f t="shared" si="47"/>
        <v>0.99225540457850481</v>
      </c>
      <c r="AW48" s="551">
        <f t="shared" si="77"/>
        <v>32.217230815781811</v>
      </c>
      <c r="AX48" s="551">
        <f t="shared" si="78"/>
        <v>3.7982142973259254</v>
      </c>
      <c r="AY48" s="9"/>
      <c r="AZ48" s="4">
        <f t="shared" si="48"/>
        <v>99.225540457850485</v>
      </c>
      <c r="BA48" s="360">
        <f t="shared" si="79"/>
        <v>0.57043760677556876</v>
      </c>
      <c r="BB48" s="360">
        <f t="shared" si="80"/>
        <v>0.94822037139757198</v>
      </c>
      <c r="BC48" s="360">
        <f t="shared" si="81"/>
        <v>0.84782186357320555</v>
      </c>
      <c r="BD48" s="360">
        <f t="shared" si="82"/>
        <v>9.995300782436646E-2</v>
      </c>
      <c r="BE48" s="360">
        <f t="shared" si="83"/>
        <v>0.30591213521785821</v>
      </c>
    </row>
    <row r="49" spans="1:64" x14ac:dyDescent="0.25">
      <c r="A49" s="23" t="s">
        <v>68</v>
      </c>
      <c r="B49" s="5">
        <f>Rdson2*1000</f>
        <v>1.3</v>
      </c>
      <c r="C49" s="442" t="s">
        <v>466</v>
      </c>
      <c r="D49" s="440" t="s">
        <v>527</v>
      </c>
      <c r="G49">
        <v>40</v>
      </c>
      <c r="H49" s="548">
        <f t="shared" si="49"/>
        <v>45</v>
      </c>
      <c r="I49" s="4">
        <f t="shared" si="50"/>
        <v>2</v>
      </c>
      <c r="J49" s="360">
        <f t="shared" si="84"/>
        <v>24</v>
      </c>
      <c r="K49" s="360">
        <f t="shared" si="51"/>
        <v>12</v>
      </c>
      <c r="L49" s="4">
        <f t="shared" si="52"/>
        <v>7.1111111111111107</v>
      </c>
      <c r="M49" s="360">
        <f t="shared" si="53"/>
        <v>0.53444912318106708</v>
      </c>
      <c r="N49" s="4">
        <f t="shared" si="54"/>
        <v>5.0923478527506285</v>
      </c>
      <c r="O49" s="4">
        <f t="shared" si="39"/>
        <v>14.546173926375314</v>
      </c>
      <c r="P49" s="4">
        <f t="shared" si="40"/>
        <v>9.4538260736246862</v>
      </c>
      <c r="Q49" s="4">
        <f t="shared" si="55"/>
        <v>0</v>
      </c>
      <c r="R49" s="4">
        <f t="shared" si="41"/>
        <v>12.089706388264819</v>
      </c>
      <c r="S49" s="360">
        <f t="shared" si="56"/>
        <v>0.27185946103127917</v>
      </c>
      <c r="T49" s="360">
        <f t="shared" si="57"/>
        <v>0.3</v>
      </c>
      <c r="U49" s="360">
        <f t="shared" si="58"/>
        <v>0.58457320147007796</v>
      </c>
      <c r="V49" s="4">
        <f t="shared" si="42"/>
        <v>1.4700342017963941</v>
      </c>
      <c r="W49" s="360">
        <f t="shared" si="10"/>
        <v>4.3220011089023227E-3</v>
      </c>
      <c r="X49" s="360">
        <f t="shared" si="43"/>
        <v>4.3220011089023227E-3</v>
      </c>
      <c r="Y49" s="4">
        <f t="shared" si="44"/>
        <v>6.0304887635778552</v>
      </c>
      <c r="Z49" s="360">
        <f t="shared" si="11"/>
        <v>5.4550192091458158E-2</v>
      </c>
      <c r="AA49" s="541">
        <f t="shared" si="45"/>
        <v>5.4550192091458158E-2</v>
      </c>
      <c r="AB49" s="360">
        <f t="shared" si="46"/>
        <v>8.8383040561860007</v>
      </c>
      <c r="AC49" s="360">
        <f t="shared" si="59"/>
        <v>0.10155030416647208</v>
      </c>
      <c r="AD49" s="360">
        <f t="shared" si="60"/>
        <v>0.35230344827586207</v>
      </c>
      <c r="AE49" s="360">
        <f t="shared" si="61"/>
        <v>0.36630000000000001</v>
      </c>
      <c r="AF49" s="360">
        <f t="shared" si="62"/>
        <v>0</v>
      </c>
      <c r="AG49" s="360">
        <f t="shared" si="63"/>
        <v>0.83301182833263421</v>
      </c>
      <c r="AH49" s="360">
        <f t="shared" si="64"/>
        <v>8.2489624780851862</v>
      </c>
      <c r="AI49" s="360">
        <f t="shared" si="65"/>
        <v>8.8458996554314481E-2</v>
      </c>
      <c r="AJ49" s="360">
        <f t="shared" si="66"/>
        <v>0</v>
      </c>
      <c r="AK49" s="360">
        <f t="shared" si="67"/>
        <v>8.9664605997405694E-2</v>
      </c>
      <c r="AL49" s="360">
        <f t="shared" si="68"/>
        <v>5.3222399999999989E-2</v>
      </c>
      <c r="AM49" s="360">
        <f t="shared" si="69"/>
        <v>4.4549999999999999E-2</v>
      </c>
      <c r="AN49" s="360">
        <f t="shared" si="70"/>
        <v>0.32155420121979256</v>
      </c>
      <c r="AO49" s="360">
        <f t="shared" si="71"/>
        <v>1.5749999999999998E-3</v>
      </c>
      <c r="AP49" s="360">
        <f t="shared" si="72"/>
        <v>0.25740000000000002</v>
      </c>
      <c r="AQ49" s="360">
        <f t="shared" si="26"/>
        <v>0.24596000000000001</v>
      </c>
      <c r="AR49" s="360">
        <f t="shared" si="73"/>
        <v>0.2288</v>
      </c>
      <c r="AS49" s="360">
        <f t="shared" si="74"/>
        <v>0.25897500000000001</v>
      </c>
      <c r="AT49" s="360">
        <f t="shared" si="75"/>
        <v>2.2444234302202712</v>
      </c>
      <c r="AU49">
        <f t="shared" si="76"/>
        <v>288</v>
      </c>
      <c r="AV49" s="542">
        <f t="shared" si="47"/>
        <v>0.99226712643194037</v>
      </c>
      <c r="AW49" s="551">
        <f t="shared" si="77"/>
        <v>32.771763476640096</v>
      </c>
      <c r="AX49" s="551">
        <f t="shared" si="78"/>
        <v>3.9659120279014166</v>
      </c>
      <c r="AY49" s="9"/>
      <c r="AZ49" s="4">
        <f t="shared" si="48"/>
        <v>99.226712643194034</v>
      </c>
      <c r="BA49" s="360">
        <f t="shared" si="79"/>
        <v>0.58457320147007796</v>
      </c>
      <c r="BB49" s="360">
        <f t="shared" si="80"/>
        <v>0.96722643433003985</v>
      </c>
      <c r="BC49" s="360">
        <f t="shared" si="81"/>
        <v>0.86241482833263416</v>
      </c>
      <c r="BD49" s="360">
        <f t="shared" si="82"/>
        <v>0.1043661059974057</v>
      </c>
      <c r="BE49" s="360">
        <f t="shared" si="83"/>
        <v>0.32155420121979256</v>
      </c>
    </row>
    <row r="50" spans="1:64" x14ac:dyDescent="0.25">
      <c r="A50" s="23" t="s">
        <v>80</v>
      </c>
      <c r="B50" s="5">
        <f>RdsonBotTc*1000000</f>
        <v>4000</v>
      </c>
      <c r="C50" s="440" t="s">
        <v>81</v>
      </c>
      <c r="D50" s="21" t="s">
        <v>104</v>
      </c>
      <c r="G50">
        <v>41</v>
      </c>
      <c r="H50" s="548">
        <f t="shared" si="49"/>
        <v>45</v>
      </c>
      <c r="I50" s="4">
        <f t="shared" si="50"/>
        <v>2</v>
      </c>
      <c r="J50" s="360">
        <f t="shared" si="84"/>
        <v>24.6</v>
      </c>
      <c r="K50" s="360">
        <f t="shared" si="51"/>
        <v>12.3</v>
      </c>
      <c r="L50" s="4">
        <f t="shared" si="52"/>
        <v>7.2888888888888896</v>
      </c>
      <c r="M50" s="360">
        <f t="shared" si="53"/>
        <v>0.53447700116330044</v>
      </c>
      <c r="N50" s="4">
        <f t="shared" si="54"/>
        <v>5.0923831692491328</v>
      </c>
      <c r="O50" s="4">
        <f t="shared" si="39"/>
        <v>14.846191584624567</v>
      </c>
      <c r="P50" s="4">
        <f t="shared" si="40"/>
        <v>9.7538084153754347</v>
      </c>
      <c r="Q50" s="4">
        <f t="shared" si="55"/>
        <v>0</v>
      </c>
      <c r="R50" s="4">
        <f t="shared" si="41"/>
        <v>12.387535288689904</v>
      </c>
      <c r="S50" s="360">
        <f t="shared" si="56"/>
        <v>0.28541891678308001</v>
      </c>
      <c r="T50" s="360">
        <f t="shared" si="57"/>
        <v>0.3</v>
      </c>
      <c r="U50" s="360">
        <f t="shared" si="58"/>
        <v>0.59909843898316062</v>
      </c>
      <c r="V50" s="4">
        <f t="shared" si="42"/>
        <v>1.4700443967913532</v>
      </c>
      <c r="W50" s="360">
        <f t="shared" si="10"/>
        <v>4.3220610570753066E-3</v>
      </c>
      <c r="X50" s="360">
        <f t="shared" si="43"/>
        <v>4.3220610570753066E-3</v>
      </c>
      <c r="Y50" s="4">
        <f t="shared" si="44"/>
        <v>6.1790254875950072</v>
      </c>
      <c r="Z50" s="360">
        <f t="shared" si="11"/>
        <v>5.7270533964523071E-2</v>
      </c>
      <c r="AA50" s="541">
        <f t="shared" si="45"/>
        <v>5.7270533964523071E-2</v>
      </c>
      <c r="AB50" s="360">
        <f t="shared" si="46"/>
        <v>9.0562711212899796</v>
      </c>
      <c r="AC50" s="360">
        <f t="shared" si="59"/>
        <v>0.10662086060900412</v>
      </c>
      <c r="AD50" s="360">
        <f t="shared" si="60"/>
        <v>0.36111103448275861</v>
      </c>
      <c r="AE50" s="360">
        <f t="shared" si="61"/>
        <v>0.36630000000000001</v>
      </c>
      <c r="AF50" s="360">
        <f t="shared" si="62"/>
        <v>0</v>
      </c>
      <c r="AG50" s="360">
        <f t="shared" si="63"/>
        <v>0.84777118935059081</v>
      </c>
      <c r="AH50" s="360">
        <f t="shared" si="64"/>
        <v>8.4519219060653175</v>
      </c>
      <c r="AI50" s="360">
        <f t="shared" si="65"/>
        <v>9.2865479078094823E-2</v>
      </c>
      <c r="AJ50" s="360">
        <f t="shared" si="66"/>
        <v>0</v>
      </c>
      <c r="AK50" s="360">
        <f t="shared" si="67"/>
        <v>9.4195094915750816E-2</v>
      </c>
      <c r="AL50" s="360">
        <f t="shared" si="68"/>
        <v>5.4552959999999998E-2</v>
      </c>
      <c r="AM50" s="360">
        <f t="shared" si="69"/>
        <v>4.4549999999999999E-2</v>
      </c>
      <c r="AN50" s="360">
        <f t="shared" si="70"/>
        <v>0.33759226716278284</v>
      </c>
      <c r="AO50" s="360">
        <f t="shared" si="71"/>
        <v>1.5749999999999998E-3</v>
      </c>
      <c r="AP50" s="360">
        <f t="shared" si="72"/>
        <v>0.25740000000000002</v>
      </c>
      <c r="AQ50" s="360">
        <f t="shared" si="26"/>
        <v>0.24596000000000001</v>
      </c>
      <c r="AR50" s="360">
        <f t="shared" si="73"/>
        <v>0.2288</v>
      </c>
      <c r="AS50" s="360">
        <f t="shared" si="74"/>
        <v>0.25897500000000001</v>
      </c>
      <c r="AT50" s="360">
        <f t="shared" si="75"/>
        <v>2.2983275454338838</v>
      </c>
      <c r="AU50">
        <f t="shared" si="76"/>
        <v>295.20000000000005</v>
      </c>
      <c r="AV50" s="542">
        <f t="shared" si="47"/>
        <v>0.99227448582855349</v>
      </c>
      <c r="AW50" s="551">
        <f t="shared" si="77"/>
        <v>33.332619195322451</v>
      </c>
      <c r="AX50" s="551">
        <f t="shared" si="78"/>
        <v>4.1380706067985313</v>
      </c>
      <c r="AY50" s="9"/>
      <c r="AZ50" s="4">
        <f t="shared" si="48"/>
        <v>99.227448582855345</v>
      </c>
      <c r="BA50" s="360">
        <f t="shared" si="79"/>
        <v>0.59909843898316062</v>
      </c>
      <c r="BB50" s="360">
        <f t="shared" si="80"/>
        <v>0.98651628426634164</v>
      </c>
      <c r="BC50" s="360">
        <f t="shared" si="81"/>
        <v>0.87717418935059077</v>
      </c>
      <c r="BD50" s="360">
        <f t="shared" si="82"/>
        <v>0.10889659491575082</v>
      </c>
      <c r="BE50" s="360">
        <f t="shared" si="83"/>
        <v>0.33759226716278284</v>
      </c>
    </row>
    <row r="51" spans="1:64" x14ac:dyDescent="0.25">
      <c r="A51" s="23" t="s">
        <v>67</v>
      </c>
      <c r="B51" s="5">
        <f>Qg_Q2*1000000000</f>
        <v>13</v>
      </c>
      <c r="C51" s="440" t="s">
        <v>65</v>
      </c>
      <c r="D51" s="21" t="s">
        <v>99</v>
      </c>
      <c r="G51">
        <v>42</v>
      </c>
      <c r="H51" s="548">
        <f t="shared" si="49"/>
        <v>45</v>
      </c>
      <c r="I51" s="4">
        <f t="shared" si="50"/>
        <v>2</v>
      </c>
      <c r="J51" s="360">
        <f t="shared" si="84"/>
        <v>25.2</v>
      </c>
      <c r="K51" s="360">
        <f t="shared" si="51"/>
        <v>12.6</v>
      </c>
      <c r="L51" s="4">
        <f t="shared" si="52"/>
        <v>7.4666666666666659</v>
      </c>
      <c r="M51" s="360">
        <f t="shared" si="53"/>
        <v>0.53450487832828308</v>
      </c>
      <c r="N51" s="4">
        <f t="shared" si="54"/>
        <v>5.0924184539356476</v>
      </c>
      <c r="O51" s="4">
        <f t="shared" si="39"/>
        <v>15.146209226967823</v>
      </c>
      <c r="P51" s="4">
        <f t="shared" si="40"/>
        <v>10.053790773032176</v>
      </c>
      <c r="Q51" s="4">
        <f t="shared" si="55"/>
        <v>0</v>
      </c>
      <c r="R51" s="4">
        <f t="shared" si="41"/>
        <v>12.685466506038791</v>
      </c>
      <c r="S51" s="360">
        <f t="shared" si="56"/>
        <v>0.29931317248504757</v>
      </c>
      <c r="T51" s="360">
        <f t="shared" si="57"/>
        <v>0.3</v>
      </c>
      <c r="U51" s="360">
        <f t="shared" si="58"/>
        <v>0.61401581418912243</v>
      </c>
      <c r="V51" s="4">
        <f t="shared" si="42"/>
        <v>1.4700545826029821</v>
      </c>
      <c r="W51" s="360">
        <f t="shared" si="10"/>
        <v>4.3221209516640562E-3</v>
      </c>
      <c r="X51" s="360">
        <f t="shared" si="43"/>
        <v>4.3221209516640562E-3</v>
      </c>
      <c r="Y51" s="4">
        <f t="shared" si="44"/>
        <v>6.3276120816718482</v>
      </c>
      <c r="Z51" s="360">
        <f t="shared" si="11"/>
        <v>6.0058011984179309E-2</v>
      </c>
      <c r="AA51" s="541">
        <f t="shared" si="45"/>
        <v>6.0058011984179309E-2</v>
      </c>
      <c r="AB51" s="360">
        <f t="shared" si="46"/>
        <v>9.2743243338850778</v>
      </c>
      <c r="AC51" s="360">
        <f t="shared" si="59"/>
        <v>0.11181701940512076</v>
      </c>
      <c r="AD51" s="360">
        <f t="shared" si="60"/>
        <v>0.3699186206896552</v>
      </c>
      <c r="AE51" s="360">
        <f t="shared" si="61"/>
        <v>0.36630000000000001</v>
      </c>
      <c r="AF51" s="360">
        <f t="shared" si="62"/>
        <v>0</v>
      </c>
      <c r="AG51" s="360">
        <f t="shared" si="63"/>
        <v>0.86269822032854859</v>
      </c>
      <c r="AH51" s="360">
        <f t="shared" si="64"/>
        <v>8.6549389729644624</v>
      </c>
      <c r="AI51" s="360">
        <f t="shared" si="65"/>
        <v>9.7380359213460888E-2</v>
      </c>
      <c r="AJ51" s="360">
        <f t="shared" si="66"/>
        <v>0</v>
      </c>
      <c r="AK51" s="360">
        <f t="shared" si="67"/>
        <v>9.884342120866535E-2</v>
      </c>
      <c r="AL51" s="360">
        <f t="shared" si="68"/>
        <v>5.5883519999999992E-2</v>
      </c>
      <c r="AM51" s="360">
        <f t="shared" si="69"/>
        <v>4.4549999999999999E-2</v>
      </c>
      <c r="AN51" s="360">
        <f t="shared" si="70"/>
        <v>0.35402633304683045</v>
      </c>
      <c r="AO51" s="360">
        <f t="shared" si="71"/>
        <v>1.5749999999999998E-3</v>
      </c>
      <c r="AP51" s="360">
        <f t="shared" si="72"/>
        <v>0.25740000000000002</v>
      </c>
      <c r="AQ51" s="360">
        <f t="shared" si="26"/>
        <v>0.24596000000000001</v>
      </c>
      <c r="AR51" s="360">
        <f t="shared" si="73"/>
        <v>0.2288</v>
      </c>
      <c r="AS51" s="360">
        <f t="shared" si="74"/>
        <v>0.25897500000000001</v>
      </c>
      <c r="AT51" s="360">
        <f t="shared" si="75"/>
        <v>2.3533724417090101</v>
      </c>
      <c r="AU51">
        <f t="shared" si="76"/>
        <v>302.39999999999998</v>
      </c>
      <c r="AV51" s="542">
        <f t="shared" si="47"/>
        <v>0.99227778047916726</v>
      </c>
      <c r="AW51" s="551">
        <f t="shared" si="77"/>
        <v>33.899846372484845</v>
      </c>
      <c r="AX51" s="551">
        <f t="shared" si="78"/>
        <v>4.3147070059292831</v>
      </c>
      <c r="AY51" s="9"/>
      <c r="AZ51" s="4">
        <f t="shared" si="48"/>
        <v>99.227778047916729</v>
      </c>
      <c r="BA51" s="360">
        <f t="shared" si="79"/>
        <v>0.61401581418912243</v>
      </c>
      <c r="BB51" s="360">
        <f t="shared" si="80"/>
        <v>1.0060916415372141</v>
      </c>
      <c r="BC51" s="360">
        <f t="shared" si="81"/>
        <v>0.89210122032854855</v>
      </c>
      <c r="BD51" s="360">
        <f t="shared" si="82"/>
        <v>0.11354492120866536</v>
      </c>
      <c r="BE51" s="360">
        <f t="shared" si="83"/>
        <v>0.35402633304683045</v>
      </c>
    </row>
    <row r="52" spans="1:64" x14ac:dyDescent="0.25">
      <c r="A52" s="23" t="s">
        <v>91</v>
      </c>
      <c r="B52" s="5">
        <f>Rgate2</f>
        <v>0.5</v>
      </c>
      <c r="C52" s="444" t="s">
        <v>116</v>
      </c>
      <c r="D52" s="21" t="s">
        <v>100</v>
      </c>
      <c r="G52">
        <v>43</v>
      </c>
      <c r="H52" s="548">
        <f t="shared" si="49"/>
        <v>45</v>
      </c>
      <c r="I52" s="4">
        <f t="shared" si="50"/>
        <v>2</v>
      </c>
      <c r="J52" s="360">
        <f t="shared" si="84"/>
        <v>25.8</v>
      </c>
      <c r="K52" s="360">
        <f t="shared" si="51"/>
        <v>12.9</v>
      </c>
      <c r="L52" s="4">
        <f t="shared" si="52"/>
        <v>7.6444444444444448</v>
      </c>
      <c r="M52" s="360">
        <f t="shared" si="53"/>
        <v>0.53453275467605099</v>
      </c>
      <c r="N52" s="4">
        <f t="shared" si="54"/>
        <v>5.0924537068115701</v>
      </c>
      <c r="O52" s="4">
        <f t="shared" si="39"/>
        <v>15.446226853405786</v>
      </c>
      <c r="P52" s="4">
        <f t="shared" si="40"/>
        <v>10.353773146594214</v>
      </c>
      <c r="Q52" s="4">
        <f t="shared" si="55"/>
        <v>0</v>
      </c>
      <c r="R52" s="4">
        <f t="shared" si="41"/>
        <v>12.983492996737624</v>
      </c>
      <c r="S52" s="360">
        <f t="shared" si="56"/>
        <v>0.31354222813718302</v>
      </c>
      <c r="T52" s="360">
        <f t="shared" si="57"/>
        <v>0.3</v>
      </c>
      <c r="U52" s="360">
        <f t="shared" si="58"/>
        <v>0.62932789784266119</v>
      </c>
      <c r="V52" s="4">
        <f t="shared" si="42"/>
        <v>1.4700647592316838</v>
      </c>
      <c r="W52" s="360">
        <f t="shared" si="10"/>
        <v>4.3221807926698171E-3</v>
      </c>
      <c r="X52" s="360">
        <f t="shared" si="43"/>
        <v>4.3221807926698171E-3</v>
      </c>
      <c r="Y52" s="4">
        <f t="shared" si="44"/>
        <v>6.4762450304921497</v>
      </c>
      <c r="Z52" s="360">
        <f t="shared" si="11"/>
        <v>6.2912624542461396E-2</v>
      </c>
      <c r="AA52" s="541">
        <f t="shared" si="45"/>
        <v>6.2912624542461396E-2</v>
      </c>
      <c r="AB52" s="360">
        <f t="shared" si="46"/>
        <v>9.4924585492009665</v>
      </c>
      <c r="AC52" s="360">
        <f t="shared" si="59"/>
        <v>0.11713880010078807</v>
      </c>
      <c r="AD52" s="360">
        <f t="shared" si="60"/>
        <v>0.37872620689655173</v>
      </c>
      <c r="AE52" s="360">
        <f t="shared" si="61"/>
        <v>0.36630000000000001</v>
      </c>
      <c r="AF52" s="360">
        <f t="shared" si="62"/>
        <v>0</v>
      </c>
      <c r="AG52" s="360">
        <f t="shared" si="63"/>
        <v>0.87779421874831698</v>
      </c>
      <c r="AH52" s="360">
        <f t="shared" si="64"/>
        <v>8.8580088670104882</v>
      </c>
      <c r="AI52" s="360">
        <f t="shared" si="65"/>
        <v>0.10200361741444736</v>
      </c>
      <c r="AJ52" s="360">
        <f t="shared" si="66"/>
        <v>0</v>
      </c>
      <c r="AK52" s="360">
        <f t="shared" si="67"/>
        <v>0.10361004451426831</v>
      </c>
      <c r="AL52" s="360">
        <f t="shared" si="68"/>
        <v>5.7214079999999994E-2</v>
      </c>
      <c r="AM52" s="360">
        <f t="shared" si="69"/>
        <v>4.4549999999999999E-2</v>
      </c>
      <c r="AN52" s="360">
        <f t="shared" si="70"/>
        <v>0.37085639887193689</v>
      </c>
      <c r="AO52" s="360">
        <f t="shared" si="71"/>
        <v>1.5749999999999998E-3</v>
      </c>
      <c r="AP52" s="360">
        <f t="shared" si="72"/>
        <v>0.25740000000000002</v>
      </c>
      <c r="AQ52" s="360">
        <f t="shared" si="26"/>
        <v>0.24596000000000001</v>
      </c>
      <c r="AR52" s="360">
        <f t="shared" si="73"/>
        <v>0.2288</v>
      </c>
      <c r="AS52" s="360">
        <f t="shared" si="74"/>
        <v>0.25897500000000001</v>
      </c>
      <c r="AT52" s="360">
        <f t="shared" si="75"/>
        <v>2.4095624453123143</v>
      </c>
      <c r="AU52">
        <f t="shared" si="76"/>
        <v>309.60000000000002</v>
      </c>
      <c r="AV52" s="542">
        <f t="shared" si="47"/>
        <v>0.99227728013709626</v>
      </c>
      <c r="AW52" s="551">
        <f t="shared" si="77"/>
        <v>34.473494312436046</v>
      </c>
      <c r="AX52" s="551">
        <f t="shared" si="78"/>
        <v>4.495838691542196</v>
      </c>
      <c r="AY52" s="9"/>
      <c r="AZ52" s="4">
        <f t="shared" si="48"/>
        <v>99.227728013709623</v>
      </c>
      <c r="BA52" s="360">
        <f t="shared" si="79"/>
        <v>0.62932789784266119</v>
      </c>
      <c r="BB52" s="360">
        <f t="shared" si="80"/>
        <v>1.0259542632625853</v>
      </c>
      <c r="BC52" s="360">
        <f t="shared" si="81"/>
        <v>0.90719721874831694</v>
      </c>
      <c r="BD52" s="360">
        <f t="shared" si="82"/>
        <v>0.11831154451426831</v>
      </c>
      <c r="BE52" s="360">
        <f t="shared" si="83"/>
        <v>0.37085639887193689</v>
      </c>
    </row>
    <row r="53" spans="1:64" x14ac:dyDescent="0.25">
      <c r="A53" s="23" t="s">
        <v>72</v>
      </c>
      <c r="B53" s="5">
        <f>Vsd_Q2</f>
        <v>0</v>
      </c>
      <c r="C53" s="440" t="s">
        <v>0</v>
      </c>
      <c r="D53" s="21" t="s">
        <v>105</v>
      </c>
      <c r="G53">
        <v>44</v>
      </c>
      <c r="H53" s="548">
        <f t="shared" si="49"/>
        <v>45</v>
      </c>
      <c r="I53" s="4">
        <f t="shared" si="50"/>
        <v>2</v>
      </c>
      <c r="J53" s="360">
        <f t="shared" si="84"/>
        <v>26.4</v>
      </c>
      <c r="K53" s="360">
        <f t="shared" si="51"/>
        <v>13.2</v>
      </c>
      <c r="L53" s="4">
        <f t="shared" si="52"/>
        <v>7.8222222222222211</v>
      </c>
      <c r="M53" s="360">
        <f t="shared" si="53"/>
        <v>0.53456063020663991</v>
      </c>
      <c r="N53" s="4">
        <f t="shared" si="54"/>
        <v>5.0924889278782999</v>
      </c>
      <c r="O53" s="4">
        <f t="shared" si="39"/>
        <v>15.746244463939149</v>
      </c>
      <c r="P53" s="4">
        <f t="shared" si="40"/>
        <v>10.653755536060849</v>
      </c>
      <c r="Q53" s="4">
        <f t="shared" si="55"/>
        <v>0</v>
      </c>
      <c r="R53" s="4">
        <f t="shared" si="41"/>
        <v>13.281608347261519</v>
      </c>
      <c r="S53" s="360">
        <f t="shared" si="56"/>
        <v>0.32810608373948719</v>
      </c>
      <c r="T53" s="360">
        <f t="shared" si="57"/>
        <v>0.3</v>
      </c>
      <c r="U53" s="360">
        <f t="shared" si="58"/>
        <v>0.64503733771906702</v>
      </c>
      <c r="V53" s="4">
        <f t="shared" si="42"/>
        <v>1.4700749266778625</v>
      </c>
      <c r="W53" s="360">
        <f t="shared" si="10"/>
        <v>4.322240580093846E-3</v>
      </c>
      <c r="X53" s="360">
        <f t="shared" si="43"/>
        <v>4.322240580093846E-3</v>
      </c>
      <c r="Y53" s="4">
        <f t="shared" si="44"/>
        <v>6.624921133064321</v>
      </c>
      <c r="Z53" s="360">
        <f t="shared" si="11"/>
        <v>6.5834370028983374E-2</v>
      </c>
      <c r="AA53" s="541">
        <f t="shared" si="45"/>
        <v>6.5834370028983374E-2</v>
      </c>
      <c r="AB53" s="360">
        <f t="shared" si="46"/>
        <v>9.7106690825815267</v>
      </c>
      <c r="AC53" s="360">
        <f t="shared" si="59"/>
        <v>0.12258622224082617</v>
      </c>
      <c r="AD53" s="360">
        <f t="shared" si="60"/>
        <v>0.38753379310344827</v>
      </c>
      <c r="AE53" s="360">
        <f t="shared" si="61"/>
        <v>0.36630000000000001</v>
      </c>
      <c r="AF53" s="360">
        <f t="shared" si="62"/>
        <v>0</v>
      </c>
      <c r="AG53" s="360">
        <f t="shared" si="63"/>
        <v>0.89306050622525068</v>
      </c>
      <c r="AH53" s="360">
        <f t="shared" si="64"/>
        <v>9.0611272068458533</v>
      </c>
      <c r="AI53" s="360">
        <f t="shared" si="65"/>
        <v>0.10673523413623477</v>
      </c>
      <c r="AJ53" s="360">
        <f t="shared" si="66"/>
        <v>0</v>
      </c>
      <c r="AK53" s="360">
        <f t="shared" si="67"/>
        <v>0.1084954375983198</v>
      </c>
      <c r="AL53" s="360">
        <f t="shared" si="68"/>
        <v>5.8544639999999988E-2</v>
      </c>
      <c r="AM53" s="360">
        <f t="shared" si="69"/>
        <v>4.4549999999999999E-2</v>
      </c>
      <c r="AN53" s="360">
        <f t="shared" si="70"/>
        <v>0.38808246463810314</v>
      </c>
      <c r="AO53" s="360">
        <f t="shared" si="71"/>
        <v>1.5749999999999998E-3</v>
      </c>
      <c r="AP53" s="360">
        <f t="shared" si="72"/>
        <v>0.25740000000000002</v>
      </c>
      <c r="AQ53" s="360">
        <f t="shared" si="26"/>
        <v>0.24596000000000001</v>
      </c>
      <c r="AR53" s="360">
        <f t="shared" si="73"/>
        <v>0.2288</v>
      </c>
      <c r="AS53" s="360">
        <f t="shared" si="74"/>
        <v>0.25897500000000001</v>
      </c>
      <c r="AT53" s="360">
        <f t="shared" si="75"/>
        <v>2.4669019967898178</v>
      </c>
      <c r="AU53">
        <f t="shared" si="76"/>
        <v>316.79999999999995</v>
      </c>
      <c r="AV53" s="542">
        <f t="shared" si="47"/>
        <v>0.9922732297605511</v>
      </c>
      <c r="AW53" s="551">
        <f t="shared" si="77"/>
        <v>35.053613236559528</v>
      </c>
      <c r="AX53" s="551">
        <f t="shared" si="78"/>
        <v>4.6814836287361521</v>
      </c>
      <c r="AY53" s="9"/>
      <c r="AZ53" s="4">
        <f t="shared" si="48"/>
        <v>99.227322976055106</v>
      </c>
      <c r="BA53" s="360">
        <f t="shared" si="79"/>
        <v>0.64503733771906702</v>
      </c>
      <c r="BB53" s="360">
        <f t="shared" si="80"/>
        <v>1.0461059438235705</v>
      </c>
      <c r="BC53" s="360">
        <f t="shared" si="81"/>
        <v>0.92246350622525064</v>
      </c>
      <c r="BD53" s="360">
        <f t="shared" si="82"/>
        <v>0.1231969375983198</v>
      </c>
      <c r="BE53" s="360">
        <f t="shared" si="83"/>
        <v>0.38808246463810314</v>
      </c>
    </row>
    <row r="54" spans="1:64" x14ac:dyDescent="0.25">
      <c r="A54" s="23" t="s">
        <v>73</v>
      </c>
      <c r="B54" s="5">
        <f>Qrr_Q2*1000000000</f>
        <v>0</v>
      </c>
      <c r="C54" s="440" t="s">
        <v>65</v>
      </c>
      <c r="D54" s="21" t="s">
        <v>110</v>
      </c>
      <c r="G54">
        <v>45</v>
      </c>
      <c r="H54" s="548">
        <f t="shared" si="49"/>
        <v>45</v>
      </c>
      <c r="I54" s="4">
        <f t="shared" si="50"/>
        <v>2</v>
      </c>
      <c r="J54" s="360">
        <f t="shared" si="84"/>
        <v>27</v>
      </c>
      <c r="K54" s="360">
        <f t="shared" si="51"/>
        <v>13.5</v>
      </c>
      <c r="L54" s="4">
        <f t="shared" si="52"/>
        <v>8</v>
      </c>
      <c r="M54" s="360">
        <f t="shared" si="53"/>
        <v>0.53458850492008614</v>
      </c>
      <c r="N54" s="4">
        <f t="shared" si="54"/>
        <v>5.092524117137236</v>
      </c>
      <c r="O54" s="4">
        <f t="shared" si="39"/>
        <v>16.046262058568619</v>
      </c>
      <c r="P54" s="4">
        <f t="shared" si="40"/>
        <v>10.953737941431381</v>
      </c>
      <c r="Q54" s="4">
        <f t="shared" si="55"/>
        <v>0</v>
      </c>
      <c r="R54" s="4">
        <f t="shared" si="41"/>
        <v>13.579806705434679</v>
      </c>
      <c r="S54" s="360">
        <f t="shared" si="56"/>
        <v>0.34300473929196179</v>
      </c>
      <c r="T54" s="360">
        <f t="shared" si="57"/>
        <v>0.3</v>
      </c>
      <c r="U54" s="360">
        <f t="shared" si="58"/>
        <v>0.66114685979415322</v>
      </c>
      <c r="V54" s="4">
        <f t="shared" si="42"/>
        <v>1.4700850849419222</v>
      </c>
      <c r="W54" s="360">
        <f t="shared" si="10"/>
        <v>4.3223003139373972E-3</v>
      </c>
      <c r="X54" s="360">
        <f t="shared" si="43"/>
        <v>4.3223003139373972E-3</v>
      </c>
      <c r="Y54" s="4">
        <f t="shared" si="44"/>
        <v>6.7736374684477747</v>
      </c>
      <c r="Z54" s="360">
        <f t="shared" si="11"/>
        <v>6.8823246830939364E-2</v>
      </c>
      <c r="AA54" s="541">
        <f t="shared" si="45"/>
        <v>6.8823246830939364E-2</v>
      </c>
      <c r="AB54" s="360">
        <f t="shared" si="46"/>
        <v>9.9289516593146629</v>
      </c>
      <c r="AC54" s="360">
        <f t="shared" si="59"/>
        <v>0.1281593053689096</v>
      </c>
      <c r="AD54" s="360">
        <f t="shared" si="60"/>
        <v>0.39634137931034485</v>
      </c>
      <c r="AE54" s="360">
        <f t="shared" si="61"/>
        <v>0.36630000000000001</v>
      </c>
      <c r="AF54" s="360">
        <f t="shared" si="62"/>
        <v>0</v>
      </c>
      <c r="AG54" s="360">
        <f t="shared" si="63"/>
        <v>0.90849842887031473</v>
      </c>
      <c r="AH54" s="360">
        <f t="shared" si="64"/>
        <v>9.2642899945954458</v>
      </c>
      <c r="AI54" s="360">
        <f t="shared" si="65"/>
        <v>0.11157518983514966</v>
      </c>
      <c r="AJ54" s="360">
        <f t="shared" si="66"/>
        <v>0</v>
      </c>
      <c r="AK54" s="360">
        <f t="shared" si="67"/>
        <v>0.1135000864767825</v>
      </c>
      <c r="AL54" s="360">
        <f t="shared" si="68"/>
        <v>5.987519999999999E-2</v>
      </c>
      <c r="AM54" s="360">
        <f t="shared" si="69"/>
        <v>4.4549999999999999E-2</v>
      </c>
      <c r="AN54" s="360">
        <f t="shared" si="70"/>
        <v>0.40570453034533116</v>
      </c>
      <c r="AO54" s="360">
        <f t="shared" si="71"/>
        <v>1.5749999999999998E-3</v>
      </c>
      <c r="AP54" s="360">
        <f t="shared" si="72"/>
        <v>0.25740000000000002</v>
      </c>
      <c r="AQ54" s="360">
        <f t="shared" si="26"/>
        <v>0.24596000000000001</v>
      </c>
      <c r="AR54" s="360">
        <f t="shared" si="73"/>
        <v>0.2288</v>
      </c>
      <c r="AS54" s="360">
        <f t="shared" si="74"/>
        <v>0.25897500000000001</v>
      </c>
      <c r="AT54" s="360">
        <f t="shared" si="75"/>
        <v>2.5253956526314587</v>
      </c>
      <c r="AU54">
        <f t="shared" si="76"/>
        <v>324</v>
      </c>
      <c r="AV54" s="542">
        <f t="shared" si="47"/>
        <v>0.99226585225451169</v>
      </c>
      <c r="AW54" s="551">
        <f t="shared" si="77"/>
        <v>35.640254297071955</v>
      </c>
      <c r="AX54" s="551">
        <f t="shared" si="78"/>
        <v>4.8716602861177352</v>
      </c>
      <c r="AY54" s="9"/>
      <c r="AZ54" s="4">
        <f t="shared" si="48"/>
        <v>99.226585225451174</v>
      </c>
      <c r="BA54" s="360">
        <f t="shared" si="79"/>
        <v>0.66114685979415322</v>
      </c>
      <c r="BB54" s="360">
        <f t="shared" si="80"/>
        <v>1.0665485153470973</v>
      </c>
      <c r="BC54" s="360">
        <f t="shared" si="81"/>
        <v>0.93790142887031469</v>
      </c>
      <c r="BD54" s="360">
        <f t="shared" si="82"/>
        <v>0.12820158647678251</v>
      </c>
      <c r="BE54" s="360">
        <f t="shared" si="83"/>
        <v>0.40570453034533116</v>
      </c>
    </row>
    <row r="55" spans="1:64" x14ac:dyDescent="0.25">
      <c r="A55" s="23" t="s">
        <v>74</v>
      </c>
      <c r="B55" s="5">
        <f>Trr_Q2*1000000000</f>
        <v>40</v>
      </c>
      <c r="C55" s="440" t="s">
        <v>75</v>
      </c>
      <c r="D55" s="76" t="s">
        <v>106</v>
      </c>
      <c r="G55">
        <v>46</v>
      </c>
      <c r="H55" s="548">
        <f t="shared" si="49"/>
        <v>45</v>
      </c>
      <c r="I55" s="4">
        <f t="shared" si="50"/>
        <v>2</v>
      </c>
      <c r="J55" s="360">
        <f t="shared" si="84"/>
        <v>27.6</v>
      </c>
      <c r="K55" s="360">
        <f t="shared" si="51"/>
        <v>13.8</v>
      </c>
      <c r="L55" s="4">
        <f t="shared" si="52"/>
        <v>8.1777777777777789</v>
      </c>
      <c r="M55" s="360">
        <f t="shared" si="53"/>
        <v>0.53461637881642521</v>
      </c>
      <c r="N55" s="4">
        <f t="shared" si="54"/>
        <v>5.0925592745897736</v>
      </c>
      <c r="O55" s="4">
        <f t="shared" si="39"/>
        <v>16.346279637294888</v>
      </c>
      <c r="P55" s="4">
        <f t="shared" si="40"/>
        <v>11.253720362705113</v>
      </c>
      <c r="Q55" s="4">
        <f t="shared" si="55"/>
        <v>0</v>
      </c>
      <c r="R55" s="4">
        <f t="shared" si="41"/>
        <v>13.878082720502169</v>
      </c>
      <c r="S55" s="360">
        <f t="shared" si="56"/>
        <v>0.35823819479460767</v>
      </c>
      <c r="T55" s="360">
        <f t="shared" si="57"/>
        <v>0.3</v>
      </c>
      <c r="U55" s="360">
        <f t="shared" si="58"/>
        <v>0.67765926946492339</v>
      </c>
      <c r="V55" s="4">
        <f t="shared" si="42"/>
        <v>1.4700952340242657</v>
      </c>
      <c r="W55" s="360">
        <f t="shared" si="10"/>
        <v>4.3223599942017205E-3</v>
      </c>
      <c r="X55" s="360">
        <f t="shared" si="43"/>
        <v>4.3223599942017205E-3</v>
      </c>
      <c r="Y55" s="4">
        <f t="shared" si="44"/>
        <v>6.9223913658553853</v>
      </c>
      <c r="Z55" s="360">
        <f t="shared" si="11"/>
        <v>7.1879253333103771E-2</v>
      </c>
      <c r="AA55" s="541">
        <f t="shared" si="45"/>
        <v>7.1879253333103771E-2</v>
      </c>
      <c r="AB55" s="360">
        <f t="shared" si="46"/>
        <v>10.147302370867864</v>
      </c>
      <c r="AC55" s="360">
        <f t="shared" si="59"/>
        <v>0.13385806902756675</v>
      </c>
      <c r="AD55" s="360">
        <f t="shared" si="60"/>
        <v>0.40514896551724139</v>
      </c>
      <c r="AE55" s="360">
        <f t="shared" si="61"/>
        <v>0.36630000000000001</v>
      </c>
      <c r="AF55" s="360">
        <f t="shared" si="62"/>
        <v>0</v>
      </c>
      <c r="AG55" s="360">
        <f t="shared" si="63"/>
        <v>0.92410935766120694</v>
      </c>
      <c r="AH55" s="360">
        <f t="shared" si="64"/>
        <v>9.4674935749268041</v>
      </c>
      <c r="AI55" s="360">
        <f t="shared" si="65"/>
        <v>0.11652346496866441</v>
      </c>
      <c r="AJ55" s="360">
        <f t="shared" si="66"/>
        <v>0</v>
      </c>
      <c r="AK55" s="360">
        <f t="shared" si="67"/>
        <v>0.11862449054221894</v>
      </c>
      <c r="AL55" s="360">
        <f t="shared" si="68"/>
        <v>6.1205759999999998E-2</v>
      </c>
      <c r="AM55" s="360">
        <f t="shared" si="69"/>
        <v>4.4549999999999999E-2</v>
      </c>
      <c r="AN55" s="360">
        <f t="shared" si="70"/>
        <v>0.423722595993622</v>
      </c>
      <c r="AO55" s="360">
        <f t="shared" si="71"/>
        <v>1.5749999999999998E-3</v>
      </c>
      <c r="AP55" s="360">
        <f t="shared" si="72"/>
        <v>0.25740000000000002</v>
      </c>
      <c r="AQ55" s="360">
        <f t="shared" si="26"/>
        <v>0.24596000000000001</v>
      </c>
      <c r="AR55" s="360">
        <f t="shared" si="73"/>
        <v>0.2288</v>
      </c>
      <c r="AS55" s="360">
        <f t="shared" si="74"/>
        <v>0.25897500000000001</v>
      </c>
      <c r="AT55" s="360">
        <f t="shared" si="75"/>
        <v>2.5850480869892771</v>
      </c>
      <c r="AU55">
        <f t="shared" si="76"/>
        <v>331.20000000000005</v>
      </c>
      <c r="AV55" s="542">
        <f t="shared" si="47"/>
        <v>0.99225535085587302</v>
      </c>
      <c r="AW55" s="551">
        <f t="shared" si="77"/>
        <v>36.233469591125861</v>
      </c>
      <c r="AX55" s="551">
        <f t="shared" si="78"/>
        <v>5.0663876406043196</v>
      </c>
      <c r="AY55" s="9"/>
      <c r="AZ55" s="4">
        <f t="shared" si="48"/>
        <v>99.225535085587296</v>
      </c>
      <c r="BA55" s="360">
        <f t="shared" si="79"/>
        <v>0.67765926946492339</v>
      </c>
      <c r="BB55" s="360">
        <f t="shared" si="80"/>
        <v>1.0872838482034259</v>
      </c>
      <c r="BC55" s="360">
        <f t="shared" si="81"/>
        <v>0.9535123576612069</v>
      </c>
      <c r="BD55" s="360">
        <f t="shared" si="82"/>
        <v>0.13332599054221894</v>
      </c>
      <c r="BE55" s="360">
        <f t="shared" si="83"/>
        <v>0.423722595993622</v>
      </c>
    </row>
    <row r="56" spans="1:64" ht="15.5" x14ac:dyDescent="0.4">
      <c r="A56" s="446" t="s">
        <v>471</v>
      </c>
      <c r="B56" s="5">
        <f>ThetaJA_Q2</f>
        <v>38</v>
      </c>
      <c r="C56" s="441" t="s">
        <v>205</v>
      </c>
      <c r="D56" s="76" t="s">
        <v>103</v>
      </c>
      <c r="E56" s="2"/>
      <c r="G56">
        <v>47</v>
      </c>
      <c r="H56" s="548">
        <f t="shared" si="49"/>
        <v>45</v>
      </c>
      <c r="I56" s="4">
        <f t="shared" si="50"/>
        <v>2</v>
      </c>
      <c r="J56" s="360">
        <f t="shared" si="84"/>
        <v>28.2</v>
      </c>
      <c r="K56" s="360">
        <f t="shared" si="51"/>
        <v>14.1</v>
      </c>
      <c r="L56" s="4">
        <f t="shared" si="52"/>
        <v>8.3555555555555543</v>
      </c>
      <c r="M56" s="360">
        <f t="shared" si="53"/>
        <v>0.53464425189569331</v>
      </c>
      <c r="N56" s="4">
        <f t="shared" si="54"/>
        <v>5.0925944002373154</v>
      </c>
      <c r="O56" s="4">
        <f t="shared" si="39"/>
        <v>16.646297200118656</v>
      </c>
      <c r="P56" s="4">
        <f t="shared" si="40"/>
        <v>11.553702799881343</v>
      </c>
      <c r="Q56" s="4">
        <f t="shared" si="55"/>
        <v>0</v>
      </c>
      <c r="R56" s="4">
        <f t="shared" si="41"/>
        <v>14.176431490697652</v>
      </c>
      <c r="S56" s="360">
        <f t="shared" si="56"/>
        <v>0.37380645024742598</v>
      </c>
      <c r="T56" s="360">
        <f t="shared" si="57"/>
        <v>0.3</v>
      </c>
      <c r="U56" s="360">
        <f t="shared" si="58"/>
        <v>0.69457745281203109</v>
      </c>
      <c r="V56" s="4">
        <f t="shared" si="42"/>
        <v>1.4701053739252974</v>
      </c>
      <c r="W56" s="360">
        <f t="shared" si="10"/>
        <v>4.3224196208880772E-3</v>
      </c>
      <c r="X56" s="360">
        <f t="shared" si="43"/>
        <v>4.3224196208880772E-3</v>
      </c>
      <c r="Y56" s="4">
        <f t="shared" si="44"/>
        <v>7.0711803784955931</v>
      </c>
      <c r="Z56" s="360">
        <f t="shared" si="11"/>
        <v>7.500238791783162E-2</v>
      </c>
      <c r="AA56" s="541">
        <f t="shared" si="45"/>
        <v>7.500238791783162E-2</v>
      </c>
      <c r="AB56" s="360">
        <f t="shared" si="46"/>
        <v>10.365717636597926</v>
      </c>
      <c r="AC56" s="360">
        <f t="shared" si="59"/>
        <v>0.13968253275818049</v>
      </c>
      <c r="AD56" s="360">
        <f t="shared" si="60"/>
        <v>0.41395655172413792</v>
      </c>
      <c r="AE56" s="360">
        <f t="shared" si="61"/>
        <v>0.36630000000000001</v>
      </c>
      <c r="AF56" s="360">
        <f t="shared" si="62"/>
        <v>0</v>
      </c>
      <c r="AG56" s="360">
        <f t="shared" si="63"/>
        <v>0.93989468882274851</v>
      </c>
      <c r="AH56" s="360">
        <f t="shared" si="64"/>
        <v>9.6707345992311655</v>
      </c>
      <c r="AI56" s="360">
        <f t="shared" si="65"/>
        <v>0.12158003999539679</v>
      </c>
      <c r="AJ56" s="360">
        <f t="shared" si="66"/>
        <v>0</v>
      </c>
      <c r="AK56" s="360">
        <f t="shared" si="67"/>
        <v>0.1238691626940874</v>
      </c>
      <c r="AL56" s="360">
        <f t="shared" si="68"/>
        <v>6.2536319999999992E-2</v>
      </c>
      <c r="AM56" s="360">
        <f t="shared" si="69"/>
        <v>4.4549999999999999E-2</v>
      </c>
      <c r="AN56" s="360">
        <f t="shared" si="70"/>
        <v>0.44213666158297699</v>
      </c>
      <c r="AO56" s="360">
        <f t="shared" si="71"/>
        <v>1.5749999999999998E-3</v>
      </c>
      <c r="AP56" s="360">
        <f t="shared" si="72"/>
        <v>0.25740000000000002</v>
      </c>
      <c r="AQ56" s="360">
        <f t="shared" si="26"/>
        <v>0.24596000000000001</v>
      </c>
      <c r="AR56" s="360">
        <f t="shared" si="73"/>
        <v>0.2288</v>
      </c>
      <c r="AS56" s="360">
        <f t="shared" si="74"/>
        <v>0.25897500000000001</v>
      </c>
      <c r="AT56" s="360">
        <f t="shared" si="75"/>
        <v>2.6458640934505637</v>
      </c>
      <c r="AU56">
        <f t="shared" si="76"/>
        <v>338.4</v>
      </c>
      <c r="AV56" s="542">
        <f t="shared" si="47"/>
        <v>0.99224191121483429</v>
      </c>
      <c r="AW56" s="551">
        <f t="shared" si="77"/>
        <v>36.833312175264439</v>
      </c>
      <c r="AX56" s="551">
        <f t="shared" si="78"/>
        <v>5.2656851823753215</v>
      </c>
      <c r="AY56" s="9"/>
      <c r="AZ56" s="4">
        <f t="shared" si="48"/>
        <v>99.224191121483429</v>
      </c>
      <c r="BA56" s="360">
        <f t="shared" si="79"/>
        <v>0.69457745281203109</v>
      </c>
      <c r="BB56" s="360">
        <f t="shared" si="80"/>
        <v>1.108313851516836</v>
      </c>
      <c r="BC56" s="360">
        <f t="shared" si="81"/>
        <v>0.96929768882274847</v>
      </c>
      <c r="BD56" s="360">
        <f t="shared" si="82"/>
        <v>0.13857066269408741</v>
      </c>
      <c r="BE56" s="360">
        <f t="shared" si="83"/>
        <v>0.44213666158297699</v>
      </c>
      <c r="BK56" s="18"/>
      <c r="BL56" s="19"/>
    </row>
    <row r="57" spans="1:64" ht="13" x14ac:dyDescent="0.3">
      <c r="A57" s="24" t="s">
        <v>224</v>
      </c>
      <c r="B57" s="15" t="s">
        <v>111</v>
      </c>
      <c r="C57" s="24" t="s">
        <v>76</v>
      </c>
      <c r="D57" s="24" t="s">
        <v>213</v>
      </c>
      <c r="G57">
        <v>48</v>
      </c>
      <c r="H57" s="548">
        <f t="shared" si="49"/>
        <v>45</v>
      </c>
      <c r="I57" s="4">
        <f t="shared" si="50"/>
        <v>2</v>
      </c>
      <c r="J57" s="360">
        <f t="shared" si="84"/>
        <v>28.8</v>
      </c>
      <c r="K57" s="360">
        <f t="shared" si="51"/>
        <v>14.4</v>
      </c>
      <c r="L57" s="4">
        <f t="shared" si="52"/>
        <v>8.5333333333333332</v>
      </c>
      <c r="M57" s="360">
        <f t="shared" si="53"/>
        <v>0.53467212415792609</v>
      </c>
      <c r="N57" s="4">
        <f t="shared" si="54"/>
        <v>5.0926294940812564</v>
      </c>
      <c r="O57" s="4">
        <f t="shared" si="39"/>
        <v>16.946314747040628</v>
      </c>
      <c r="P57" s="4">
        <f t="shared" si="40"/>
        <v>11.853685252959373</v>
      </c>
      <c r="Q57" s="4">
        <f t="shared" si="55"/>
        <v>0</v>
      </c>
      <c r="R57" s="4">
        <f t="shared" si="41"/>
        <v>14.474848517238405</v>
      </c>
      <c r="S57" s="360">
        <f t="shared" si="56"/>
        <v>0.38970950565041784</v>
      </c>
      <c r="T57" s="360">
        <f t="shared" si="57"/>
        <v>0.3</v>
      </c>
      <c r="U57" s="360">
        <f t="shared" si="58"/>
        <v>0.71190437790511973</v>
      </c>
      <c r="V57" s="4">
        <f t="shared" si="42"/>
        <v>1.4701155046454206</v>
      </c>
      <c r="W57" s="360">
        <f t="shared" si="10"/>
        <v>4.3224791939977195E-3</v>
      </c>
      <c r="X57" s="360">
        <f t="shared" si="43"/>
        <v>4.3224791939977195E-3</v>
      </c>
      <c r="Y57" s="4">
        <f t="shared" si="44"/>
        <v>7.2200022606210226</v>
      </c>
      <c r="Z57" s="360">
        <f t="shared" si="11"/>
        <v>7.8192648965059022E-2</v>
      </c>
      <c r="AA57" s="541">
        <f t="shared" si="45"/>
        <v>7.8192648965059022E-2</v>
      </c>
      <c r="AB57" s="360">
        <f t="shared" si="46"/>
        <v>10.584194170154342</v>
      </c>
      <c r="AC57" s="360">
        <f t="shared" si="59"/>
        <v>0.14563271610098791</v>
      </c>
      <c r="AD57" s="360">
        <f t="shared" si="60"/>
        <v>0.42276413793103451</v>
      </c>
      <c r="AE57" s="360">
        <f t="shared" si="61"/>
        <v>0.36630000000000001</v>
      </c>
      <c r="AF57" s="360">
        <f t="shared" si="62"/>
        <v>0</v>
      </c>
      <c r="AG57" s="360">
        <f t="shared" si="63"/>
        <v>0.9558558442167544</v>
      </c>
      <c r="AH57" s="360">
        <f t="shared" si="64"/>
        <v>9.874009994195351</v>
      </c>
      <c r="AI57" s="360">
        <f t="shared" si="65"/>
        <v>0.12674489537511058</v>
      </c>
      <c r="AJ57" s="360">
        <f t="shared" si="66"/>
        <v>0</v>
      </c>
      <c r="AK57" s="360">
        <f t="shared" si="67"/>
        <v>0.1292346294730029</v>
      </c>
      <c r="AL57" s="360">
        <f t="shared" si="68"/>
        <v>6.3866879999999987E-2</v>
      </c>
      <c r="AM57" s="360">
        <f t="shared" si="69"/>
        <v>4.4549999999999999E-2</v>
      </c>
      <c r="AN57" s="360">
        <f t="shared" si="70"/>
        <v>0.46094672711339746</v>
      </c>
      <c r="AO57" s="360">
        <f t="shared" si="71"/>
        <v>1.5749999999999998E-3</v>
      </c>
      <c r="AP57" s="360">
        <f t="shared" si="72"/>
        <v>0.25740000000000002</v>
      </c>
      <c r="AQ57" s="360">
        <f t="shared" si="26"/>
        <v>0.24596000000000001</v>
      </c>
      <c r="AR57" s="360">
        <f t="shared" si="73"/>
        <v>0.2288</v>
      </c>
      <c r="AS57" s="360">
        <f t="shared" si="74"/>
        <v>0.25897500000000001</v>
      </c>
      <c r="AT57" s="360">
        <f t="shared" si="75"/>
        <v>2.7078485868673314</v>
      </c>
      <c r="AU57">
        <f t="shared" si="76"/>
        <v>345.6</v>
      </c>
      <c r="AV57" s="542">
        <f t="shared" si="47"/>
        <v>0.99222570321669912</v>
      </c>
      <c r="AW57" s="551">
        <f t="shared" si="77"/>
        <v>37.439836080236667</v>
      </c>
      <c r="AX57" s="551">
        <f t="shared" si="78"/>
        <v>5.4695729199741105</v>
      </c>
      <c r="AY57" s="9"/>
      <c r="AZ57" s="4">
        <f t="shared" si="48"/>
        <v>99.222570321669906</v>
      </c>
      <c r="BA57" s="360">
        <f t="shared" si="79"/>
        <v>0.71190437790511973</v>
      </c>
      <c r="BB57" s="360">
        <f t="shared" si="80"/>
        <v>1.1296404736897574</v>
      </c>
      <c r="BC57" s="360">
        <f t="shared" si="81"/>
        <v>0.98525884421675436</v>
      </c>
      <c r="BD57" s="360">
        <f t="shared" si="82"/>
        <v>0.14393612947300291</v>
      </c>
      <c r="BE57" s="360">
        <f t="shared" si="83"/>
        <v>0.46094672711339746</v>
      </c>
      <c r="BK57" s="18"/>
      <c r="BL57" s="19"/>
    </row>
    <row r="58" spans="1:64" x14ac:dyDescent="0.25">
      <c r="A58" s="23" t="s">
        <v>195</v>
      </c>
      <c r="B58" s="73">
        <f>VfdSky_Q2</f>
        <v>0.72</v>
      </c>
      <c r="C58" s="440" t="s">
        <v>0</v>
      </c>
      <c r="D58" s="76" t="s">
        <v>198</v>
      </c>
      <c r="G58">
        <v>49</v>
      </c>
      <c r="H58" s="548">
        <f t="shared" si="49"/>
        <v>45</v>
      </c>
      <c r="I58" s="4">
        <f t="shared" si="50"/>
        <v>2</v>
      </c>
      <c r="J58" s="360">
        <f t="shared" si="84"/>
        <v>29.4</v>
      </c>
      <c r="K58" s="360">
        <f t="shared" si="51"/>
        <v>14.7</v>
      </c>
      <c r="L58" s="4">
        <f t="shared" si="52"/>
        <v>8.7111111111111104</v>
      </c>
      <c r="M58" s="360">
        <f t="shared" si="53"/>
        <v>0.53469999560315984</v>
      </c>
      <c r="N58" s="4">
        <f t="shared" si="54"/>
        <v>5.0926645561229984</v>
      </c>
      <c r="O58" s="4">
        <f t="shared" si="39"/>
        <v>17.246332278061498</v>
      </c>
      <c r="P58" s="4">
        <f t="shared" si="40"/>
        <v>12.153667721938501</v>
      </c>
      <c r="Q58" s="4">
        <f t="shared" si="55"/>
        <v>0</v>
      </c>
      <c r="R58" s="4">
        <f t="shared" si="41"/>
        <v>14.773329663849173</v>
      </c>
      <c r="S58" s="360">
        <f t="shared" si="56"/>
        <v>0.40594736100358464</v>
      </c>
      <c r="T58" s="360">
        <f t="shared" si="57"/>
        <v>0.3</v>
      </c>
      <c r="U58" s="360">
        <f t="shared" si="58"/>
        <v>0.7296430961521817</v>
      </c>
      <c r="V58" s="4">
        <f t="shared" si="42"/>
        <v>1.4701256261850397</v>
      </c>
      <c r="W58" s="360">
        <f t="shared" si="10"/>
        <v>4.3225387135319105E-3</v>
      </c>
      <c r="X58" s="360">
        <f t="shared" si="43"/>
        <v>4.3225387135319105E-3</v>
      </c>
      <c r="Y58" s="4">
        <f t="shared" si="44"/>
        <v>7.3688549473353753</v>
      </c>
      <c r="Z58" s="360">
        <f t="shared" si="11"/>
        <v>8.1450034852303552E-2</v>
      </c>
      <c r="AA58" s="541">
        <f t="shared" si="45"/>
        <v>8.1450034852303552E-2</v>
      </c>
      <c r="AB58" s="360">
        <f t="shared" si="46"/>
        <v>10.802728949920329</v>
      </c>
      <c r="AC58" s="360">
        <f t="shared" si="59"/>
        <v>0.1517086385950808</v>
      </c>
      <c r="AD58" s="360">
        <f t="shared" si="60"/>
        <v>0.43157172413793105</v>
      </c>
      <c r="AE58" s="360">
        <f t="shared" si="61"/>
        <v>0.36630000000000001</v>
      </c>
      <c r="AF58" s="360">
        <f t="shared" si="62"/>
        <v>0</v>
      </c>
      <c r="AG58" s="360">
        <f t="shared" si="63"/>
        <v>0.97199427174160857</v>
      </c>
      <c r="AH58" s="360">
        <f t="shared" si="64"/>
        <v>10.077316934150634</v>
      </c>
      <c r="AI58" s="360">
        <f t="shared" si="65"/>
        <v>0.13201801156871487</v>
      </c>
      <c r="AJ58" s="360">
        <f t="shared" si="66"/>
        <v>0</v>
      </c>
      <c r="AK58" s="360">
        <f t="shared" si="67"/>
        <v>0.13472143119902813</v>
      </c>
      <c r="AL58" s="360">
        <f t="shared" si="68"/>
        <v>6.5197439999999982E-2</v>
      </c>
      <c r="AM58" s="360">
        <f t="shared" si="69"/>
        <v>4.4549999999999999E-2</v>
      </c>
      <c r="AN58" s="360">
        <f t="shared" si="70"/>
        <v>0.48015279258488508</v>
      </c>
      <c r="AO58" s="360">
        <f t="shared" si="71"/>
        <v>1.5749999999999998E-3</v>
      </c>
      <c r="AP58" s="360">
        <f t="shared" si="72"/>
        <v>0.25740000000000002</v>
      </c>
      <c r="AQ58" s="360">
        <f t="shared" si="26"/>
        <v>0.24596000000000001</v>
      </c>
      <c r="AR58" s="360">
        <f t="shared" si="73"/>
        <v>0.2288</v>
      </c>
      <c r="AS58" s="360">
        <f t="shared" si="74"/>
        <v>0.25897500000000001</v>
      </c>
      <c r="AT58" s="360">
        <f t="shared" si="75"/>
        <v>2.7710066052435387</v>
      </c>
      <c r="AU58">
        <f t="shared" si="76"/>
        <v>352.79999999999995</v>
      </c>
      <c r="AV58" s="542">
        <f t="shared" si="47"/>
        <v>0.99220688258106504</v>
      </c>
      <c r="AW58" s="551">
        <f t="shared" si="77"/>
        <v>38.053096326181127</v>
      </c>
      <c r="AX58" s="551">
        <f t="shared" si="78"/>
        <v>5.6780713855630696</v>
      </c>
      <c r="AY58" s="9"/>
      <c r="AZ58" s="4">
        <f t="shared" si="48"/>
        <v>99.220688258106506</v>
      </c>
      <c r="BA58" s="360">
        <f t="shared" si="79"/>
        <v>0.7296430961521817</v>
      </c>
      <c r="BB58" s="360">
        <f t="shared" si="80"/>
        <v>1.1512657029406368</v>
      </c>
      <c r="BC58" s="360">
        <f t="shared" si="81"/>
        <v>1.0013972717416086</v>
      </c>
      <c r="BD58" s="360">
        <f t="shared" si="82"/>
        <v>0.14942293119902814</v>
      </c>
      <c r="BE58" s="360">
        <f t="shared" si="83"/>
        <v>0.48015279258488508</v>
      </c>
      <c r="BK58" s="18"/>
      <c r="BL58" s="19"/>
    </row>
    <row r="59" spans="1:64" x14ac:dyDescent="0.25">
      <c r="A59" s="23" t="s">
        <v>196</v>
      </c>
      <c r="B59" s="73">
        <f>QrrSky_Q2*1000000000</f>
        <v>4.5</v>
      </c>
      <c r="C59" s="440" t="s">
        <v>65</v>
      </c>
      <c r="D59" s="76" t="s">
        <v>199</v>
      </c>
      <c r="G59">
        <v>50</v>
      </c>
      <c r="H59" s="548">
        <f t="shared" si="49"/>
        <v>45</v>
      </c>
      <c r="I59" s="4">
        <f t="shared" si="50"/>
        <v>2</v>
      </c>
      <c r="J59" s="360">
        <f t="shared" si="84"/>
        <v>30</v>
      </c>
      <c r="K59" s="360">
        <f t="shared" si="51"/>
        <v>15</v>
      </c>
      <c r="L59" s="4">
        <f t="shared" si="52"/>
        <v>8.8888888888888893</v>
      </c>
      <c r="M59" s="360">
        <f t="shared" si="53"/>
        <v>0.53472786623143032</v>
      </c>
      <c r="N59" s="4">
        <f t="shared" si="54"/>
        <v>5.0926995863639384</v>
      </c>
      <c r="O59" s="4">
        <f t="shared" si="39"/>
        <v>17.546349793181967</v>
      </c>
      <c r="P59" s="4">
        <f t="shared" si="40"/>
        <v>12.453650206818031</v>
      </c>
      <c r="Q59" s="4">
        <f t="shared" si="55"/>
        <v>0</v>
      </c>
      <c r="R59" s="4">
        <f t="shared" si="41"/>
        <v>15.0718711210568</v>
      </c>
      <c r="S59" s="360">
        <f t="shared" si="56"/>
        <v>0.42252001630692754</v>
      </c>
      <c r="T59" s="360">
        <f t="shared" si="57"/>
        <v>0.3</v>
      </c>
      <c r="U59" s="360">
        <f t="shared" si="58"/>
        <v>0.74779674369412008</v>
      </c>
      <c r="V59" s="4">
        <f t="shared" si="42"/>
        <v>1.4701357385445579</v>
      </c>
      <c r="W59" s="360">
        <f t="shared" si="10"/>
        <v>4.3225981794919061E-3</v>
      </c>
      <c r="X59" s="360">
        <f t="shared" si="43"/>
        <v>4.3225981794919061E-3</v>
      </c>
      <c r="Y59" s="4">
        <f t="shared" si="44"/>
        <v>7.5177365367804025</v>
      </c>
      <c r="Z59" s="360">
        <f t="shared" si="11"/>
        <v>8.4774543954664494E-2</v>
      </c>
      <c r="AA59" s="541">
        <f t="shared" si="45"/>
        <v>8.4774543954664494E-2</v>
      </c>
      <c r="AB59" s="360">
        <f t="shared" si="46"/>
        <v>11.021319192937822</v>
      </c>
      <c r="AC59" s="360">
        <f t="shared" si="59"/>
        <v>0.1579103197784055</v>
      </c>
      <c r="AD59" s="360">
        <f t="shared" si="60"/>
        <v>0.44037931034482758</v>
      </c>
      <c r="AE59" s="360">
        <f t="shared" si="61"/>
        <v>0.36630000000000001</v>
      </c>
      <c r="AF59" s="360">
        <f t="shared" si="62"/>
        <v>0</v>
      </c>
      <c r="AG59" s="360">
        <f t="shared" si="63"/>
        <v>0.98831144574176977</v>
      </c>
      <c r="AH59" s="360">
        <f t="shared" si="64"/>
        <v>10.280652816680774</v>
      </c>
      <c r="AI59" s="360">
        <f t="shared" si="65"/>
        <v>0.13739936903826425</v>
      </c>
      <c r="AJ59" s="360">
        <f t="shared" si="66"/>
        <v>0</v>
      </c>
      <c r="AK59" s="360">
        <f t="shared" si="67"/>
        <v>0.14033012211406559</v>
      </c>
      <c r="AL59" s="360">
        <f t="shared" si="68"/>
        <v>6.652799999999999E-2</v>
      </c>
      <c r="AM59" s="360">
        <f t="shared" si="69"/>
        <v>4.4549999999999999E-2</v>
      </c>
      <c r="AN59" s="360">
        <f t="shared" si="70"/>
        <v>0.49975485799744118</v>
      </c>
      <c r="AO59" s="360">
        <f t="shared" si="71"/>
        <v>1.5749999999999998E-3</v>
      </c>
      <c r="AP59" s="360">
        <f t="shared" si="72"/>
        <v>0.25740000000000002</v>
      </c>
      <c r="AQ59" s="360">
        <f t="shared" si="26"/>
        <v>0.24596000000000001</v>
      </c>
      <c r="AR59" s="360">
        <f t="shared" si="73"/>
        <v>0.2288</v>
      </c>
      <c r="AS59" s="360">
        <f t="shared" si="74"/>
        <v>0.25897500000000001</v>
      </c>
      <c r="AT59" s="360">
        <f t="shared" si="75"/>
        <v>2.835343311681553</v>
      </c>
      <c r="AU59">
        <f t="shared" si="76"/>
        <v>360</v>
      </c>
      <c r="AV59" s="542">
        <f t="shared" si="47"/>
        <v>0.99218559226947767</v>
      </c>
      <c r="AW59" s="551">
        <f t="shared" si="77"/>
        <v>38.673148938187246</v>
      </c>
      <c r="AX59" s="551">
        <f t="shared" si="78"/>
        <v>5.8912016403344927</v>
      </c>
      <c r="AY59" s="9"/>
      <c r="AZ59" s="4">
        <f t="shared" si="48"/>
        <v>99.218559226947761</v>
      </c>
      <c r="BA59" s="360">
        <f t="shared" si="79"/>
        <v>0.74779674369412008</v>
      </c>
      <c r="BB59" s="360">
        <f t="shared" si="80"/>
        <v>1.1731915678558353</v>
      </c>
      <c r="BC59" s="360">
        <f t="shared" si="81"/>
        <v>1.0177144457417697</v>
      </c>
      <c r="BD59" s="360">
        <f t="shared" si="82"/>
        <v>0.1550316221140656</v>
      </c>
      <c r="BE59" s="360">
        <f t="shared" si="83"/>
        <v>0.49975485799744118</v>
      </c>
      <c r="BK59" s="18"/>
      <c r="BL59" s="19"/>
    </row>
    <row r="60" spans="1:64" ht="13" x14ac:dyDescent="0.3">
      <c r="A60" s="23" t="s">
        <v>197</v>
      </c>
      <c r="B60" s="73">
        <f>Ireverse</f>
        <v>0</v>
      </c>
      <c r="C60" s="440" t="s">
        <v>64</v>
      </c>
      <c r="D60" s="76" t="s">
        <v>200</v>
      </c>
      <c r="E60" s="2"/>
      <c r="G60">
        <v>51</v>
      </c>
      <c r="H60" s="548">
        <f t="shared" si="49"/>
        <v>45</v>
      </c>
      <c r="I60" s="4">
        <f t="shared" si="50"/>
        <v>2</v>
      </c>
      <c r="J60" s="360">
        <f t="shared" si="84"/>
        <v>30.6</v>
      </c>
      <c r="K60" s="360">
        <f t="shared" si="51"/>
        <v>15.3</v>
      </c>
      <c r="L60" s="4">
        <f t="shared" si="52"/>
        <v>9.0666666666666682</v>
      </c>
      <c r="M60" s="360">
        <f t="shared" si="53"/>
        <v>0.53475573604277338</v>
      </c>
      <c r="N60" s="4">
        <f t="shared" si="54"/>
        <v>5.0927345848054753</v>
      </c>
      <c r="O60" s="4">
        <f t="shared" si="39"/>
        <v>17.846367292402739</v>
      </c>
      <c r="P60" s="4">
        <f t="shared" si="40"/>
        <v>12.753632707597262</v>
      </c>
      <c r="Q60" s="4">
        <f t="shared" si="55"/>
        <v>0</v>
      </c>
      <c r="R60" s="4">
        <f t="shared" si="41"/>
        <v>15.37046937461376</v>
      </c>
      <c r="S60" s="360">
        <f t="shared" si="56"/>
        <v>0.43942747156044754</v>
      </c>
      <c r="T60" s="360">
        <f t="shared" si="57"/>
        <v>0.3</v>
      </c>
      <c r="U60" s="360">
        <f t="shared" si="58"/>
        <v>0.76636854284574096</v>
      </c>
      <c r="V60" s="4">
        <f t="shared" si="42"/>
        <v>1.4701458417243791</v>
      </c>
      <c r="W60" s="360">
        <f t="shared" si="10"/>
        <v>4.3226575918789666E-3</v>
      </c>
      <c r="X60" s="360">
        <f t="shared" si="43"/>
        <v>4.3226575918789666E-3</v>
      </c>
      <c r="Y60" s="4">
        <f t="shared" si="44"/>
        <v>7.66664527438276</v>
      </c>
      <c r="Z60" s="360">
        <f t="shared" si="11"/>
        <v>8.8166174644823264E-2</v>
      </c>
      <c r="AA60" s="541">
        <f t="shared" si="45"/>
        <v>8.8166174644823264E-2</v>
      </c>
      <c r="AB60" s="360">
        <f t="shared" si="46"/>
        <v>11.239962331847732</v>
      </c>
      <c r="AC60" s="360">
        <f t="shared" si="59"/>
        <v>0.16423777918776267</v>
      </c>
      <c r="AD60" s="360">
        <f t="shared" si="60"/>
        <v>0.44918689655172417</v>
      </c>
      <c r="AE60" s="360">
        <f t="shared" si="61"/>
        <v>0.36630000000000001</v>
      </c>
      <c r="AF60" s="360">
        <f t="shared" si="62"/>
        <v>0</v>
      </c>
      <c r="AG60" s="360">
        <f t="shared" si="63"/>
        <v>1.0048088674274438</v>
      </c>
      <c r="AH60" s="360">
        <f t="shared" si="64"/>
        <v>10.484015241050713</v>
      </c>
      <c r="AI60" s="360">
        <f t="shared" si="65"/>
        <v>0.14288894824695872</v>
      </c>
      <c r="AJ60" s="360">
        <f t="shared" si="66"/>
        <v>0</v>
      </c>
      <c r="AK60" s="360">
        <f t="shared" si="67"/>
        <v>0.14606127052842269</v>
      </c>
      <c r="AL60" s="360">
        <f t="shared" si="68"/>
        <v>6.7858559999999998E-2</v>
      </c>
      <c r="AM60" s="360">
        <f t="shared" si="69"/>
        <v>4.4549999999999999E-2</v>
      </c>
      <c r="AN60" s="360">
        <f t="shared" si="70"/>
        <v>0.51975292335106693</v>
      </c>
      <c r="AO60" s="360">
        <f t="shared" si="71"/>
        <v>1.5749999999999998E-3</v>
      </c>
      <c r="AP60" s="360">
        <f t="shared" si="72"/>
        <v>0.25740000000000002</v>
      </c>
      <c r="AQ60" s="360">
        <f t="shared" si="26"/>
        <v>0.24596000000000001</v>
      </c>
      <c r="AR60" s="360">
        <f t="shared" si="73"/>
        <v>0.2288</v>
      </c>
      <c r="AS60" s="360">
        <f t="shared" si="74"/>
        <v>0.25897500000000001</v>
      </c>
      <c r="AT60" s="360">
        <f t="shared" si="75"/>
        <v>2.9008639963893765</v>
      </c>
      <c r="AU60">
        <f t="shared" si="76"/>
        <v>367.20000000000005</v>
      </c>
      <c r="AV60" s="542">
        <f t="shared" si="47"/>
        <v>0.99216196372776455</v>
      </c>
      <c r="AW60" s="551">
        <f t="shared" si="77"/>
        <v>39.300050962242864</v>
      </c>
      <c r="AX60" s="551">
        <f t="shared" si="78"/>
        <v>6.1089852800800628</v>
      </c>
      <c r="AY60" s="9"/>
      <c r="AZ60" s="4">
        <f t="shared" si="48"/>
        <v>99.216196372776452</v>
      </c>
      <c r="BA60" s="360">
        <f t="shared" si="79"/>
        <v>0.76636854284574096</v>
      </c>
      <c r="BB60" s="360">
        <f t="shared" si="80"/>
        <v>1.1954201379558667</v>
      </c>
      <c r="BC60" s="360">
        <f t="shared" si="81"/>
        <v>1.0342118674274439</v>
      </c>
      <c r="BD60" s="360">
        <f t="shared" si="82"/>
        <v>0.16076277052842269</v>
      </c>
      <c r="BE60" s="360">
        <f t="shared" si="83"/>
        <v>0.51975292335106693</v>
      </c>
      <c r="BK60" s="18"/>
      <c r="BL60" s="19"/>
    </row>
    <row r="61" spans="1:64" ht="13" x14ac:dyDescent="0.3">
      <c r="A61" s="24" t="s">
        <v>117</v>
      </c>
      <c r="B61" s="15" t="s">
        <v>111</v>
      </c>
      <c r="C61" s="24" t="s">
        <v>76</v>
      </c>
      <c r="D61" s="24" t="s">
        <v>213</v>
      </c>
      <c r="G61">
        <v>52</v>
      </c>
      <c r="H61" s="548">
        <f t="shared" si="49"/>
        <v>45</v>
      </c>
      <c r="I61" s="4">
        <f t="shared" si="50"/>
        <v>2</v>
      </c>
      <c r="J61" s="360">
        <f t="shared" si="84"/>
        <v>31.2</v>
      </c>
      <c r="K61" s="360">
        <f t="shared" si="51"/>
        <v>15.6</v>
      </c>
      <c r="L61" s="4">
        <f t="shared" si="52"/>
        <v>9.2444444444444436</v>
      </c>
      <c r="M61" s="360">
        <f t="shared" si="53"/>
        <v>0.53478360503722489</v>
      </c>
      <c r="N61" s="4">
        <f t="shared" si="54"/>
        <v>5.0927695514490035</v>
      </c>
      <c r="O61" s="4">
        <f t="shared" si="39"/>
        <v>18.146384775724503</v>
      </c>
      <c r="P61" s="4">
        <f t="shared" si="40"/>
        <v>13.053615224275498</v>
      </c>
      <c r="Q61" s="4">
        <f t="shared" si="55"/>
        <v>0</v>
      </c>
      <c r="R61" s="4">
        <f t="shared" si="41"/>
        <v>15.669121177505367</v>
      </c>
      <c r="S61" s="360">
        <f t="shared" si="56"/>
        <v>0.4566697267641458</v>
      </c>
      <c r="T61" s="360">
        <f t="shared" si="57"/>
        <v>0.3</v>
      </c>
      <c r="U61" s="360">
        <f t="shared" si="58"/>
        <v>0.78536180358445873</v>
      </c>
      <c r="V61" s="4">
        <f t="shared" si="42"/>
        <v>1.4701559357249059</v>
      </c>
      <c r="W61" s="360">
        <f t="shared" si="10"/>
        <v>4.3227169506943469E-3</v>
      </c>
      <c r="X61" s="360">
        <f t="shared" si="43"/>
        <v>4.3227169506943469E-3</v>
      </c>
      <c r="Y61" s="4">
        <f t="shared" si="44"/>
        <v>7.8155795388887075</v>
      </c>
      <c r="Z61" s="360">
        <f t="shared" si="11"/>
        <v>9.1624925293043738E-2</v>
      </c>
      <c r="AA61" s="541">
        <f t="shared" si="45"/>
        <v>9.1624925293043738E-2</v>
      </c>
      <c r="AB61" s="360">
        <f t="shared" si="46"/>
        <v>11.458655994447296</v>
      </c>
      <c r="AC61" s="360">
        <f t="shared" si="59"/>
        <v>0.17069103635880783</v>
      </c>
      <c r="AD61" s="360">
        <f t="shared" si="60"/>
        <v>0.4579944827586207</v>
      </c>
      <c r="AE61" s="360">
        <f t="shared" si="61"/>
        <v>0.36630000000000001</v>
      </c>
      <c r="AF61" s="360">
        <f t="shared" si="62"/>
        <v>0</v>
      </c>
      <c r="AG61" s="360">
        <f t="shared" si="63"/>
        <v>1.0214880653046698</v>
      </c>
      <c r="AH61" s="360">
        <f t="shared" si="64"/>
        <v>10.687401989083419</v>
      </c>
      <c r="AI61" s="360">
        <f t="shared" si="65"/>
        <v>0.14848672965914347</v>
      </c>
      <c r="AJ61" s="360">
        <f t="shared" si="66"/>
        <v>0</v>
      </c>
      <c r="AK61" s="360">
        <f t="shared" si="67"/>
        <v>0.15191545897162281</v>
      </c>
      <c r="AL61" s="360">
        <f t="shared" si="68"/>
        <v>6.9189119999999993E-2</v>
      </c>
      <c r="AM61" s="360">
        <f t="shared" si="69"/>
        <v>4.4549999999999999E-2</v>
      </c>
      <c r="AN61" s="360">
        <f t="shared" si="70"/>
        <v>0.54014698864576383</v>
      </c>
      <c r="AO61" s="360">
        <f t="shared" si="71"/>
        <v>1.5749999999999998E-3</v>
      </c>
      <c r="AP61" s="360">
        <f t="shared" si="72"/>
        <v>0.25740000000000002</v>
      </c>
      <c r="AQ61" s="360">
        <f t="shared" si="26"/>
        <v>0.24596000000000001</v>
      </c>
      <c r="AR61" s="360">
        <f t="shared" si="73"/>
        <v>0.2288</v>
      </c>
      <c r="AS61" s="360">
        <f t="shared" si="74"/>
        <v>0.25897500000000001</v>
      </c>
      <c r="AT61" s="360">
        <f t="shared" si="75"/>
        <v>2.9675740787502534</v>
      </c>
      <c r="AU61">
        <f t="shared" si="76"/>
        <v>374.4</v>
      </c>
      <c r="AV61" s="542">
        <f t="shared" si="47"/>
        <v>0.99213611798524326</v>
      </c>
      <c r="AW61" s="551">
        <f t="shared" si="77"/>
        <v>39.933860481577454</v>
      </c>
      <c r="AX61" s="551">
        <f t="shared" si="78"/>
        <v>6.3314444409216675</v>
      </c>
      <c r="AY61" s="9"/>
      <c r="AZ61" s="4">
        <f t="shared" si="48"/>
        <v>99.213611798524326</v>
      </c>
      <c r="BA61" s="360">
        <f t="shared" si="79"/>
        <v>0.78536180358445873</v>
      </c>
      <c r="BB61" s="360">
        <f t="shared" si="80"/>
        <v>1.2179535242762927</v>
      </c>
      <c r="BC61" s="360">
        <f t="shared" si="81"/>
        <v>1.0508910653046699</v>
      </c>
      <c r="BD61" s="360">
        <f t="shared" si="82"/>
        <v>0.16661695897162282</v>
      </c>
      <c r="BE61" s="360">
        <f t="shared" si="83"/>
        <v>0.54014698864576383</v>
      </c>
      <c r="BK61" s="18"/>
      <c r="BL61" s="19"/>
    </row>
    <row r="62" spans="1:64" ht="15.5" x14ac:dyDescent="0.4">
      <c r="A62" s="446" t="s">
        <v>470</v>
      </c>
      <c r="B62" s="74">
        <v>30</v>
      </c>
      <c r="C62" s="441" t="s">
        <v>205</v>
      </c>
      <c r="D62" s="76" t="s">
        <v>103</v>
      </c>
      <c r="G62">
        <v>53</v>
      </c>
      <c r="H62" s="548">
        <f t="shared" si="49"/>
        <v>45</v>
      </c>
      <c r="I62" s="4">
        <f t="shared" si="50"/>
        <v>2</v>
      </c>
      <c r="J62" s="360">
        <f t="shared" si="84"/>
        <v>31.8</v>
      </c>
      <c r="K62" s="360">
        <f t="shared" si="51"/>
        <v>15.9</v>
      </c>
      <c r="L62" s="4">
        <f t="shared" si="52"/>
        <v>9.4222222222222225</v>
      </c>
      <c r="M62" s="360">
        <f t="shared" si="53"/>
        <v>0.53481147321482103</v>
      </c>
      <c r="N62" s="4">
        <f t="shared" si="54"/>
        <v>5.0928044862959254</v>
      </c>
      <c r="O62" s="4">
        <f t="shared" si="39"/>
        <v>18.446402243147965</v>
      </c>
      <c r="P62" s="4">
        <f t="shared" si="40"/>
        <v>13.353597756852038</v>
      </c>
      <c r="Q62" s="4">
        <f t="shared" si="55"/>
        <v>0</v>
      </c>
      <c r="R62" s="4">
        <f t="shared" si="41"/>
        <v>15.967823525075973</v>
      </c>
      <c r="S62" s="360">
        <f t="shared" si="56"/>
        <v>0.47424678191802361</v>
      </c>
      <c r="T62" s="360">
        <f t="shared" si="57"/>
        <v>0.3</v>
      </c>
      <c r="U62" s="360">
        <f t="shared" si="58"/>
        <v>0.80477992508804219</v>
      </c>
      <c r="V62" s="4">
        <f t="shared" si="42"/>
        <v>1.4701660205465432</v>
      </c>
      <c r="W62" s="360">
        <f t="shared" si="10"/>
        <v>4.3227762559393179E-3</v>
      </c>
      <c r="X62" s="360">
        <f t="shared" si="43"/>
        <v>4.3227762559393179E-3</v>
      </c>
      <c r="Y62" s="4">
        <f t="shared" si="44"/>
        <v>7.9645378299548435</v>
      </c>
      <c r="Z62" s="360">
        <f t="shared" si="11"/>
        <v>9.5150794267172711E-2</v>
      </c>
      <c r="AA62" s="541">
        <f t="shared" si="45"/>
        <v>9.5150794267172711E-2</v>
      </c>
      <c r="AB62" s="360">
        <f t="shared" si="46"/>
        <v>11.677397985525173</v>
      </c>
      <c r="AC62" s="360">
        <f t="shared" si="59"/>
        <v>0.1772701108260516</v>
      </c>
      <c r="AD62" s="360">
        <f t="shared" si="60"/>
        <v>0.46680206896551724</v>
      </c>
      <c r="AE62" s="360">
        <f t="shared" si="61"/>
        <v>0.36630000000000001</v>
      </c>
      <c r="AF62" s="360">
        <f t="shared" si="62"/>
        <v>0</v>
      </c>
      <c r="AG62" s="360">
        <f t="shared" si="63"/>
        <v>1.0383505956160648</v>
      </c>
      <c r="AH62" s="360">
        <f t="shared" si="64"/>
        <v>10.890811008167494</v>
      </c>
      <c r="AI62" s="360">
        <f t="shared" si="65"/>
        <v>0.15419269374030894</v>
      </c>
      <c r="AJ62" s="360">
        <f t="shared" si="66"/>
        <v>0</v>
      </c>
      <c r="AK62" s="360">
        <f t="shared" si="67"/>
        <v>0.15789328434754082</v>
      </c>
      <c r="AL62" s="360">
        <f t="shared" si="68"/>
        <v>7.0519679999999987E-2</v>
      </c>
      <c r="AM62" s="360">
        <f t="shared" si="69"/>
        <v>4.4549999999999999E-2</v>
      </c>
      <c r="AN62" s="360">
        <f t="shared" si="70"/>
        <v>0.56093705388153337</v>
      </c>
      <c r="AO62" s="360">
        <f t="shared" si="71"/>
        <v>1.5749999999999998E-3</v>
      </c>
      <c r="AP62" s="360">
        <f t="shared" si="72"/>
        <v>0.25740000000000002</v>
      </c>
      <c r="AQ62" s="360">
        <f t="shared" si="26"/>
        <v>0.24596000000000001</v>
      </c>
      <c r="AR62" s="360">
        <f t="shared" si="73"/>
        <v>0.2288</v>
      </c>
      <c r="AS62" s="360">
        <f t="shared" si="74"/>
        <v>0.25897500000000001</v>
      </c>
      <c r="AT62" s="360">
        <f t="shared" si="75"/>
        <v>3.0354791094562934</v>
      </c>
      <c r="AU62">
        <f t="shared" si="76"/>
        <v>381.6</v>
      </c>
      <c r="AV62" s="542">
        <f t="shared" si="47"/>
        <v>0.99210816662965073</v>
      </c>
      <c r="AW62" s="551">
        <f t="shared" si="77"/>
        <v>40.574636633410464</v>
      </c>
      <c r="AX62" s="551">
        <f t="shared" si="78"/>
        <v>6.5586018052065516</v>
      </c>
      <c r="AY62" s="9"/>
      <c r="AZ62" s="4">
        <f t="shared" si="48"/>
        <v>99.210816662965073</v>
      </c>
      <c r="BA62" s="360">
        <f t="shared" si="79"/>
        <v>0.80477992508804219</v>
      </c>
      <c r="BB62" s="360">
        <f t="shared" si="80"/>
        <v>1.2407938799636058</v>
      </c>
      <c r="BC62" s="360">
        <f t="shared" si="81"/>
        <v>1.0677535956160649</v>
      </c>
      <c r="BD62" s="360">
        <f t="shared" si="82"/>
        <v>0.17259478434754083</v>
      </c>
      <c r="BE62" s="360">
        <f t="shared" si="83"/>
        <v>0.56093705388153337</v>
      </c>
      <c r="BK62" s="18"/>
      <c r="BL62" s="19"/>
    </row>
    <row r="63" spans="1:64" x14ac:dyDescent="0.25">
      <c r="A63" s="23" t="s">
        <v>118</v>
      </c>
      <c r="B63" s="74">
        <v>2</v>
      </c>
      <c r="C63" s="441" t="s">
        <v>205</v>
      </c>
      <c r="D63" s="21" t="s">
        <v>103</v>
      </c>
      <c r="G63">
        <v>54</v>
      </c>
      <c r="H63" s="548">
        <f t="shared" si="49"/>
        <v>45</v>
      </c>
      <c r="I63" s="4">
        <f t="shared" si="50"/>
        <v>2</v>
      </c>
      <c r="J63" s="360">
        <f t="shared" si="84"/>
        <v>32.4</v>
      </c>
      <c r="K63" s="360">
        <f t="shared" si="51"/>
        <v>16.2</v>
      </c>
      <c r="L63" s="4">
        <f t="shared" si="52"/>
        <v>9.6</v>
      </c>
      <c r="M63" s="360">
        <f t="shared" si="53"/>
        <v>0.53483934057559746</v>
      </c>
      <c r="N63" s="4">
        <f t="shared" si="54"/>
        <v>5.0928393893476365</v>
      </c>
      <c r="O63" s="4">
        <f t="shared" si="39"/>
        <v>18.746419694673818</v>
      </c>
      <c r="P63" s="4">
        <f t="shared" si="40"/>
        <v>13.65358030532618</v>
      </c>
      <c r="Q63" s="4">
        <f t="shared" si="55"/>
        <v>0</v>
      </c>
      <c r="R63" s="4">
        <f t="shared" si="41"/>
        <v>16.266573632876948</v>
      </c>
      <c r="S63" s="360">
        <f t="shared" si="56"/>
        <v>0.49215863702208207</v>
      </c>
      <c r="T63" s="360">
        <f t="shared" si="57"/>
        <v>0.3</v>
      </c>
      <c r="U63" s="360">
        <f t="shared" si="58"/>
        <v>0.82462639732278709</v>
      </c>
      <c r="V63" s="4">
        <f t="shared" si="42"/>
        <v>1.4701760961896937</v>
      </c>
      <c r="W63" s="360">
        <f t="shared" si="10"/>
        <v>4.3228355076151354E-3</v>
      </c>
      <c r="X63" s="360">
        <f t="shared" si="43"/>
        <v>4.3228355076151354E-3</v>
      </c>
      <c r="Y63" s="4">
        <f t="shared" si="44"/>
        <v>8.113518757096708</v>
      </c>
      <c r="Z63" s="360">
        <f t="shared" si="11"/>
        <v>9.8743779932640177E-2</v>
      </c>
      <c r="AA63" s="541">
        <f t="shared" si="45"/>
        <v>9.8743779932640177E-2</v>
      </c>
      <c r="AB63" s="360">
        <f t="shared" si="46"/>
        <v>11.896186270684174</v>
      </c>
      <c r="AC63" s="360">
        <f t="shared" si="59"/>
        <v>0.18397502212285904</v>
      </c>
      <c r="AD63" s="360">
        <f t="shared" si="60"/>
        <v>0.47560965517241383</v>
      </c>
      <c r="AE63" s="360">
        <f t="shared" si="61"/>
        <v>0.36630000000000001</v>
      </c>
      <c r="AF63" s="360">
        <f t="shared" si="62"/>
        <v>0</v>
      </c>
      <c r="AG63" s="360">
        <f t="shared" si="63"/>
        <v>1.0553980427924909</v>
      </c>
      <c r="AH63" s="360">
        <f t="shared" si="64"/>
        <v>11.09424039612415</v>
      </c>
      <c r="AI63" s="360">
        <f t="shared" si="65"/>
        <v>0.16000682095709079</v>
      </c>
      <c r="AJ63" s="360">
        <f t="shared" si="66"/>
        <v>0</v>
      </c>
      <c r="AK63" s="360">
        <f t="shared" si="67"/>
        <v>0.16399535809394114</v>
      </c>
      <c r="AL63" s="360">
        <f t="shared" si="68"/>
        <v>7.1850239999999982E-2</v>
      </c>
      <c r="AM63" s="360">
        <f t="shared" si="69"/>
        <v>4.4549999999999999E-2</v>
      </c>
      <c r="AN63" s="360">
        <f t="shared" si="70"/>
        <v>0.58212311905837666</v>
      </c>
      <c r="AO63" s="360">
        <f t="shared" si="71"/>
        <v>1.5749999999999998E-3</v>
      </c>
      <c r="AP63" s="360">
        <f t="shared" si="72"/>
        <v>0.25740000000000002</v>
      </c>
      <c r="AQ63" s="360">
        <f t="shared" si="26"/>
        <v>0.24596000000000001</v>
      </c>
      <c r="AR63" s="360">
        <f t="shared" si="73"/>
        <v>0.2288</v>
      </c>
      <c r="AS63" s="360">
        <f t="shared" si="74"/>
        <v>0.25897500000000001</v>
      </c>
      <c r="AT63" s="360">
        <f t="shared" si="75"/>
        <v>3.104584772707851</v>
      </c>
      <c r="AU63">
        <f t="shared" si="76"/>
        <v>388.79999999999995</v>
      </c>
      <c r="AV63" s="542">
        <f t="shared" si="47"/>
        <v>0.99207821267386198</v>
      </c>
      <c r="AW63" s="551">
        <f t="shared" si="77"/>
        <v>41.222439626114657</v>
      </c>
      <c r="AX63" s="551">
        <f t="shared" si="78"/>
        <v>6.7904806075697639</v>
      </c>
      <c r="AY63" s="9"/>
      <c r="AZ63" s="4">
        <f t="shared" si="48"/>
        <v>99.207821267386194</v>
      </c>
      <c r="BA63" s="360">
        <f t="shared" si="79"/>
        <v>0.82462639732278709</v>
      </c>
      <c r="BB63" s="360">
        <f t="shared" si="80"/>
        <v>1.2639434008864321</v>
      </c>
      <c r="BC63" s="360">
        <f t="shared" si="81"/>
        <v>1.084801042792491</v>
      </c>
      <c r="BD63" s="360">
        <f t="shared" si="82"/>
        <v>0.17869685809394115</v>
      </c>
      <c r="BE63" s="360">
        <f t="shared" si="83"/>
        <v>0.58212311905837666</v>
      </c>
      <c r="BK63" s="18"/>
      <c r="BL63" s="19"/>
    </row>
    <row r="64" spans="1:64" x14ac:dyDescent="0.25">
      <c r="A64" s="75"/>
      <c r="B64" s="30"/>
      <c r="G64">
        <v>55</v>
      </c>
      <c r="H64" s="548">
        <f t="shared" si="49"/>
        <v>45</v>
      </c>
      <c r="I64" s="4">
        <f t="shared" si="50"/>
        <v>2</v>
      </c>
      <c r="J64" s="360">
        <f t="shared" si="84"/>
        <v>33</v>
      </c>
      <c r="K64" s="360">
        <f t="shared" si="51"/>
        <v>16.5</v>
      </c>
      <c r="L64" s="4">
        <f t="shared" si="52"/>
        <v>9.7777777777777786</v>
      </c>
      <c r="M64" s="360">
        <f t="shared" si="53"/>
        <v>0.53486720711959024</v>
      </c>
      <c r="N64" s="4">
        <f t="shared" si="54"/>
        <v>5.0928742606055355</v>
      </c>
      <c r="O64" s="4">
        <f t="shared" si="39"/>
        <v>19.046437130302767</v>
      </c>
      <c r="P64" s="4">
        <f t="shared" si="40"/>
        <v>13.953562869697233</v>
      </c>
      <c r="Q64" s="4">
        <f t="shared" si="55"/>
        <v>0</v>
      </c>
      <c r="R64" s="4">
        <f t="shared" si="41"/>
        <v>16.56536891689592</v>
      </c>
      <c r="S64" s="360">
        <f t="shared" si="56"/>
        <v>0.51040529207632246</v>
      </c>
      <c r="T64" s="360">
        <f t="shared" si="57"/>
        <v>0.3</v>
      </c>
      <c r="U64" s="360">
        <f t="shared" si="58"/>
        <v>0.8449048026835535</v>
      </c>
      <c r="V64" s="4">
        <f t="shared" si="42"/>
        <v>1.4701861626547612</v>
      </c>
      <c r="W64" s="360">
        <f t="shared" si="10"/>
        <v>4.3228947057230641E-3</v>
      </c>
      <c r="X64" s="360">
        <f t="shared" si="43"/>
        <v>4.3228947057230641E-3</v>
      </c>
      <c r="Y64" s="4">
        <f t="shared" si="44"/>
        <v>8.2625210298253666</v>
      </c>
      <c r="Z64" s="360">
        <f t="shared" si="11"/>
        <v>0.10240388065245966</v>
      </c>
      <c r="AA64" s="541">
        <f t="shared" si="45"/>
        <v>0.10240388065245966</v>
      </c>
      <c r="AB64" s="360">
        <f t="shared" si="46"/>
        <v>12.115018961903012</v>
      </c>
      <c r="AC64" s="360">
        <f t="shared" si="59"/>
        <v>0.19080578978145035</v>
      </c>
      <c r="AD64" s="360">
        <f t="shared" si="60"/>
        <v>0.48441724137931036</v>
      </c>
      <c r="AE64" s="360">
        <f t="shared" si="61"/>
        <v>0.36630000000000001</v>
      </c>
      <c r="AF64" s="360">
        <f t="shared" si="62"/>
        <v>0</v>
      </c>
      <c r="AG64" s="360">
        <f t="shared" si="63"/>
        <v>1.0726320199159098</v>
      </c>
      <c r="AH64" s="360">
        <f t="shared" si="64"/>
        <v>11.29768838770091</v>
      </c>
      <c r="AI64" s="360">
        <f t="shared" si="65"/>
        <v>0.16592909177726958</v>
      </c>
      <c r="AJ64" s="360">
        <f t="shared" si="66"/>
        <v>0</v>
      </c>
      <c r="AK64" s="360">
        <f t="shared" si="67"/>
        <v>0.17022230634650024</v>
      </c>
      <c r="AL64" s="360">
        <f t="shared" si="68"/>
        <v>7.318079999999999E-2</v>
      </c>
      <c r="AM64" s="360">
        <f t="shared" si="69"/>
        <v>4.4549999999999999E-2</v>
      </c>
      <c r="AN64" s="360">
        <f t="shared" si="70"/>
        <v>0.60370518417629537</v>
      </c>
      <c r="AO64" s="360">
        <f t="shared" si="71"/>
        <v>1.5749999999999998E-3</v>
      </c>
      <c r="AP64" s="360">
        <f t="shared" si="72"/>
        <v>0.25740000000000002</v>
      </c>
      <c r="AQ64" s="360">
        <f t="shared" si="26"/>
        <v>0.24596000000000001</v>
      </c>
      <c r="AR64" s="360">
        <f t="shared" si="73"/>
        <v>0.2288</v>
      </c>
      <c r="AS64" s="360">
        <f t="shared" si="74"/>
        <v>0.25897500000000001</v>
      </c>
      <c r="AT64" s="360">
        <f t="shared" si="75"/>
        <v>3.1748968884804412</v>
      </c>
      <c r="AU64">
        <f t="shared" si="76"/>
        <v>396</v>
      </c>
      <c r="AV64" s="542">
        <f t="shared" si="47"/>
        <v>0.99204635132813124</v>
      </c>
      <c r="AW64" s="551">
        <f t="shared" si="77"/>
        <v>41.877330756804575</v>
      </c>
      <c r="AX64" s="551">
        <f t="shared" si="78"/>
        <v>7.0271046411670088</v>
      </c>
      <c r="AY64" s="9"/>
      <c r="AZ64" s="4">
        <f t="shared" si="48"/>
        <v>99.204635132813124</v>
      </c>
      <c r="BA64" s="360">
        <f t="shared" si="79"/>
        <v>0.8449048026835535</v>
      </c>
      <c r="BB64" s="360">
        <f t="shared" si="80"/>
        <v>1.2874043262624102</v>
      </c>
      <c r="BC64" s="360">
        <f t="shared" si="81"/>
        <v>1.1020350199159099</v>
      </c>
      <c r="BD64" s="360">
        <f t="shared" si="82"/>
        <v>0.18492380634650024</v>
      </c>
      <c r="BE64" s="360">
        <f t="shared" si="83"/>
        <v>0.60370518417629537</v>
      </c>
      <c r="BK64" s="18"/>
      <c r="BL64" s="19"/>
    </row>
    <row r="65" spans="1:64" x14ac:dyDescent="0.25">
      <c r="G65">
        <v>56</v>
      </c>
      <c r="H65" s="548">
        <f t="shared" si="49"/>
        <v>45</v>
      </c>
      <c r="I65" s="4">
        <f t="shared" si="50"/>
        <v>2</v>
      </c>
      <c r="J65" s="360">
        <f t="shared" si="84"/>
        <v>33.6</v>
      </c>
      <c r="K65" s="360">
        <f t="shared" si="51"/>
        <v>16.8</v>
      </c>
      <c r="L65" s="4">
        <f t="shared" si="52"/>
        <v>9.9555555555555575</v>
      </c>
      <c r="M65" s="360">
        <f t="shared" si="53"/>
        <v>0.53489507284683513</v>
      </c>
      <c r="N65" s="4">
        <f t="shared" si="54"/>
        <v>5.0929091000710196</v>
      </c>
      <c r="O65" s="4">
        <f t="shared" si="39"/>
        <v>19.34645455003551</v>
      </c>
      <c r="P65" s="4">
        <f t="shared" si="40"/>
        <v>14.253545449964491</v>
      </c>
      <c r="Q65" s="4">
        <f t="shared" si="55"/>
        <v>0</v>
      </c>
      <c r="R65" s="4">
        <f t="shared" si="41"/>
        <v>16.864206975874442</v>
      </c>
      <c r="S65" s="360">
        <f t="shared" si="56"/>
        <v>0.528986747080746</v>
      </c>
      <c r="T65" s="360">
        <f t="shared" si="57"/>
        <v>0.3</v>
      </c>
      <c r="U65" s="360">
        <f t="shared" si="58"/>
        <v>0.86561881768716298</v>
      </c>
      <c r="V65" s="4">
        <f t="shared" si="42"/>
        <v>1.470196219942149</v>
      </c>
      <c r="W65" s="360">
        <f t="shared" si="10"/>
        <v>4.3229538502643676E-3</v>
      </c>
      <c r="X65" s="360">
        <f t="shared" si="43"/>
        <v>4.3229538502643676E-3</v>
      </c>
      <c r="Y65" s="4">
        <f t="shared" si="44"/>
        <v>8.411543448825892</v>
      </c>
      <c r="Z65" s="360">
        <f t="shared" si="11"/>
        <v>0.10613109478722868</v>
      </c>
      <c r="AA65" s="541">
        <f t="shared" si="45"/>
        <v>0.10613109478722868</v>
      </c>
      <c r="AB65" s="360">
        <f t="shared" si="46"/>
        <v>12.333894304623179</v>
      </c>
      <c r="AC65" s="360">
        <f t="shared" si="59"/>
        <v>0.19776243333290092</v>
      </c>
      <c r="AD65" s="360">
        <f t="shared" si="60"/>
        <v>0.49322482758620689</v>
      </c>
      <c r="AE65" s="360">
        <f t="shared" si="61"/>
        <v>0.36630000000000001</v>
      </c>
      <c r="AF65" s="360">
        <f t="shared" si="62"/>
        <v>0</v>
      </c>
      <c r="AG65" s="360">
        <f t="shared" si="63"/>
        <v>1.0900541691936996</v>
      </c>
      <c r="AH65" s="360">
        <f t="shared" si="64"/>
        <v>11.501153342492053</v>
      </c>
      <c r="AI65" s="360">
        <f t="shared" si="65"/>
        <v>0.17195948666977096</v>
      </c>
      <c r="AJ65" s="360">
        <f t="shared" si="66"/>
        <v>0</v>
      </c>
      <c r="AK65" s="360">
        <f t="shared" si="67"/>
        <v>0.17657477010739914</v>
      </c>
      <c r="AL65" s="360">
        <f t="shared" si="68"/>
        <v>7.4511359999999999E-2</v>
      </c>
      <c r="AM65" s="360">
        <f t="shared" si="69"/>
        <v>4.4549999999999999E-2</v>
      </c>
      <c r="AN65" s="360">
        <f t="shared" si="70"/>
        <v>0.62568324923529095</v>
      </c>
      <c r="AO65" s="360">
        <f t="shared" si="71"/>
        <v>1.5749999999999998E-3</v>
      </c>
      <c r="AP65" s="360">
        <f t="shared" si="72"/>
        <v>0.25740000000000002</v>
      </c>
      <c r="AQ65" s="360">
        <f t="shared" si="26"/>
        <v>0.24596000000000001</v>
      </c>
      <c r="AR65" s="360">
        <f t="shared" si="73"/>
        <v>0.2288</v>
      </c>
      <c r="AS65" s="360">
        <f t="shared" si="74"/>
        <v>0.25897500000000001</v>
      </c>
      <c r="AT65" s="360">
        <f t="shared" si="75"/>
        <v>3.2464214148610457</v>
      </c>
      <c r="AU65">
        <f t="shared" si="76"/>
        <v>403.20000000000005</v>
      </c>
      <c r="AV65" s="542">
        <f t="shared" si="47"/>
        <v>0.99201267068963206</v>
      </c>
      <c r="AW65" s="551">
        <f t="shared" si="77"/>
        <v>42.539372429360583</v>
      </c>
      <c r="AX65" s="551">
        <f t="shared" si="78"/>
        <v>7.2684982640811677</v>
      </c>
      <c r="AY65" s="9"/>
      <c r="AZ65" s="4">
        <f t="shared" si="48"/>
        <v>99.201267068963205</v>
      </c>
      <c r="BA65" s="360">
        <f t="shared" si="79"/>
        <v>0.86561881768716298</v>
      </c>
      <c r="BB65" s="360">
        <f t="shared" si="80"/>
        <v>1.3111789393010989</v>
      </c>
      <c r="BC65" s="360">
        <f t="shared" si="81"/>
        <v>1.1194571691936996</v>
      </c>
      <c r="BD65" s="360">
        <f t="shared" si="82"/>
        <v>0.19127627010739914</v>
      </c>
      <c r="BE65" s="360">
        <f t="shared" si="83"/>
        <v>0.62568324923529095</v>
      </c>
      <c r="BK65" s="18"/>
      <c r="BL65" s="19"/>
    </row>
    <row r="66" spans="1:64" ht="13" x14ac:dyDescent="0.3">
      <c r="A66" s="11" t="s">
        <v>77</v>
      </c>
      <c r="B66" s="31"/>
      <c r="C66" s="31"/>
      <c r="G66">
        <v>57</v>
      </c>
      <c r="H66" s="548">
        <f t="shared" si="49"/>
        <v>45</v>
      </c>
      <c r="I66" s="4">
        <f t="shared" si="50"/>
        <v>2</v>
      </c>
      <c r="J66" s="360">
        <f t="shared" si="84"/>
        <v>34.200000000000003</v>
      </c>
      <c r="K66" s="360">
        <f t="shared" si="51"/>
        <v>17.100000000000001</v>
      </c>
      <c r="L66" s="4">
        <f t="shared" si="52"/>
        <v>10.133333333333335</v>
      </c>
      <c r="M66" s="360">
        <f t="shared" si="53"/>
        <v>0.53492293775736821</v>
      </c>
      <c r="N66" s="4">
        <f t="shared" si="54"/>
        <v>5.0929439077454877</v>
      </c>
      <c r="O66" s="4">
        <f t="shared" si="39"/>
        <v>19.646471953872744</v>
      </c>
      <c r="P66" s="4">
        <f t="shared" si="40"/>
        <v>14.553528046127258</v>
      </c>
      <c r="Q66" s="4">
        <f t="shared" si="55"/>
        <v>0</v>
      </c>
      <c r="R66" s="4">
        <f t="shared" si="41"/>
        <v>17.163085575461661</v>
      </c>
      <c r="S66" s="360">
        <f t="shared" si="56"/>
        <v>0.54790300203535347</v>
      </c>
      <c r="T66" s="360">
        <f t="shared" si="57"/>
        <v>0.3</v>
      </c>
      <c r="U66" s="360">
        <f t="shared" si="58"/>
        <v>0.88677221472071499</v>
      </c>
      <c r="V66" s="4">
        <f t="shared" si="42"/>
        <v>1.470206268052261</v>
      </c>
      <c r="W66" s="360">
        <f t="shared" si="10"/>
        <v>4.3230129412403133E-3</v>
      </c>
      <c r="X66" s="360">
        <f t="shared" si="43"/>
        <v>4.3230129412403133E-3</v>
      </c>
      <c r="Y66" s="4">
        <f t="shared" si="44"/>
        <v>8.5605848980518058</v>
      </c>
      <c r="Z66" s="360">
        <f t="shared" si="11"/>
        <v>0.10992542069512898</v>
      </c>
      <c r="AA66" s="541">
        <f t="shared" si="45"/>
        <v>0.10992542069512898</v>
      </c>
      <c r="AB66" s="360">
        <f t="shared" si="46"/>
        <v>12.552810666176629</v>
      </c>
      <c r="AC66" s="360">
        <f t="shared" si="59"/>
        <v>0.20484497230714108</v>
      </c>
      <c r="AD66" s="360">
        <f t="shared" si="60"/>
        <v>0.50203241379310359</v>
      </c>
      <c r="AE66" s="360">
        <f t="shared" si="61"/>
        <v>0.36630000000000001</v>
      </c>
      <c r="AF66" s="360">
        <f t="shared" si="62"/>
        <v>0</v>
      </c>
      <c r="AG66" s="360">
        <f t="shared" si="63"/>
        <v>1.1076661624447197</v>
      </c>
      <c r="AH66" s="360">
        <f t="shared" si="64"/>
        <v>11.704633734113273</v>
      </c>
      <c r="AI66" s="360">
        <f t="shared" si="65"/>
        <v>0.17809798610466515</v>
      </c>
      <c r="AJ66" s="360">
        <f t="shared" si="66"/>
        <v>0</v>
      </c>
      <c r="AK66" s="360">
        <f t="shared" si="67"/>
        <v>0.18305340541857171</v>
      </c>
      <c r="AL66" s="360">
        <f t="shared" si="68"/>
        <v>7.5841919999999993E-2</v>
      </c>
      <c r="AM66" s="360">
        <f t="shared" si="69"/>
        <v>4.4549999999999999E-2</v>
      </c>
      <c r="AN66" s="360">
        <f t="shared" si="70"/>
        <v>0.64805731423536439</v>
      </c>
      <c r="AO66" s="360">
        <f t="shared" si="71"/>
        <v>1.5749999999999998E-3</v>
      </c>
      <c r="AP66" s="360">
        <f t="shared" si="72"/>
        <v>0.25740000000000002</v>
      </c>
      <c r="AQ66" s="360">
        <f t="shared" si="26"/>
        <v>0.24596000000000001</v>
      </c>
      <c r="AR66" s="360">
        <f t="shared" si="73"/>
        <v>0.2288</v>
      </c>
      <c r="AS66" s="360">
        <f t="shared" si="74"/>
        <v>0.25897500000000001</v>
      </c>
      <c r="AT66" s="360">
        <f t="shared" si="75"/>
        <v>3.31916445045574</v>
      </c>
      <c r="AU66">
        <f t="shared" si="76"/>
        <v>410.40000000000003</v>
      </c>
      <c r="AV66" s="542">
        <f t="shared" si="47"/>
        <v>0.99197725235942458</v>
      </c>
      <c r="AW66" s="551">
        <f t="shared" si="77"/>
        <v>43.208628172899353</v>
      </c>
      <c r="AX66" s="551">
        <f t="shared" si="78"/>
        <v>7.5146864059057252</v>
      </c>
      <c r="AY66" s="9"/>
      <c r="AZ66" s="4">
        <f t="shared" si="48"/>
        <v>99.197725235942457</v>
      </c>
      <c r="BA66" s="360">
        <f t="shared" si="79"/>
        <v>0.88677221472071499</v>
      </c>
      <c r="BB66" s="360">
        <f t="shared" si="80"/>
        <v>1.3352695678632915</v>
      </c>
      <c r="BC66" s="360">
        <f t="shared" si="81"/>
        <v>1.1370691624447198</v>
      </c>
      <c r="BD66" s="360">
        <f t="shared" si="82"/>
        <v>0.19775490541857171</v>
      </c>
      <c r="BE66" s="360">
        <f t="shared" si="83"/>
        <v>0.64805731423536439</v>
      </c>
      <c r="BK66" s="18"/>
      <c r="BL66" s="19"/>
    </row>
    <row r="67" spans="1:64" ht="13" x14ac:dyDescent="0.3">
      <c r="A67" s="14" t="s">
        <v>55</v>
      </c>
      <c r="B67" s="15" t="s">
        <v>7</v>
      </c>
      <c r="C67" s="15" t="s">
        <v>76</v>
      </c>
      <c r="G67">
        <v>58</v>
      </c>
      <c r="H67" s="548">
        <f t="shared" si="49"/>
        <v>45</v>
      </c>
      <c r="I67" s="4">
        <f t="shared" si="50"/>
        <v>2</v>
      </c>
      <c r="J67" s="360">
        <f t="shared" si="84"/>
        <v>34.799999999999997</v>
      </c>
      <c r="K67" s="360">
        <f t="shared" si="51"/>
        <v>17.399999999999999</v>
      </c>
      <c r="L67" s="4">
        <f t="shared" si="52"/>
        <v>10.31111111111111</v>
      </c>
      <c r="M67" s="360">
        <f t="shared" si="53"/>
        <v>0.53495080185122523</v>
      </c>
      <c r="N67" s="4">
        <f t="shared" si="54"/>
        <v>5.0929786836303377</v>
      </c>
      <c r="O67" s="4">
        <f t="shared" si="39"/>
        <v>19.946489341815166</v>
      </c>
      <c r="P67" s="4">
        <f t="shared" si="40"/>
        <v>14.853510658184829</v>
      </c>
      <c r="Q67" s="4">
        <f t="shared" si="55"/>
        <v>0</v>
      </c>
      <c r="R67" s="4">
        <f t="shared" si="41"/>
        <v>17.462002633985772</v>
      </c>
      <c r="S67" s="360">
        <f t="shared" si="56"/>
        <v>0.56715405694014653</v>
      </c>
      <c r="T67" s="360">
        <f t="shared" si="57"/>
        <v>0.3</v>
      </c>
      <c r="U67" s="360">
        <f t="shared" si="58"/>
        <v>0.908368863846436</v>
      </c>
      <c r="V67" s="4">
        <f t="shared" si="42"/>
        <v>1.4702163069855008</v>
      </c>
      <c r="W67" s="360">
        <f t="shared" si="10"/>
        <v>4.3230719786521692E-3</v>
      </c>
      <c r="X67" s="360">
        <f t="shared" si="43"/>
        <v>4.3230719786521692E-3</v>
      </c>
      <c r="Y67" s="4">
        <f t="shared" si="44"/>
        <v>8.7096443376266137</v>
      </c>
      <c r="Z67" s="360">
        <f t="shared" si="11"/>
        <v>0.113786856731927</v>
      </c>
      <c r="AA67" s="541">
        <f t="shared" si="45"/>
        <v>0.113786856731927</v>
      </c>
      <c r="AB67" s="360">
        <f t="shared" si="46"/>
        <v>12.771766525394881</v>
      </c>
      <c r="AC67" s="360">
        <f t="shared" si="59"/>
        <v>0.21205342623295639</v>
      </c>
      <c r="AD67" s="360">
        <f t="shared" si="60"/>
        <v>0.51083999999999996</v>
      </c>
      <c r="AE67" s="360">
        <f t="shared" si="61"/>
        <v>0.36630000000000001</v>
      </c>
      <c r="AF67" s="360">
        <f t="shared" si="62"/>
        <v>0</v>
      </c>
      <c r="AG67" s="360">
        <f t="shared" si="63"/>
        <v>1.1254697015974138</v>
      </c>
      <c r="AH67" s="360">
        <f t="shared" si="64"/>
        <v>11.908128140481562</v>
      </c>
      <c r="AI67" s="360">
        <f t="shared" si="65"/>
        <v>0.1843445705531675</v>
      </c>
      <c r="AJ67" s="360">
        <f t="shared" si="66"/>
        <v>0</v>
      </c>
      <c r="AK67" s="360">
        <f t="shared" si="67"/>
        <v>0.18965888353970084</v>
      </c>
      <c r="AL67" s="360">
        <f t="shared" si="68"/>
        <v>7.7172479999999988E-2</v>
      </c>
      <c r="AM67" s="360">
        <f t="shared" si="69"/>
        <v>4.4549999999999999E-2</v>
      </c>
      <c r="AN67" s="360">
        <f t="shared" si="70"/>
        <v>0.67082737917651736</v>
      </c>
      <c r="AO67" s="360">
        <f t="shared" si="71"/>
        <v>1.5749999999999998E-3</v>
      </c>
      <c r="AP67" s="360">
        <f t="shared" si="72"/>
        <v>0.25740000000000002</v>
      </c>
      <c r="AQ67" s="360">
        <f t="shared" si="26"/>
        <v>0.24596000000000001</v>
      </c>
      <c r="AR67" s="360">
        <f t="shared" si="73"/>
        <v>0.2288</v>
      </c>
      <c r="AS67" s="360">
        <f t="shared" si="74"/>
        <v>0.25897500000000001</v>
      </c>
      <c r="AT67" s="360">
        <f t="shared" si="75"/>
        <v>3.3931322368706471</v>
      </c>
      <c r="AU67">
        <f t="shared" si="76"/>
        <v>417.59999999999997</v>
      </c>
      <c r="AV67" s="542">
        <f t="shared" si="47"/>
        <v>0.99194017199558138</v>
      </c>
      <c r="AW67" s="551">
        <f t="shared" si="77"/>
        <v>43.885162660701724</v>
      </c>
      <c r="AX67" s="551">
        <f t="shared" si="78"/>
        <v>7.7656945745086325</v>
      </c>
      <c r="AY67" s="9"/>
      <c r="AZ67" s="4">
        <f t="shared" si="48"/>
        <v>99.194017199558132</v>
      </c>
      <c r="BA67" s="360">
        <f t="shared" si="79"/>
        <v>0.908368863846436</v>
      </c>
      <c r="BB67" s="360">
        <f t="shared" si="80"/>
        <v>1.3596785851371147</v>
      </c>
      <c r="BC67" s="360">
        <f t="shared" si="81"/>
        <v>1.1548727015974138</v>
      </c>
      <c r="BD67" s="360">
        <f t="shared" si="82"/>
        <v>0.20436038353970085</v>
      </c>
      <c r="BE67" s="360">
        <f t="shared" si="83"/>
        <v>0.67082737917651736</v>
      </c>
      <c r="BK67" s="18"/>
      <c r="BL67" s="19"/>
    </row>
    <row r="68" spans="1:64" x14ac:dyDescent="0.25">
      <c r="A68" s="32" t="s">
        <v>208</v>
      </c>
      <c r="B68" s="449">
        <f>D1_Vinmin</f>
        <v>0.66666666666666663</v>
      </c>
      <c r="C68" s="21" t="s">
        <v>18</v>
      </c>
      <c r="G68">
        <v>59</v>
      </c>
      <c r="H68" s="548">
        <f t="shared" si="49"/>
        <v>45</v>
      </c>
      <c r="I68" s="4">
        <f t="shared" si="50"/>
        <v>2</v>
      </c>
      <c r="J68" s="360">
        <f t="shared" si="84"/>
        <v>35.4</v>
      </c>
      <c r="K68" s="360">
        <f t="shared" si="51"/>
        <v>17.7</v>
      </c>
      <c r="L68" s="4">
        <f t="shared" si="52"/>
        <v>10.488888888888887</v>
      </c>
      <c r="M68" s="360">
        <f t="shared" si="53"/>
        <v>0.53497866512844217</v>
      </c>
      <c r="N68" s="4">
        <f t="shared" si="54"/>
        <v>5.0930134277269641</v>
      </c>
      <c r="O68" s="4">
        <f t="shared" si="39"/>
        <v>20.246506713863482</v>
      </c>
      <c r="P68" s="4">
        <f t="shared" si="40"/>
        <v>15.153493286136516</v>
      </c>
      <c r="Q68" s="4">
        <f t="shared" si="55"/>
        <v>0</v>
      </c>
      <c r="R68" s="4">
        <f t="shared" si="41"/>
        <v>17.7609562096541</v>
      </c>
      <c r="S68" s="360">
        <f t="shared" si="56"/>
        <v>0.58673991179512608</v>
      </c>
      <c r="T68" s="360">
        <f t="shared" si="57"/>
        <v>0.3</v>
      </c>
      <c r="U68" s="360">
        <f t="shared" si="58"/>
        <v>0.93041273466474639</v>
      </c>
      <c r="V68" s="4">
        <f t="shared" si="42"/>
        <v>1.4702263367422708</v>
      </c>
      <c r="W68" s="360">
        <f t="shared" si="10"/>
        <v>4.3231309625011939E-3</v>
      </c>
      <c r="X68" s="360">
        <f t="shared" si="43"/>
        <v>4.3231309625011939E-3</v>
      </c>
      <c r="Y68" s="4">
        <f t="shared" si="44"/>
        <v>8.8587207974580693</v>
      </c>
      <c r="Z68" s="360">
        <f t="shared" si="11"/>
        <v>0.1177154012509742</v>
      </c>
      <c r="AA68" s="541">
        <f t="shared" si="45"/>
        <v>0.1177154012509742</v>
      </c>
      <c r="AB68" s="360">
        <f t="shared" si="46"/>
        <v>12.990760463261449</v>
      </c>
      <c r="AC68" s="360">
        <f t="shared" si="59"/>
        <v>0.21938781463798784</v>
      </c>
      <c r="AD68" s="360">
        <f t="shared" si="60"/>
        <v>0.51964758620689655</v>
      </c>
      <c r="AE68" s="360">
        <f t="shared" si="61"/>
        <v>0.36630000000000001</v>
      </c>
      <c r="AF68" s="360">
        <f t="shared" si="62"/>
        <v>0</v>
      </c>
      <c r="AG68" s="360">
        <f t="shared" si="63"/>
        <v>1.1434665192002604</v>
      </c>
      <c r="AH68" s="360">
        <f t="shared" si="64"/>
        <v>12.111635235071018</v>
      </c>
      <c r="AI68" s="360">
        <f t="shared" si="65"/>
        <v>0.19069922048763793</v>
      </c>
      <c r="AJ68" s="360">
        <f t="shared" si="66"/>
        <v>0</v>
      </c>
      <c r="AK68" s="360">
        <f t="shared" si="67"/>
        <v>0.19639189113105324</v>
      </c>
      <c r="AL68" s="360">
        <f t="shared" si="68"/>
        <v>7.8503039999999982E-2</v>
      </c>
      <c r="AM68" s="360">
        <f t="shared" si="69"/>
        <v>4.4549999999999999E-2</v>
      </c>
      <c r="AN68" s="360">
        <f t="shared" si="70"/>
        <v>0.6939934440587513</v>
      </c>
      <c r="AO68" s="360">
        <f t="shared" si="71"/>
        <v>1.5749999999999998E-3</v>
      </c>
      <c r="AP68" s="360">
        <f t="shared" si="72"/>
        <v>0.25740000000000002</v>
      </c>
      <c r="AQ68" s="360">
        <f t="shared" si="26"/>
        <v>0.24596000000000001</v>
      </c>
      <c r="AR68" s="360">
        <f t="shared" si="73"/>
        <v>0.2288</v>
      </c>
      <c r="AS68" s="360">
        <f t="shared" si="74"/>
        <v>0.25897500000000001</v>
      </c>
      <c r="AT68" s="360">
        <f t="shared" si="75"/>
        <v>3.4683311612682868</v>
      </c>
      <c r="AU68">
        <f t="shared" si="76"/>
        <v>424.79999999999995</v>
      </c>
      <c r="AV68" s="542">
        <f t="shared" si="47"/>
        <v>0.99190149981002851</v>
      </c>
      <c r="AW68" s="551">
        <f t="shared" si="77"/>
        <v>44.5690417296099</v>
      </c>
      <c r="AX68" s="551">
        <f t="shared" si="78"/>
        <v>8.0215488629800227</v>
      </c>
      <c r="AY68" s="9"/>
      <c r="AZ68" s="4">
        <f t="shared" si="48"/>
        <v>99.190149981002847</v>
      </c>
      <c r="BA68" s="360">
        <f t="shared" si="79"/>
        <v>0.93041273466474639</v>
      </c>
      <c r="BB68" s="360">
        <f t="shared" si="80"/>
        <v>1.3844084103313137</v>
      </c>
      <c r="BC68" s="360">
        <f t="shared" si="81"/>
        <v>1.1728695192002605</v>
      </c>
      <c r="BD68" s="360">
        <f t="shared" si="82"/>
        <v>0.21109339113105324</v>
      </c>
      <c r="BE68" s="360">
        <f t="shared" si="83"/>
        <v>0.6939934440587513</v>
      </c>
      <c r="BK68" s="18"/>
      <c r="BL68" s="19"/>
    </row>
    <row r="69" spans="1:64" x14ac:dyDescent="0.25">
      <c r="A69" s="23" t="s">
        <v>78</v>
      </c>
      <c r="B69" s="449">
        <f>1-B68</f>
        <v>0.33333333333333337</v>
      </c>
      <c r="C69" s="21" t="s">
        <v>18</v>
      </c>
      <c r="G69">
        <v>60</v>
      </c>
      <c r="H69" s="548">
        <f t="shared" si="49"/>
        <v>45</v>
      </c>
      <c r="I69" s="4">
        <f t="shared" si="50"/>
        <v>2</v>
      </c>
      <c r="J69" s="360">
        <f t="shared" si="84"/>
        <v>36</v>
      </c>
      <c r="K69" s="360">
        <f t="shared" si="51"/>
        <v>18</v>
      </c>
      <c r="L69" s="4">
        <f t="shared" si="52"/>
        <v>10.666666666666666</v>
      </c>
      <c r="M69" s="360">
        <f t="shared" si="53"/>
        <v>0.53500652758905498</v>
      </c>
      <c r="N69" s="4">
        <f t="shared" si="54"/>
        <v>5.0930481400367675</v>
      </c>
      <c r="O69" s="4">
        <f t="shared" si="39"/>
        <v>20.546524070018386</v>
      </c>
      <c r="P69" s="4">
        <f t="shared" si="40"/>
        <v>15.453475929981616</v>
      </c>
      <c r="Q69" s="4">
        <f t="shared" si="55"/>
        <v>0</v>
      </c>
      <c r="R69" s="4">
        <f t="shared" si="41"/>
        <v>18.059944489017521</v>
      </c>
      <c r="S69" s="360">
        <f t="shared" si="56"/>
        <v>0.60666056660029355</v>
      </c>
      <c r="T69" s="360">
        <f t="shared" si="57"/>
        <v>0.3</v>
      </c>
      <c r="U69" s="360">
        <f t="shared" si="58"/>
        <v>0.95290789823729627</v>
      </c>
      <c r="V69" s="4">
        <f t="shared" si="42"/>
        <v>1.4702363573229753</v>
      </c>
      <c r="W69" s="360">
        <f t="shared" si="10"/>
        <v>4.3231898927886632E-3</v>
      </c>
      <c r="X69" s="360">
        <f t="shared" si="43"/>
        <v>4.3231898927886632E-3</v>
      </c>
      <c r="Y69" s="4">
        <f t="shared" si="44"/>
        <v>9.0078133714832092</v>
      </c>
      <c r="Z69" s="360">
        <f t="shared" si="11"/>
        <v>0.12171105260320754</v>
      </c>
      <c r="AA69" s="541">
        <f t="shared" si="45"/>
        <v>0.12171105260320754</v>
      </c>
      <c r="AB69" s="360">
        <f t="shared" si="46"/>
        <v>13.209791154487579</v>
      </c>
      <c r="AC69" s="360">
        <f t="shared" si="59"/>
        <v>0.22684815704873176</v>
      </c>
      <c r="AD69" s="360">
        <f t="shared" si="60"/>
        <v>0.52845517241379314</v>
      </c>
      <c r="AE69" s="360">
        <f t="shared" si="61"/>
        <v>0.36630000000000001</v>
      </c>
      <c r="AF69" s="360">
        <f t="shared" si="62"/>
        <v>0</v>
      </c>
      <c r="AG69" s="360">
        <f t="shared" si="63"/>
        <v>1.1616583789448718</v>
      </c>
      <c r="AH69" s="360">
        <f t="shared" si="64"/>
        <v>12.315153779032402</v>
      </c>
      <c r="AI69" s="360">
        <f t="shared" si="65"/>
        <v>0.19716191638158087</v>
      </c>
      <c r="AJ69" s="360">
        <f t="shared" si="66"/>
        <v>0</v>
      </c>
      <c r="AK69" s="360">
        <f t="shared" si="67"/>
        <v>0.20325313044125043</v>
      </c>
      <c r="AL69" s="360">
        <f t="shared" si="68"/>
        <v>7.9833599999999991E-2</v>
      </c>
      <c r="AM69" s="360">
        <f t="shared" si="69"/>
        <v>4.4549999999999999E-2</v>
      </c>
      <c r="AN69" s="360">
        <f t="shared" si="70"/>
        <v>0.71755550888206765</v>
      </c>
      <c r="AO69" s="360">
        <f t="shared" si="71"/>
        <v>1.5749999999999998E-3</v>
      </c>
      <c r="AP69" s="360">
        <f t="shared" si="72"/>
        <v>0.25740000000000002</v>
      </c>
      <c r="AQ69" s="360">
        <f t="shared" si="26"/>
        <v>0.24596000000000001</v>
      </c>
      <c r="AR69" s="360">
        <f t="shared" si="73"/>
        <v>0.2288</v>
      </c>
      <c r="AS69" s="360">
        <f t="shared" si="74"/>
        <v>0.25897500000000001</v>
      </c>
      <c r="AT69" s="360">
        <f t="shared" si="75"/>
        <v>3.5447677590014823</v>
      </c>
      <c r="AU69">
        <f t="shared" si="76"/>
        <v>432</v>
      </c>
      <c r="AV69" s="542">
        <f t="shared" si="47"/>
        <v>0.99186130101564463</v>
      </c>
      <c r="AW69" s="551">
        <f t="shared" si="77"/>
        <v>45.260332399905131</v>
      </c>
      <c r="AX69" s="551">
        <f t="shared" si="78"/>
        <v>8.282275956767517</v>
      </c>
      <c r="AY69" s="9"/>
      <c r="AZ69" s="4">
        <f t="shared" si="48"/>
        <v>99.186130101564459</v>
      </c>
      <c r="BA69" s="360">
        <f t="shared" si="79"/>
        <v>0.95290789823729627</v>
      </c>
      <c r="BB69" s="360">
        <f t="shared" si="80"/>
        <v>1.4094615093861222</v>
      </c>
      <c r="BC69" s="360">
        <f t="shared" si="81"/>
        <v>1.1910613789448719</v>
      </c>
      <c r="BD69" s="360">
        <f t="shared" si="82"/>
        <v>0.21795463044125044</v>
      </c>
      <c r="BE69" s="360">
        <f t="shared" si="83"/>
        <v>0.71755550888206765</v>
      </c>
      <c r="BK69" s="18"/>
      <c r="BL69" s="19"/>
    </row>
    <row r="70" spans="1:64" x14ac:dyDescent="0.25">
      <c r="A70" s="33" t="s">
        <v>209</v>
      </c>
      <c r="B70" s="449">
        <f>Iripple_Vinnom</f>
        <v>5.1092518851139523</v>
      </c>
      <c r="C70" s="21" t="s">
        <v>1</v>
      </c>
      <c r="G70">
        <v>61</v>
      </c>
      <c r="H70" s="548">
        <f t="shared" si="49"/>
        <v>45</v>
      </c>
      <c r="I70" s="4">
        <f t="shared" si="50"/>
        <v>2</v>
      </c>
      <c r="J70" s="360">
        <f t="shared" si="84"/>
        <v>36.6</v>
      </c>
      <c r="K70" s="360">
        <f t="shared" si="51"/>
        <v>18.3</v>
      </c>
      <c r="L70" s="4">
        <f t="shared" si="52"/>
        <v>10.844444444444445</v>
      </c>
      <c r="M70" s="360">
        <f t="shared" si="53"/>
        <v>0.53503438923309943</v>
      </c>
      <c r="N70" s="4">
        <f t="shared" si="54"/>
        <v>5.0930828205611434</v>
      </c>
      <c r="O70" s="4">
        <f t="shared" si="39"/>
        <v>20.846541410280572</v>
      </c>
      <c r="P70" s="4">
        <f t="shared" si="40"/>
        <v>15.753458589719429</v>
      </c>
      <c r="Q70" s="4">
        <f t="shared" si="55"/>
        <v>0</v>
      </c>
      <c r="R70" s="4">
        <f t="shared" si="41"/>
        <v>18.358965776556097</v>
      </c>
      <c r="S70" s="360">
        <f t="shared" si="56"/>
        <v>0.62691602135564994</v>
      </c>
      <c r="T70" s="360">
        <f t="shared" si="57"/>
        <v>0.3</v>
      </c>
      <c r="U70" s="360">
        <f t="shared" si="58"/>
        <v>0.97585852907178272</v>
      </c>
      <c r="V70" s="4">
        <f t="shared" si="42"/>
        <v>1.4702463687280174</v>
      </c>
      <c r="W70" s="360">
        <f t="shared" si="10"/>
        <v>4.3232487695158426E-3</v>
      </c>
      <c r="X70" s="360">
        <f t="shared" si="43"/>
        <v>4.3232487695158426E-3</v>
      </c>
      <c r="Y70" s="4">
        <f t="shared" si="44"/>
        <v>9.1569212124727262</v>
      </c>
      <c r="Z70" s="360">
        <f t="shared" si="11"/>
        <v>0.12577380913714947</v>
      </c>
      <c r="AA70" s="541">
        <f t="shared" si="45"/>
        <v>0.12577380913714947</v>
      </c>
      <c r="AB70" s="360">
        <f t="shared" si="46"/>
        <v>13.4288573599068</v>
      </c>
      <c r="AC70" s="360">
        <f t="shared" si="59"/>
        <v>0.23443447299053993</v>
      </c>
      <c r="AD70" s="360">
        <f t="shared" si="60"/>
        <v>0.53726275862068973</v>
      </c>
      <c r="AE70" s="360">
        <f t="shared" si="61"/>
        <v>0.36630000000000001</v>
      </c>
      <c r="AF70" s="360">
        <f t="shared" si="62"/>
        <v>0</v>
      </c>
      <c r="AG70" s="360">
        <f t="shared" si="63"/>
        <v>1.1800470762020758</v>
      </c>
      <c r="AH70" s="360">
        <f t="shared" si="64"/>
        <v>12.518682614078648</v>
      </c>
      <c r="AI70" s="360">
        <f t="shared" si="65"/>
        <v>0.2037326387096455</v>
      </c>
      <c r="AJ70" s="360">
        <f t="shared" si="66"/>
        <v>0</v>
      </c>
      <c r="AK70" s="360">
        <f t="shared" si="67"/>
        <v>0.21024331950007497</v>
      </c>
      <c r="AL70" s="360">
        <f t="shared" si="68"/>
        <v>8.1164159999999985E-2</v>
      </c>
      <c r="AM70" s="360">
        <f t="shared" si="69"/>
        <v>4.4549999999999999E-2</v>
      </c>
      <c r="AN70" s="360">
        <f t="shared" si="70"/>
        <v>0.74151357364646775</v>
      </c>
      <c r="AO70" s="360">
        <f t="shared" si="71"/>
        <v>1.5749999999999998E-3</v>
      </c>
      <c r="AP70" s="360">
        <f t="shared" si="72"/>
        <v>0.25740000000000002</v>
      </c>
      <c r="AQ70" s="360">
        <f t="shared" si="26"/>
        <v>0.24596000000000001</v>
      </c>
      <c r="AR70" s="360">
        <f t="shared" si="73"/>
        <v>0.2288</v>
      </c>
      <c r="AS70" s="360">
        <f t="shared" si="74"/>
        <v>0.25897500000000001</v>
      </c>
      <c r="AT70" s="360">
        <f t="shared" si="75"/>
        <v>3.6224487163270664</v>
      </c>
      <c r="AU70">
        <f t="shared" si="76"/>
        <v>439.20000000000005</v>
      </c>
      <c r="AV70" s="542">
        <f t="shared" si="47"/>
        <v>0.99181963622931046</v>
      </c>
      <c r="AW70" s="551">
        <f t="shared" si="77"/>
        <v>45.959102895678882</v>
      </c>
      <c r="AX70" s="551">
        <f t="shared" si="78"/>
        <v>8.5479031410028483</v>
      </c>
      <c r="AY70" s="9"/>
      <c r="AZ70" s="4">
        <f t="shared" si="48"/>
        <v>99.18196362293105</v>
      </c>
      <c r="BA70" s="360">
        <f t="shared" si="79"/>
        <v>0.97585852907178272</v>
      </c>
      <c r="BB70" s="360">
        <f t="shared" si="80"/>
        <v>1.4348403957021509</v>
      </c>
      <c r="BC70" s="360">
        <f t="shared" si="81"/>
        <v>1.2094500762020759</v>
      </c>
      <c r="BD70" s="360">
        <f t="shared" si="82"/>
        <v>0.22494481950007497</v>
      </c>
      <c r="BE70" s="360">
        <f t="shared" si="83"/>
        <v>0.74151357364646775</v>
      </c>
      <c r="BK70" s="18"/>
      <c r="BL70" s="19"/>
    </row>
    <row r="71" spans="1:64" ht="13" x14ac:dyDescent="0.3">
      <c r="A71" s="14" t="s">
        <v>59</v>
      </c>
      <c r="B71" s="15" t="s">
        <v>7</v>
      </c>
      <c r="C71" s="17" t="s">
        <v>76</v>
      </c>
      <c r="G71">
        <v>62</v>
      </c>
      <c r="H71" s="548">
        <f t="shared" si="49"/>
        <v>45</v>
      </c>
      <c r="I71" s="4">
        <f t="shared" si="50"/>
        <v>2</v>
      </c>
      <c r="J71" s="360">
        <f t="shared" si="84"/>
        <v>37.200000000000003</v>
      </c>
      <c r="K71" s="360">
        <f t="shared" si="51"/>
        <v>18.600000000000001</v>
      </c>
      <c r="L71" s="4">
        <f t="shared" si="52"/>
        <v>11.022222222222224</v>
      </c>
      <c r="M71" s="360">
        <f t="shared" si="53"/>
        <v>0.53506225006061159</v>
      </c>
      <c r="N71" s="4">
        <f t="shared" si="54"/>
        <v>5.0931174693014905</v>
      </c>
      <c r="O71" s="4">
        <f t="shared" si="39"/>
        <v>21.146558734650746</v>
      </c>
      <c r="P71" s="4">
        <f t="shared" si="40"/>
        <v>16.053441265349257</v>
      </c>
      <c r="Q71" s="4">
        <f t="shared" si="55"/>
        <v>0</v>
      </c>
      <c r="R71" s="4">
        <f t="shared" si="41"/>
        <v>18.658018485261024</v>
      </c>
      <c r="S71" s="360">
        <f t="shared" si="56"/>
        <v>0.64750627606119637</v>
      </c>
      <c r="T71" s="360">
        <f t="shared" si="57"/>
        <v>0.3</v>
      </c>
      <c r="U71" s="360">
        <f t="shared" si="58"/>
        <v>0.99926890717045069</v>
      </c>
      <c r="V71" s="4">
        <f t="shared" si="42"/>
        <v>1.4702563709578007</v>
      </c>
      <c r="W71" s="360">
        <f t="shared" si="10"/>
        <v>4.3233075926840036E-3</v>
      </c>
      <c r="X71" s="360">
        <f t="shared" si="43"/>
        <v>4.3233075926840036E-3</v>
      </c>
      <c r="Y71" s="4">
        <f t="shared" si="44"/>
        <v>9.3060435273324273</v>
      </c>
      <c r="Z71" s="360">
        <f t="shared" si="11"/>
        <v>0.12990366919890864</v>
      </c>
      <c r="AA71" s="541">
        <f t="shared" si="45"/>
        <v>0.12990366919890864</v>
      </c>
      <c r="AB71" s="360">
        <f t="shared" si="46"/>
        <v>13.647957919597058</v>
      </c>
      <c r="AC71" s="360">
        <f t="shared" si="59"/>
        <v>0.24214678198761966</v>
      </c>
      <c r="AD71" s="360">
        <f t="shared" si="60"/>
        <v>0.54607034482758632</v>
      </c>
      <c r="AE71" s="360">
        <f t="shared" si="61"/>
        <v>0.36630000000000001</v>
      </c>
      <c r="AF71" s="360">
        <f t="shared" si="62"/>
        <v>0</v>
      </c>
      <c r="AG71" s="360">
        <f t="shared" si="63"/>
        <v>1.1986344385713019</v>
      </c>
      <c r="AH71" s="360">
        <f t="shared" si="64"/>
        <v>12.722220656050974</v>
      </c>
      <c r="AI71" s="360">
        <f t="shared" si="65"/>
        <v>0.21041136794762505</v>
      </c>
      <c r="AJ71" s="360">
        <f t="shared" si="66"/>
        <v>0</v>
      </c>
      <c r="AK71" s="360">
        <f t="shared" si="67"/>
        <v>0.21736319231641243</v>
      </c>
      <c r="AL71" s="360">
        <f t="shared" si="68"/>
        <v>8.2494719999999994E-2</v>
      </c>
      <c r="AM71" s="360">
        <f t="shared" si="69"/>
        <v>4.4549999999999999E-2</v>
      </c>
      <c r="AN71" s="360">
        <f t="shared" si="70"/>
        <v>0.76586763835195271</v>
      </c>
      <c r="AO71" s="360">
        <f t="shared" si="71"/>
        <v>1.5749999999999998E-3</v>
      </c>
      <c r="AP71" s="360">
        <f t="shared" si="72"/>
        <v>0.25740000000000002</v>
      </c>
      <c r="AQ71" s="360">
        <f t="shared" si="26"/>
        <v>0.24596000000000001</v>
      </c>
      <c r="AR71" s="360">
        <f t="shared" si="73"/>
        <v>0.2288</v>
      </c>
      <c r="AS71" s="360">
        <f t="shared" si="74"/>
        <v>0.25897500000000001</v>
      </c>
      <c r="AT71" s="360">
        <f t="shared" si="75"/>
        <v>3.7013808732017104</v>
      </c>
      <c r="AU71">
        <f t="shared" si="76"/>
        <v>446.40000000000003</v>
      </c>
      <c r="AV71" s="542">
        <f t="shared" si="47"/>
        <v>0.99177656183586693</v>
      </c>
      <c r="AW71" s="551">
        <f t="shared" si="77"/>
        <v>46.665422665709478</v>
      </c>
      <c r="AX71" s="551">
        <f t="shared" si="78"/>
        <v>8.818458308023672</v>
      </c>
      <c r="AY71" s="9"/>
      <c r="AZ71" s="4">
        <f t="shared" si="48"/>
        <v>99.177656183586691</v>
      </c>
      <c r="BA71" s="360">
        <f t="shared" si="79"/>
        <v>0.99926890717045069</v>
      </c>
      <c r="BB71" s="360">
        <f t="shared" si="80"/>
        <v>1.4605476308877146</v>
      </c>
      <c r="BC71" s="360">
        <f t="shared" si="81"/>
        <v>1.228037438571302</v>
      </c>
      <c r="BD71" s="360">
        <f t="shared" si="82"/>
        <v>0.23206469231641244</v>
      </c>
      <c r="BE71" s="360">
        <f t="shared" si="83"/>
        <v>0.76586763835195271</v>
      </c>
      <c r="BK71" s="18"/>
      <c r="BL71" s="19"/>
    </row>
    <row r="72" spans="1:64" x14ac:dyDescent="0.25">
      <c r="A72" s="32" t="s">
        <v>88</v>
      </c>
      <c r="B72" s="450">
        <f>(Qgd_Q1+Qgs_Q1/2)*(RdsonDRT+Rgate1)/(VCC-Vsp_Q1)*1000000000</f>
        <v>4</v>
      </c>
      <c r="C72" s="21" t="s">
        <v>75</v>
      </c>
      <c r="D72" s="114" t="s">
        <v>508</v>
      </c>
      <c r="G72">
        <v>63</v>
      </c>
      <c r="H72" s="548">
        <f t="shared" si="49"/>
        <v>45</v>
      </c>
      <c r="I72" s="4">
        <f t="shared" si="50"/>
        <v>2</v>
      </c>
      <c r="J72" s="360">
        <f t="shared" si="84"/>
        <v>37.799999999999997</v>
      </c>
      <c r="K72" s="360">
        <f t="shared" si="51"/>
        <v>18.899999999999999</v>
      </c>
      <c r="L72" s="4">
        <f t="shared" si="52"/>
        <v>11.2</v>
      </c>
      <c r="M72" s="360">
        <f t="shared" si="53"/>
        <v>0.5350901100716271</v>
      </c>
      <c r="N72" s="4">
        <f t="shared" si="54"/>
        <v>5.0931520862592041</v>
      </c>
      <c r="O72" s="4">
        <f t="shared" si="39"/>
        <v>21.4465760431296</v>
      </c>
      <c r="P72" s="4">
        <f t="shared" si="40"/>
        <v>16.353423956870397</v>
      </c>
      <c r="Q72" s="4">
        <f t="shared" si="55"/>
        <v>0</v>
      </c>
      <c r="R72" s="4">
        <f t="shared" si="41"/>
        <v>18.957101128103609</v>
      </c>
      <c r="S72" s="360">
        <f t="shared" si="56"/>
        <v>0.66843133071693372</v>
      </c>
      <c r="T72" s="360">
        <f t="shared" si="57"/>
        <v>0.3</v>
      </c>
      <c r="U72" s="360">
        <f t="shared" si="58"/>
        <v>1.0231434201442366</v>
      </c>
      <c r="V72" s="4">
        <f t="shared" si="42"/>
        <v>1.4702663640127278</v>
      </c>
      <c r="W72" s="360">
        <f t="shared" si="10"/>
        <v>4.3233663622944144E-3</v>
      </c>
      <c r="X72" s="360">
        <f t="shared" si="43"/>
        <v>4.3233663622944144E-3</v>
      </c>
      <c r="Y72" s="4">
        <f t="shared" si="44"/>
        <v>9.455179572847193</v>
      </c>
      <c r="Z72" s="360">
        <f t="shared" si="11"/>
        <v>0.13410063113218024</v>
      </c>
      <c r="AA72" s="541">
        <f t="shared" si="45"/>
        <v>0.13410063113218024</v>
      </c>
      <c r="AB72" s="360">
        <f t="shared" si="46"/>
        <v>13.867091746650626</v>
      </c>
      <c r="AC72" s="360">
        <f t="shared" si="59"/>
        <v>0.24998510356303366</v>
      </c>
      <c r="AD72" s="360">
        <f t="shared" si="60"/>
        <v>0.55487793103448269</v>
      </c>
      <c r="AE72" s="360">
        <f t="shared" si="61"/>
        <v>0.36630000000000001</v>
      </c>
      <c r="AF72" s="360">
        <f t="shared" si="62"/>
        <v>0</v>
      </c>
      <c r="AG72" s="360">
        <f t="shared" si="63"/>
        <v>1.2174223264436221</v>
      </c>
      <c r="AH72" s="360">
        <f t="shared" si="64"/>
        <v>12.925766889090999</v>
      </c>
      <c r="AI72" s="360">
        <f t="shared" si="65"/>
        <v>0.21719808457245757</v>
      </c>
      <c r="AJ72" s="360">
        <f t="shared" si="66"/>
        <v>0</v>
      </c>
      <c r="AK72" s="360">
        <f t="shared" si="67"/>
        <v>0.22461349908143763</v>
      </c>
      <c r="AL72" s="360">
        <f t="shared" si="68"/>
        <v>8.3825279999999988E-2</v>
      </c>
      <c r="AM72" s="360">
        <f t="shared" si="69"/>
        <v>4.4549999999999999E-2</v>
      </c>
      <c r="AN72" s="360">
        <f t="shared" si="70"/>
        <v>0.79061770299852374</v>
      </c>
      <c r="AO72" s="360">
        <f t="shared" si="71"/>
        <v>1.5749999999999998E-3</v>
      </c>
      <c r="AP72" s="360">
        <f t="shared" si="72"/>
        <v>0.25740000000000002</v>
      </c>
      <c r="AQ72" s="360">
        <f t="shared" si="26"/>
        <v>0.24596000000000001</v>
      </c>
      <c r="AR72" s="360">
        <f t="shared" si="73"/>
        <v>0.2288</v>
      </c>
      <c r="AS72" s="360">
        <f t="shared" si="74"/>
        <v>0.25897500000000001</v>
      </c>
      <c r="AT72" s="360">
        <f t="shared" si="75"/>
        <v>3.7815712261622947</v>
      </c>
      <c r="AU72">
        <f t="shared" si="76"/>
        <v>453.59999999999997</v>
      </c>
      <c r="AV72" s="542">
        <f t="shared" si="47"/>
        <v>0.99173213031730922</v>
      </c>
      <c r="AW72" s="551">
        <f t="shared" si="77"/>
        <v>47.379362404857645</v>
      </c>
      <c r="AX72" s="551">
        <f t="shared" si="78"/>
        <v>9.0939699650946295</v>
      </c>
      <c r="AY72" s="9"/>
      <c r="AZ72" s="4">
        <f t="shared" si="48"/>
        <v>99.173213031730924</v>
      </c>
      <c r="BA72" s="360">
        <f t="shared" si="79"/>
        <v>1.0231434201442366</v>
      </c>
      <c r="BB72" s="360">
        <f t="shared" si="80"/>
        <v>1.4865858255250599</v>
      </c>
      <c r="BC72" s="360">
        <f t="shared" si="81"/>
        <v>1.2468253264436222</v>
      </c>
      <c r="BD72" s="360">
        <f t="shared" si="82"/>
        <v>0.23931499908143763</v>
      </c>
      <c r="BE72" s="360">
        <f t="shared" si="83"/>
        <v>0.79061770299852374</v>
      </c>
      <c r="BK72" s="18"/>
      <c r="BL72" s="19"/>
    </row>
    <row r="73" spans="1:64" x14ac:dyDescent="0.25">
      <c r="A73" s="33" t="s">
        <v>89</v>
      </c>
      <c r="B73" s="450">
        <f>(Qgd_Q1+Qgs_Q1/2)*(RdsonDRT2+Rgate1)/(Vsp_Q1)*1000000000</f>
        <v>1.931034482758621</v>
      </c>
      <c r="C73" s="21" t="s">
        <v>75</v>
      </c>
      <c r="D73" s="114" t="s">
        <v>509</v>
      </c>
      <c r="G73">
        <v>64</v>
      </c>
      <c r="H73" s="548">
        <f t="shared" ref="H73:H109" si="85">Vin</f>
        <v>45</v>
      </c>
      <c r="I73" s="4">
        <f t="shared" ref="I73:I109" si="86">MODE</f>
        <v>2</v>
      </c>
      <c r="J73" s="360">
        <f t="shared" si="84"/>
        <v>38.4</v>
      </c>
      <c r="K73" s="360">
        <f t="shared" ref="K73:K109" si="87">Iout*G73/100/Number_of_Phases</f>
        <v>19.2</v>
      </c>
      <c r="L73" s="4">
        <f t="shared" ref="L73:L104" si="88">Vout*K73/(Vin*Efficiency)</f>
        <v>11.377777777777776</v>
      </c>
      <c r="M73" s="360">
        <f t="shared" ref="M73:M109" si="89">(Vout+(Rdson2+Rs+Rdcr)*K73)/(Vin+(Rs+Rdson2-Rdson1)*K73)</f>
        <v>0.53511796926618216</v>
      </c>
      <c r="N73" s="4">
        <f t="shared" ref="N73:N104" si="90">(Vin-(Rdson1+Rdcr)*K73-Vout)*M73/(Fsw*Lf)</f>
        <v>5.093186671435685</v>
      </c>
      <c r="O73" s="4">
        <f t="shared" si="39"/>
        <v>21.74659333571784</v>
      </c>
      <c r="P73" s="4">
        <f t="shared" si="40"/>
        <v>16.653406664282159</v>
      </c>
      <c r="Q73" s="4">
        <f t="shared" ref="Q73:Q104" si="91">IF(MIN(Vin, -P73/(Coss_Q1+Coss_Q2)*0.00000002)&lt;0, 0, MIN(Vin, -P73/(Coss_Q1+Coss_Q2)*0.00000002))</f>
        <v>0</v>
      </c>
      <c r="R73" s="4">
        <f t="shared" si="41"/>
        <v>19.256212310295453</v>
      </c>
      <c r="S73" s="360">
        <f t="shared" ref="S73:S104" si="92">R73^2*Rdcr</f>
        <v>0.689691185322864</v>
      </c>
      <c r="T73" s="360">
        <f t="shared" ref="T73:T109" si="93">Core_Loss_Ch1</f>
        <v>0.3</v>
      </c>
      <c r="U73" s="360">
        <f t="shared" ref="U73:U104" si="94">(T73+S73*(1+Ltc*(Ta-25)))/(1-S73*Ltc*ThetaCa)</f>
        <v>1.0474865653946066</v>
      </c>
      <c r="V73" s="4">
        <f t="shared" si="42"/>
        <v>1.4702763478932035</v>
      </c>
      <c r="W73" s="360">
        <f t="shared" si="10"/>
        <v>4.3234250783483535E-3</v>
      </c>
      <c r="X73" s="360">
        <f t="shared" si="43"/>
        <v>4.3234250783483535E-3</v>
      </c>
      <c r="Y73" s="4">
        <f t="shared" si="44"/>
        <v>9.6043286518196691</v>
      </c>
      <c r="Z73" s="360">
        <f t="shared" si="11"/>
        <v>0.13836469327824633</v>
      </c>
      <c r="AA73" s="541">
        <f t="shared" si="45"/>
        <v>0.13836469327824633</v>
      </c>
      <c r="AB73" s="360">
        <f t="shared" si="46"/>
        <v>14.086257821521849</v>
      </c>
      <c r="AC73" s="360">
        <f t="shared" ref="AC73:AC104" si="95">Rdson1*AB73^2</f>
        <v>0.25794945723870111</v>
      </c>
      <c r="AD73" s="360">
        <f t="shared" ref="AD73:AD109" si="96">(Vin*K73/2)*Fsw*(Tr_buck+Tf_buck)</f>
        <v>0.56368551724137939</v>
      </c>
      <c r="AE73" s="360">
        <f t="shared" ref="AE73:AE109" si="97">(0.5*Coss_Q1*(Vin-Q73)^2-0.5*Coss_Q2*(Vin-Q73)^2+(Qoss_Q2*(Vin-Q73)/Vin)*Vin)*Fsw</f>
        <v>0.36630000000000001</v>
      </c>
      <c r="AF73" s="360">
        <f t="shared" ref="AF73:AF109" si="98">IF(K73&gt;N73/2,0,ABS(K73-N73/2)*Vsd_Q1*Deadtime*Fsw)</f>
        <v>0</v>
      </c>
      <c r="AG73" s="360">
        <f t="shared" ref="AG73:AG104" si="99">(AF73+AE73+AD73+AC73*(1+RdsonTopTc*Ta-RdsonTopTc*25))/(1-AC73*RdsonTopTc*ThetaJA_Q1)</f>
        <v>1.2364126335787984</v>
      </c>
      <c r="AH73" s="360">
        <f t="shared" ref="AH73:AH109" si="100">SQRT((1-M73))*SQRT(K73^2+(N73^2)/12)</f>
        <v>13.129320360353336</v>
      </c>
      <c r="AI73" s="360">
        <f t="shared" ref="AI73:AI104" si="101">Rdson2*AH73^2</f>
        <v>0.22409276906222525</v>
      </c>
      <c r="AJ73" s="360">
        <f t="shared" ref="AJ73:AJ109" si="102">IF(K73&lt;N73/2,Deadtime*Fsw*IF(VfdSky_Q2&gt;0,0,Vsd_Q2)*(K73+N73/2),2*Deadtime*Fsw*IF(VfdSky_Q2&gt;0,0,Vsd_Q2)*K73)</f>
        <v>0</v>
      </c>
      <c r="AK73" s="360">
        <f t="shared" ref="AK73:AK104" si="103">(AJ73+AI73*(1+RdsonBotTc*Ta-RdsonBotTc*25))/(1-AI73*RdsonBotTc*ThetaJA_Q2)</f>
        <v>0.2319950063771502</v>
      </c>
      <c r="AL73" s="360">
        <f t="shared" ref="AL73:AL109" si="104">2*Deadtime*Fsw*IF(VfdSky_Q2&gt;0,VfdSky_Q2,Vsd_Q2)*K73</f>
        <v>8.5155839999999983E-2</v>
      </c>
      <c r="AM73" s="360">
        <f t="shared" ref="AM73:AM109" si="105">IF(QrrSky_Q2&gt;0,QrrSky_Q2,Qrr_Q2*K73/(Iout/Number_of_Phases))*Fsw*Vin</f>
        <v>4.4549999999999999E-2</v>
      </c>
      <c r="AN73" s="360">
        <f t="shared" ref="AN73:AN109" si="106">CHOOSE(SENSING_TYPE, Rs*R73^2, 0)</f>
        <v>0.81576376758618319</v>
      </c>
      <c r="AO73" s="360">
        <f t="shared" ref="AO73:AO109" si="107">Iq*Vin</f>
        <v>1.5749999999999998E-3</v>
      </c>
      <c r="AP73" s="360">
        <f t="shared" ref="AP73:AP109" si="108">IF(Ext_VCC=1,  (Qg_Q1+Qg_Q2)*Fsw*VCC, (Qg_Q1+Qg_Q2)*Fsw*Vin)</f>
        <v>0.25740000000000002</v>
      </c>
      <c r="AQ73" s="360">
        <f t="shared" ref="AQ73:AQ109" si="109">(Vin-VCC)*Fsw*(Qg_Q1+Qg_Q2)+(RdsonDRT+RdsonDRT2)*Fsw*Qg_Q1*VCC/(RdsonDRT+2*Rgate1+RdsonDRT2)+(RdsonDRB+RdsonDRB2)*Fsw*Qg_Q2*VCC/(RdsonDRB+2*Rgate2+RdsonDRB2)</f>
        <v>0.24596000000000001</v>
      </c>
      <c r="AR73" s="360">
        <f t="shared" ref="AR73:AR109" si="110">(Qg_Q1+Qg_Q2)*Fsw*(Vin-VCC)</f>
        <v>0.2288</v>
      </c>
      <c r="AS73" s="360">
        <f t="shared" si="74"/>
        <v>0.25897500000000001</v>
      </c>
      <c r="AT73" s="360">
        <f t="shared" ref="AT73:AT104" si="111" xml:space="preserve"> SUM(U73,X73,AA73,AG73,AK73,AL73,AM73,AS73,AN73)</f>
        <v>3.8630269312933332</v>
      </c>
      <c r="AU73">
        <f t="shared" ref="AU73:AU109" si="112">Vout*K73</f>
        <v>460.79999999999995</v>
      </c>
      <c r="AV73" s="542">
        <f t="shared" si="47"/>
        <v>0.99168639055100771</v>
      </c>
      <c r="AW73" s="551">
        <f t="shared" ref="AW73:AW109" si="113">ThetaJA_Q1*BC73</f>
        <v>48.100994075994343</v>
      </c>
      <c r="AX73" s="551">
        <f t="shared" ref="AX73:AX109" si="114">ThetaJA_Q2*BD73</f>
        <v>9.3744672423317077</v>
      </c>
      <c r="AY73" s="9"/>
      <c r="AZ73" s="4">
        <f t="shared" si="48"/>
        <v>99.168639055100769</v>
      </c>
      <c r="BA73" s="360">
        <f t="shared" ref="BA73:BA109" si="115">U73</f>
        <v>1.0474865653946066</v>
      </c>
      <c r="BB73" s="360">
        <f t="shared" si="80"/>
        <v>1.5129576399559488</v>
      </c>
      <c r="BC73" s="360">
        <f t="shared" si="81"/>
        <v>1.2658156335787984</v>
      </c>
      <c r="BD73" s="360">
        <f t="shared" si="82"/>
        <v>0.24669650637715021</v>
      </c>
      <c r="BE73" s="360">
        <f t="shared" si="83"/>
        <v>0.81576376758618319</v>
      </c>
      <c r="BK73" s="18"/>
      <c r="BL73" s="19"/>
    </row>
    <row r="74" spans="1:64" ht="13" x14ac:dyDescent="0.3">
      <c r="A74" s="14" t="s">
        <v>114</v>
      </c>
      <c r="B74" s="15" t="s">
        <v>7</v>
      </c>
      <c r="C74" s="17" t="s">
        <v>76</v>
      </c>
      <c r="G74">
        <v>65</v>
      </c>
      <c r="H74" s="548">
        <f t="shared" si="85"/>
        <v>45</v>
      </c>
      <c r="I74" s="4">
        <f t="shared" si="86"/>
        <v>2</v>
      </c>
      <c r="J74" s="360">
        <f t="shared" ref="J74:J109" si="116">Iout*G74/100</f>
        <v>39</v>
      </c>
      <c r="K74" s="360">
        <f t="shared" si="87"/>
        <v>19.5</v>
      </c>
      <c r="L74" s="4">
        <f t="shared" si="88"/>
        <v>11.555555555555555</v>
      </c>
      <c r="M74" s="360">
        <f t="shared" si="89"/>
        <v>0.5351458276443124</v>
      </c>
      <c r="N74" s="4">
        <f t="shared" si="90"/>
        <v>5.0932212248323259</v>
      </c>
      <c r="O74" s="4">
        <f t="shared" ref="O74:O109" si="117">K74+N74/2</f>
        <v>22.046610612416163</v>
      </c>
      <c r="P74" s="4">
        <f t="shared" ref="P74:P109" si="118">K74-N74/2</f>
        <v>16.953389387583837</v>
      </c>
      <c r="Q74" s="4">
        <f t="shared" si="91"/>
        <v>0</v>
      </c>
      <c r="R74" s="4">
        <f t="shared" ref="R74:R109" si="119">SQRT(K74^2+(N74^2)/12)</f>
        <v>19.555350722255625</v>
      </c>
      <c r="S74" s="360">
        <f t="shared" si="92"/>
        <v>0.71128583987898797</v>
      </c>
      <c r="T74" s="360">
        <f t="shared" si="93"/>
        <v>0.3</v>
      </c>
      <c r="U74" s="360">
        <f t="shared" si="94"/>
        <v>1.0723029523652126</v>
      </c>
      <c r="V74" s="4">
        <f t="shared" ref="V74:V109" si="120">N74/SQRT(12)</f>
        <v>1.4702863225996294</v>
      </c>
      <c r="W74" s="360">
        <f t="shared" ref="W74:W109" si="121">RCoutEsr*V74^2</f>
        <v>4.3234837408470837E-3</v>
      </c>
      <c r="X74" s="360">
        <f t="shared" ref="X74:X109" si="122">W74</f>
        <v>4.3234837408470837E-3</v>
      </c>
      <c r="Y74" s="4">
        <f t="shared" ref="Y74:Y109" si="123">SQRT(M74*(1-M74))*SQRT(K74^2+(N74^2)/12)</f>
        <v>9.7534901095616711</v>
      </c>
      <c r="Z74" s="360">
        <f t="shared" ref="Z74:Z109" si="124">RCinEsr*Y74^2</f>
        <v>0.14269585397597601</v>
      </c>
      <c r="AA74" s="541">
        <f t="shared" ref="AA74:AA109" si="125">Z74</f>
        <v>0.14269585397597601</v>
      </c>
      <c r="AB74" s="360">
        <f t="shared" ref="AB74:AB109" si="126">SQRT(M74)*SQRT(K74^2+(N74^2)/12)</f>
        <v>14.305455186891152</v>
      </c>
      <c r="AC74" s="360">
        <f t="shared" si="95"/>
        <v>0.26603986253539624</v>
      </c>
      <c r="AD74" s="360">
        <f t="shared" si="96"/>
        <v>0.57249310344827586</v>
      </c>
      <c r="AE74" s="360">
        <f t="shared" si="97"/>
        <v>0.36630000000000001</v>
      </c>
      <c r="AF74" s="360">
        <f t="shared" si="98"/>
        <v>0</v>
      </c>
      <c r="AG74" s="360">
        <f t="shared" si="99"/>
        <v>1.2556072876966975</v>
      </c>
      <c r="AH74" s="360">
        <f t="shared" si="100"/>
        <v>13.332880175201179</v>
      </c>
      <c r="AI74" s="360">
        <f t="shared" si="101"/>
        <v>0.23109540189615441</v>
      </c>
      <c r="AJ74" s="360">
        <f t="shared" si="102"/>
        <v>0</v>
      </c>
      <c r="AK74" s="360">
        <f t="shared" si="103"/>
        <v>0.23950849739037425</v>
      </c>
      <c r="AL74" s="360">
        <f t="shared" si="104"/>
        <v>8.6486399999999991E-2</v>
      </c>
      <c r="AM74" s="360">
        <f t="shared" si="105"/>
        <v>4.4549999999999999E-2</v>
      </c>
      <c r="AN74" s="360">
        <f t="shared" si="106"/>
        <v>0.84130583211493204</v>
      </c>
      <c r="AO74" s="360">
        <f t="shared" si="107"/>
        <v>1.5749999999999998E-3</v>
      </c>
      <c r="AP74" s="360">
        <f t="shared" si="108"/>
        <v>0.25740000000000002</v>
      </c>
      <c r="AQ74" s="360">
        <f t="shared" si="109"/>
        <v>0.24596000000000001</v>
      </c>
      <c r="AR74" s="360">
        <f t="shared" si="110"/>
        <v>0.2288</v>
      </c>
      <c r="AS74" s="360">
        <f t="shared" si="74"/>
        <v>0.25897500000000001</v>
      </c>
      <c r="AT74" s="360">
        <f t="shared" si="111"/>
        <v>3.9457553072840392</v>
      </c>
      <c r="AU74">
        <f t="shared" si="112"/>
        <v>468</v>
      </c>
      <c r="AV74" s="542">
        <f t="shared" ref="AV74:AV109" si="127">AU74/(AU74+AT74)</f>
        <v>0.99163938808027852</v>
      </c>
      <c r="AW74" s="551">
        <f t="shared" si="113"/>
        <v>48.830390932474508</v>
      </c>
      <c r="AX74" s="551">
        <f t="shared" si="114"/>
        <v>9.6599799008342213</v>
      </c>
      <c r="AY74" s="9"/>
      <c r="AZ74" s="4">
        <f t="shared" ref="AZ74:AZ109" si="128">AV74*100</f>
        <v>99.163938808027851</v>
      </c>
      <c r="BA74" s="360">
        <f t="shared" si="115"/>
        <v>1.0723029523652126</v>
      </c>
      <c r="BB74" s="360">
        <f t="shared" ref="BB74:BB109" si="129">AG74+AK74+AM74</f>
        <v>1.5396657850870719</v>
      </c>
      <c r="BC74" s="360">
        <f t="shared" ref="BC74:BC109" si="130">AG74+AM74*0.66</f>
        <v>1.2850102876966976</v>
      </c>
      <c r="BD74" s="360">
        <f t="shared" ref="BD74:BD109" si="131">AK74+AM74*0.33</f>
        <v>0.25420999739037425</v>
      </c>
      <c r="BE74" s="360">
        <f t="shared" ref="BE74:BE109" si="132">AN74</f>
        <v>0.84130583211493204</v>
      </c>
      <c r="BK74" s="18"/>
      <c r="BL74" s="19"/>
    </row>
    <row r="75" spans="1:64" ht="13" x14ac:dyDescent="0.3">
      <c r="A75" s="34" t="s">
        <v>115</v>
      </c>
      <c r="B75" s="603">
        <f>AS9</f>
        <v>0.25897500000000001</v>
      </c>
      <c r="C75" s="78" t="s">
        <v>116</v>
      </c>
      <c r="G75">
        <v>66</v>
      </c>
      <c r="H75" s="548">
        <f t="shared" si="85"/>
        <v>45</v>
      </c>
      <c r="I75" s="4">
        <f t="shared" si="86"/>
        <v>2</v>
      </c>
      <c r="J75" s="360">
        <f t="shared" si="116"/>
        <v>39.6</v>
      </c>
      <c r="K75" s="360">
        <f t="shared" si="87"/>
        <v>19.8</v>
      </c>
      <c r="L75" s="4">
        <f t="shared" si="88"/>
        <v>11.733333333333334</v>
      </c>
      <c r="M75" s="360">
        <f t="shared" si="89"/>
        <v>0.53517368520605391</v>
      </c>
      <c r="N75" s="4">
        <f t="shared" si="90"/>
        <v>5.0932557464505273</v>
      </c>
      <c r="O75" s="4">
        <f t="shared" si="117"/>
        <v>22.346627873225266</v>
      </c>
      <c r="P75" s="4">
        <f t="shared" si="118"/>
        <v>17.253372126774735</v>
      </c>
      <c r="Q75" s="4">
        <f t="shared" si="91"/>
        <v>0</v>
      </c>
      <c r="R75" s="4">
        <f t="shared" si="119"/>
        <v>19.854515133210782</v>
      </c>
      <c r="S75" s="360">
        <f t="shared" si="92"/>
        <v>0.73321529438530653</v>
      </c>
      <c r="T75" s="360">
        <f t="shared" si="93"/>
        <v>0.3</v>
      </c>
      <c r="U75" s="360">
        <f t="shared" si="94"/>
        <v>1.0975973048655898</v>
      </c>
      <c r="V75" s="4">
        <f t="shared" si="120"/>
        <v>1.4702962881324102</v>
      </c>
      <c r="W75" s="360">
        <f t="shared" si="121"/>
        <v>4.323542349791887E-3</v>
      </c>
      <c r="X75" s="360">
        <f t="shared" si="122"/>
        <v>4.323542349791887E-3</v>
      </c>
      <c r="Y75" s="4">
        <f t="shared" si="123"/>
        <v>9.9026633307013547</v>
      </c>
      <c r="Z75" s="360">
        <f t="shared" si="124"/>
        <v>0.14709411156182589</v>
      </c>
      <c r="AA75" s="541">
        <f t="shared" si="125"/>
        <v>0.14709411156182589</v>
      </c>
      <c r="AB75" s="360">
        <f t="shared" si="126"/>
        <v>14.524682942991308</v>
      </c>
      <c r="AC75" s="360">
        <f t="shared" si="95"/>
        <v>0.27425633897274942</v>
      </c>
      <c r="AD75" s="360">
        <f t="shared" si="96"/>
        <v>0.58130068965517245</v>
      </c>
      <c r="AE75" s="360">
        <f t="shared" si="97"/>
        <v>0.36630000000000001</v>
      </c>
      <c r="AF75" s="360">
        <f t="shared" si="98"/>
        <v>0</v>
      </c>
      <c r="AG75" s="360">
        <f t="shared" si="99"/>
        <v>1.2750082510834559</v>
      </c>
      <c r="AH75" s="360">
        <f t="shared" si="100"/>
        <v>13.536445492834273</v>
      </c>
      <c r="AI75" s="360">
        <f t="shared" si="101"/>
        <v>0.23820596355461529</v>
      </c>
      <c r="AJ75" s="360">
        <f t="shared" si="102"/>
        <v>0</v>
      </c>
      <c r="AK75" s="360">
        <f t="shared" si="103"/>
        <v>0.2471547721323368</v>
      </c>
      <c r="AL75" s="360">
        <f t="shared" si="104"/>
        <v>8.7816959999999986E-2</v>
      </c>
      <c r="AM75" s="360">
        <f t="shared" si="105"/>
        <v>4.4549999999999999E-2</v>
      </c>
      <c r="AN75" s="360">
        <f t="shared" si="106"/>
        <v>0.86724389658477119</v>
      </c>
      <c r="AO75" s="360">
        <f t="shared" si="107"/>
        <v>1.5749999999999998E-3</v>
      </c>
      <c r="AP75" s="360">
        <f t="shared" si="108"/>
        <v>0.25740000000000002</v>
      </c>
      <c r="AQ75" s="360">
        <f t="shared" si="109"/>
        <v>0.24596000000000001</v>
      </c>
      <c r="AR75" s="360">
        <f t="shared" si="110"/>
        <v>0.2288</v>
      </c>
      <c r="AS75" s="360">
        <f t="shared" ref="AS75:AS109" si="133">SUM(AO75:AP75)</f>
        <v>0.25897500000000001</v>
      </c>
      <c r="AT75" s="360">
        <f t="shared" si="111"/>
        <v>4.0297638385777717</v>
      </c>
      <c r="AU75">
        <f t="shared" si="112"/>
        <v>475.20000000000005</v>
      </c>
      <c r="AV75" s="542">
        <f t="shared" si="127"/>
        <v>0.9915911653602234</v>
      </c>
      <c r="AW75" s="551">
        <f t="shared" si="113"/>
        <v>49.567627541171326</v>
      </c>
      <c r="AX75" s="551">
        <f t="shared" si="114"/>
        <v>9.950538341028798</v>
      </c>
      <c r="AY75" s="9"/>
      <c r="AZ75" s="4">
        <f t="shared" si="128"/>
        <v>99.159116536022339</v>
      </c>
      <c r="BA75" s="360">
        <f t="shared" si="115"/>
        <v>1.0975973048655898</v>
      </c>
      <c r="BB75" s="360">
        <f t="shared" si="129"/>
        <v>1.5667130232157929</v>
      </c>
      <c r="BC75" s="360">
        <f t="shared" si="130"/>
        <v>1.304411251083456</v>
      </c>
      <c r="BD75" s="360">
        <f t="shared" si="131"/>
        <v>0.26185627213233681</v>
      </c>
      <c r="BE75" s="360">
        <f t="shared" si="132"/>
        <v>0.86724389658477119</v>
      </c>
      <c r="BK75" s="18"/>
      <c r="BL75" s="19"/>
    </row>
    <row r="76" spans="1:64" ht="13" x14ac:dyDescent="0.3">
      <c r="A76" s="34" t="s">
        <v>119</v>
      </c>
      <c r="B76" s="604">
        <f>B75*B62</f>
        <v>7.7692500000000004</v>
      </c>
      <c r="C76" s="440" t="s">
        <v>465</v>
      </c>
      <c r="G76">
        <v>67</v>
      </c>
      <c r="H76" s="548">
        <f t="shared" si="85"/>
        <v>45</v>
      </c>
      <c r="I76" s="4">
        <f t="shared" si="86"/>
        <v>2</v>
      </c>
      <c r="J76" s="360">
        <f t="shared" si="116"/>
        <v>40.200000000000003</v>
      </c>
      <c r="K76" s="360">
        <f t="shared" si="87"/>
        <v>20.100000000000001</v>
      </c>
      <c r="L76" s="4">
        <f t="shared" si="88"/>
        <v>11.911111111111111</v>
      </c>
      <c r="M76" s="360">
        <f t="shared" si="89"/>
        <v>0.53520154195144232</v>
      </c>
      <c r="N76" s="4">
        <f t="shared" si="90"/>
        <v>5.0932902362916819</v>
      </c>
      <c r="O76" s="4">
        <f t="shared" si="117"/>
        <v>22.646645118145841</v>
      </c>
      <c r="P76" s="4">
        <f t="shared" si="118"/>
        <v>17.553354881854162</v>
      </c>
      <c r="Q76" s="4">
        <f t="shared" si="91"/>
        <v>0</v>
      </c>
      <c r="R76" s="4">
        <f t="shared" si="119"/>
        <v>20.153704385362808</v>
      </c>
      <c r="S76" s="360">
        <f t="shared" si="92"/>
        <v>0.75547954884182134</v>
      </c>
      <c r="T76" s="360">
        <f t="shared" si="93"/>
        <v>0.3</v>
      </c>
      <c r="U76" s="360">
        <f t="shared" si="94"/>
        <v>1.1233744634691916</v>
      </c>
      <c r="V76" s="4">
        <f t="shared" si="120"/>
        <v>1.4703062444919477</v>
      </c>
      <c r="W76" s="360">
        <f t="shared" si="121"/>
        <v>4.3236009051840297E-3</v>
      </c>
      <c r="X76" s="360">
        <f t="shared" si="122"/>
        <v>4.3236009051840297E-3</v>
      </c>
      <c r="Y76" s="4">
        <f t="shared" si="123"/>
        <v>10.051847736273521</v>
      </c>
      <c r="Z76" s="360">
        <f t="shared" si="124"/>
        <v>0.15155946436984066</v>
      </c>
      <c r="AA76" s="541">
        <f t="shared" si="125"/>
        <v>0.15155946436984066</v>
      </c>
      <c r="AB76" s="360">
        <f t="shared" si="126"/>
        <v>14.74394024334814</v>
      </c>
      <c r="AC76" s="360">
        <f t="shared" si="95"/>
        <v>0.28259890606924704</v>
      </c>
      <c r="AD76" s="360">
        <f t="shared" si="96"/>
        <v>0.59010827586206904</v>
      </c>
      <c r="AE76" s="360">
        <f t="shared" si="97"/>
        <v>0.36630000000000001</v>
      </c>
      <c r="AF76" s="360">
        <f t="shared" si="98"/>
        <v>0</v>
      </c>
      <c r="AG76" s="360">
        <f t="shared" si="99"/>
        <v>1.2946175212127837</v>
      </c>
      <c r="AH76" s="360">
        <f t="shared" si="100"/>
        <v>13.740015522304596</v>
      </c>
      <c r="AI76" s="360">
        <f t="shared" si="101"/>
        <v>0.24542443451912258</v>
      </c>
      <c r="AJ76" s="360">
        <f t="shared" si="102"/>
        <v>0</v>
      </c>
      <c r="AK76" s="360">
        <f t="shared" si="103"/>
        <v>0.25493464766394541</v>
      </c>
      <c r="AL76" s="360">
        <f t="shared" si="104"/>
        <v>8.9147519999999994E-2</v>
      </c>
      <c r="AM76" s="360">
        <f t="shared" si="105"/>
        <v>4.4549999999999999E-2</v>
      </c>
      <c r="AN76" s="360">
        <f t="shared" si="106"/>
        <v>0.89357796099570264</v>
      </c>
      <c r="AO76" s="360">
        <f t="shared" si="107"/>
        <v>1.5749999999999998E-3</v>
      </c>
      <c r="AP76" s="360">
        <f t="shared" si="108"/>
        <v>0.25740000000000002</v>
      </c>
      <c r="AQ76" s="360">
        <f t="shared" si="109"/>
        <v>0.24596000000000001</v>
      </c>
      <c r="AR76" s="360">
        <f t="shared" si="110"/>
        <v>0.2288</v>
      </c>
      <c r="AS76" s="360">
        <f t="shared" si="133"/>
        <v>0.25897500000000001</v>
      </c>
      <c r="AT76" s="360">
        <f t="shared" si="111"/>
        <v>4.1150601786166483</v>
      </c>
      <c r="AU76">
        <f t="shared" si="112"/>
        <v>482.40000000000003</v>
      </c>
      <c r="AV76" s="542">
        <f t="shared" si="127"/>
        <v>0.99154176198141564</v>
      </c>
      <c r="AW76" s="551">
        <f t="shared" si="113"/>
        <v>50.312779806085786</v>
      </c>
      <c r="AX76" s="551">
        <f t="shared" si="114"/>
        <v>10.246173611229924</v>
      </c>
      <c r="AY76" s="9"/>
      <c r="AZ76" s="4">
        <f t="shared" si="128"/>
        <v>99.15417619814157</v>
      </c>
      <c r="BA76" s="360">
        <f t="shared" si="115"/>
        <v>1.1233744634691916</v>
      </c>
      <c r="BB76" s="360">
        <f t="shared" si="129"/>
        <v>1.5941021688767292</v>
      </c>
      <c r="BC76" s="360">
        <f t="shared" si="130"/>
        <v>1.3240205212127838</v>
      </c>
      <c r="BD76" s="360">
        <f t="shared" si="131"/>
        <v>0.26963614766394539</v>
      </c>
      <c r="BE76" s="360">
        <f t="shared" si="132"/>
        <v>0.89357796099570264</v>
      </c>
      <c r="BK76" s="18"/>
      <c r="BL76" s="19"/>
    </row>
    <row r="77" spans="1:64" ht="13" x14ac:dyDescent="0.3">
      <c r="A77" s="34" t="s">
        <v>210</v>
      </c>
      <c r="B77" s="604">
        <f>(Qg_Q1+Qg_Q2)*Fsw+Iq</f>
        <v>5.7550000000000006E-3</v>
      </c>
      <c r="C77" s="21" t="s">
        <v>1</v>
      </c>
      <c r="G77">
        <v>68</v>
      </c>
      <c r="H77" s="548">
        <f t="shared" si="85"/>
        <v>45</v>
      </c>
      <c r="I77" s="4">
        <f t="shared" si="86"/>
        <v>2</v>
      </c>
      <c r="J77" s="360">
        <f t="shared" si="116"/>
        <v>40.799999999999997</v>
      </c>
      <c r="K77" s="360">
        <f t="shared" si="87"/>
        <v>20.399999999999999</v>
      </c>
      <c r="L77" s="4">
        <f t="shared" si="88"/>
        <v>12.088888888888889</v>
      </c>
      <c r="M77" s="360">
        <f t="shared" si="89"/>
        <v>0.53522939788051382</v>
      </c>
      <c r="N77" s="4">
        <f t="shared" si="90"/>
        <v>5.0933246943571913</v>
      </c>
      <c r="O77" s="4">
        <f t="shared" si="117"/>
        <v>22.946662347178595</v>
      </c>
      <c r="P77" s="4">
        <f t="shared" si="118"/>
        <v>17.853337652821402</v>
      </c>
      <c r="Q77" s="4">
        <f t="shared" si="91"/>
        <v>0</v>
      </c>
      <c r="R77" s="4">
        <f t="shared" si="119"/>
        <v>20.452917388566171</v>
      </c>
      <c r="S77" s="360">
        <f t="shared" si="92"/>
        <v>0.77807860324853317</v>
      </c>
      <c r="T77" s="360">
        <f t="shared" si="93"/>
        <v>0.3</v>
      </c>
      <c r="U77" s="360">
        <f t="shared" si="94"/>
        <v>1.1496393879881592</v>
      </c>
      <c r="V77" s="4">
        <f t="shared" si="120"/>
        <v>1.4703161916786465</v>
      </c>
      <c r="W77" s="360">
        <f t="shared" si="121"/>
        <v>4.3236594070247963E-3</v>
      </c>
      <c r="X77" s="360">
        <f t="shared" si="122"/>
        <v>4.3236594070247963E-3</v>
      </c>
      <c r="Y77" s="4">
        <f t="shared" si="123"/>
        <v>10.201042781064201</v>
      </c>
      <c r="Z77" s="360">
        <f t="shared" si="124"/>
        <v>0.15609191073165307</v>
      </c>
      <c r="AA77" s="541">
        <f t="shared" si="125"/>
        <v>0.15609191073165307</v>
      </c>
      <c r="AB77" s="360">
        <f t="shared" si="126"/>
        <v>14.963226290893479</v>
      </c>
      <c r="AC77" s="360">
        <f t="shared" si="95"/>
        <v>0.29106758334223154</v>
      </c>
      <c r="AD77" s="360">
        <f t="shared" si="96"/>
        <v>0.59891586206896541</v>
      </c>
      <c r="AE77" s="360">
        <f t="shared" si="97"/>
        <v>0.36630000000000001</v>
      </c>
      <c r="AF77" s="360">
        <f t="shared" si="98"/>
        <v>0</v>
      </c>
      <c r="AG77" s="360">
        <f t="shared" si="99"/>
        <v>1.314437131382804</v>
      </c>
      <c r="AH77" s="360">
        <f t="shared" si="100"/>
        <v>13.943589518880231</v>
      </c>
      <c r="AI77" s="360">
        <f t="shared" si="101"/>
        <v>0.25275079527233457</v>
      </c>
      <c r="AJ77" s="360">
        <f t="shared" si="102"/>
        <v>0</v>
      </c>
      <c r="AK77" s="360">
        <f t="shared" si="103"/>
        <v>0.2628489583268856</v>
      </c>
      <c r="AL77" s="360">
        <f t="shared" si="104"/>
        <v>9.0478079999999975E-2</v>
      </c>
      <c r="AM77" s="360">
        <f t="shared" si="105"/>
        <v>4.4549999999999999E-2</v>
      </c>
      <c r="AN77" s="360">
        <f t="shared" si="106"/>
        <v>0.92030802534772738</v>
      </c>
      <c r="AO77" s="360">
        <f t="shared" si="107"/>
        <v>1.5749999999999998E-3</v>
      </c>
      <c r="AP77" s="360">
        <f t="shared" si="108"/>
        <v>0.25740000000000002</v>
      </c>
      <c r="AQ77" s="360">
        <f t="shared" si="109"/>
        <v>0.24596000000000001</v>
      </c>
      <c r="AR77" s="360">
        <f t="shared" si="110"/>
        <v>0.2288</v>
      </c>
      <c r="AS77" s="360">
        <f t="shared" si="133"/>
        <v>0.25897500000000001</v>
      </c>
      <c r="AT77" s="360">
        <f t="shared" si="111"/>
        <v>4.2016521531842539</v>
      </c>
      <c r="AU77">
        <f t="shared" si="112"/>
        <v>489.59999999999997</v>
      </c>
      <c r="AV77" s="542">
        <f t="shared" si="127"/>
        <v>0.99149121487369829</v>
      </c>
      <c r="AW77" s="551">
        <f t="shared" si="113"/>
        <v>51.065924992546556</v>
      </c>
      <c r="AX77" s="551">
        <f t="shared" si="114"/>
        <v>10.546917416421651</v>
      </c>
      <c r="AY77" s="9"/>
      <c r="AZ77" s="4">
        <f t="shared" si="128"/>
        <v>99.149121487369825</v>
      </c>
      <c r="BA77" s="360">
        <f t="shared" si="115"/>
        <v>1.1496393879881592</v>
      </c>
      <c r="BB77" s="360">
        <f t="shared" si="129"/>
        <v>1.6218360897096897</v>
      </c>
      <c r="BC77" s="360">
        <f t="shared" si="130"/>
        <v>1.3438401313828041</v>
      </c>
      <c r="BD77" s="360">
        <f t="shared" si="131"/>
        <v>0.27755045832688557</v>
      </c>
      <c r="BE77" s="360">
        <f t="shared" si="132"/>
        <v>0.92030802534772738</v>
      </c>
      <c r="BK77" s="18"/>
      <c r="BL77" s="19"/>
    </row>
    <row r="78" spans="1:64" ht="13" x14ac:dyDescent="0.3">
      <c r="A78" s="34" t="s">
        <v>211</v>
      </c>
      <c r="B78" s="605">
        <f>Qrr_Q2*Fsw</f>
        <v>0</v>
      </c>
      <c r="C78" s="21" t="s">
        <v>1</v>
      </c>
      <c r="G78">
        <v>69</v>
      </c>
      <c r="H78" s="548">
        <f t="shared" si="85"/>
        <v>45</v>
      </c>
      <c r="I78" s="4">
        <f t="shared" si="86"/>
        <v>2</v>
      </c>
      <c r="J78" s="360">
        <f t="shared" si="116"/>
        <v>41.4</v>
      </c>
      <c r="K78" s="360">
        <f t="shared" si="87"/>
        <v>20.7</v>
      </c>
      <c r="L78" s="4">
        <f t="shared" si="88"/>
        <v>12.266666666666666</v>
      </c>
      <c r="M78" s="360">
        <f t="shared" si="89"/>
        <v>0.53525725299330407</v>
      </c>
      <c r="N78" s="4">
        <f t="shared" si="90"/>
        <v>5.0933591206484481</v>
      </c>
      <c r="O78" s="4">
        <f t="shared" si="117"/>
        <v>23.246679560324225</v>
      </c>
      <c r="P78" s="4">
        <f t="shared" si="118"/>
        <v>18.153320439675774</v>
      </c>
      <c r="Q78" s="4">
        <f t="shared" si="91"/>
        <v>0</v>
      </c>
      <c r="R78" s="4">
        <f t="shared" si="119"/>
        <v>20.752153115463891</v>
      </c>
      <c r="S78" s="360">
        <f t="shared" si="92"/>
        <v>0.80101245760544326</v>
      </c>
      <c r="T78" s="360">
        <f t="shared" si="93"/>
        <v>0.3</v>
      </c>
      <c r="U78" s="360">
        <f t="shared" si="94"/>
        <v>1.1763971600273275</v>
      </c>
      <c r="V78" s="4">
        <f t="shared" si="120"/>
        <v>1.4703261296929087</v>
      </c>
      <c r="W78" s="360">
        <f t="shared" si="121"/>
        <v>4.323717855315456E-3</v>
      </c>
      <c r="X78" s="360">
        <f t="shared" si="122"/>
        <v>4.323717855315456E-3</v>
      </c>
      <c r="Y78" s="4">
        <f t="shared" si="123"/>
        <v>10.350247951184059</v>
      </c>
      <c r="Z78" s="360">
        <f t="shared" si="124"/>
        <v>0.16069144897648471</v>
      </c>
      <c r="AA78" s="541">
        <f t="shared" si="125"/>
        <v>0.16069144897648471</v>
      </c>
      <c r="AB78" s="360">
        <f t="shared" si="126"/>
        <v>15.182540334413012</v>
      </c>
      <c r="AC78" s="360">
        <f t="shared" si="95"/>
        <v>0.29966239030790137</v>
      </c>
      <c r="AD78" s="360">
        <f t="shared" si="96"/>
        <v>0.60772344827586211</v>
      </c>
      <c r="AE78" s="360">
        <f t="shared" si="97"/>
        <v>0.36630000000000001</v>
      </c>
      <c r="AF78" s="360">
        <f t="shared" si="98"/>
        <v>0</v>
      </c>
      <c r="AG78" s="360">
        <f t="shared" si="99"/>
        <v>1.334469151368848</v>
      </c>
      <c r="AH78" s="360">
        <f t="shared" si="100"/>
        <v>14.147166780722554</v>
      </c>
      <c r="AI78" s="360">
        <f t="shared" si="101"/>
        <v>0.26018502629805368</v>
      </c>
      <c r="AJ78" s="360">
        <f t="shared" si="102"/>
        <v>0</v>
      </c>
      <c r="AK78" s="360">
        <f t="shared" si="103"/>
        <v>0.27089855598066775</v>
      </c>
      <c r="AL78" s="360">
        <f t="shared" si="104"/>
        <v>9.1808639999999983E-2</v>
      </c>
      <c r="AM78" s="360">
        <f t="shared" si="105"/>
        <v>4.4549999999999999E-2</v>
      </c>
      <c r="AN78" s="360">
        <f t="shared" si="106"/>
        <v>0.94743408964084685</v>
      </c>
      <c r="AO78" s="360">
        <f t="shared" si="107"/>
        <v>1.5749999999999998E-3</v>
      </c>
      <c r="AP78" s="360">
        <f t="shared" si="108"/>
        <v>0.25740000000000002</v>
      </c>
      <c r="AQ78" s="360">
        <f t="shared" si="109"/>
        <v>0.24596000000000001</v>
      </c>
      <c r="AR78" s="360">
        <f t="shared" si="110"/>
        <v>0.2288</v>
      </c>
      <c r="AS78" s="360">
        <f t="shared" si="133"/>
        <v>0.25897500000000001</v>
      </c>
      <c r="AT78" s="360">
        <f t="shared" si="111"/>
        <v>4.2895477638494901</v>
      </c>
      <c r="AU78">
        <f t="shared" si="112"/>
        <v>496.79999999999995</v>
      </c>
      <c r="AV78" s="542">
        <f t="shared" si="127"/>
        <v>0.99143955849210597</v>
      </c>
      <c r="AW78" s="551">
        <f t="shared" si="113"/>
        <v>51.827141752016225</v>
      </c>
      <c r="AX78" s="551">
        <f t="shared" si="114"/>
        <v>10.852802127265374</v>
      </c>
      <c r="AY78" s="9"/>
      <c r="AZ78" s="4">
        <f t="shared" si="128"/>
        <v>99.143955849210599</v>
      </c>
      <c r="BA78" s="360">
        <f t="shared" si="115"/>
        <v>1.1763971600273275</v>
      </c>
      <c r="BB78" s="360">
        <f t="shared" si="129"/>
        <v>1.6499177073495159</v>
      </c>
      <c r="BC78" s="360">
        <f t="shared" si="130"/>
        <v>1.3638721513688481</v>
      </c>
      <c r="BD78" s="360">
        <f t="shared" si="131"/>
        <v>0.28560005598066773</v>
      </c>
      <c r="BE78" s="360">
        <f t="shared" si="132"/>
        <v>0.94743408964084685</v>
      </c>
      <c r="BK78" s="18"/>
      <c r="BL78" s="19"/>
    </row>
    <row r="79" spans="1:64" ht="13" x14ac:dyDescent="0.3">
      <c r="A79" s="34" t="s">
        <v>212</v>
      </c>
      <c r="B79" s="605">
        <f>Deadtime*Fsw*(Iripple_Vinnom/2)*(Vsd_Q2)/Vin</f>
        <v>0</v>
      </c>
      <c r="C79" s="21"/>
      <c r="G79">
        <v>70</v>
      </c>
      <c r="H79" s="548">
        <f t="shared" si="85"/>
        <v>45</v>
      </c>
      <c r="I79" s="4">
        <f t="shared" si="86"/>
        <v>2</v>
      </c>
      <c r="J79" s="360">
        <f t="shared" si="116"/>
        <v>42</v>
      </c>
      <c r="K79" s="360">
        <f t="shared" si="87"/>
        <v>21</v>
      </c>
      <c r="L79" s="4">
        <f t="shared" si="88"/>
        <v>12.444444444444445</v>
      </c>
      <c r="M79" s="360">
        <f t="shared" si="89"/>
        <v>0.53528510728984902</v>
      </c>
      <c r="N79" s="4">
        <f t="shared" si="90"/>
        <v>5.0933935151668512</v>
      </c>
      <c r="O79" s="4">
        <f t="shared" si="117"/>
        <v>23.546696757583426</v>
      </c>
      <c r="P79" s="4">
        <f t="shared" si="118"/>
        <v>18.453303242416574</v>
      </c>
      <c r="Q79" s="4">
        <f t="shared" si="91"/>
        <v>0</v>
      </c>
      <c r="R79" s="4">
        <f t="shared" si="119"/>
        <v>21.051410597036689</v>
      </c>
      <c r="S79" s="360">
        <f t="shared" si="92"/>
        <v>0.82428111191255327</v>
      </c>
      <c r="T79" s="360">
        <f t="shared" si="93"/>
        <v>0.3</v>
      </c>
      <c r="U79" s="360">
        <f t="shared" si="94"/>
        <v>1.2036529856200544</v>
      </c>
      <c r="V79" s="4">
        <f t="shared" si="120"/>
        <v>1.4703360585351379</v>
      </c>
      <c r="W79" s="360">
        <f t="shared" si="121"/>
        <v>4.3237762500572896E-3</v>
      </c>
      <c r="X79" s="360">
        <f t="shared" si="122"/>
        <v>4.3237762500572896E-3</v>
      </c>
      <c r="Y79" s="4">
        <f t="shared" si="123"/>
        <v>10.4994627618479</v>
      </c>
      <c r="Z79" s="360">
        <f t="shared" si="124"/>
        <v>0.16535807743114608</v>
      </c>
      <c r="AA79" s="541">
        <f t="shared" si="125"/>
        <v>0.16535807743114608</v>
      </c>
      <c r="AB79" s="360">
        <f t="shared" si="126"/>
        <v>15.4018816652959</v>
      </c>
      <c r="AC79" s="360">
        <f t="shared" si="95"/>
        <v>0.30838334648131138</v>
      </c>
      <c r="AD79" s="360">
        <f t="shared" si="96"/>
        <v>0.6165310344827587</v>
      </c>
      <c r="AE79" s="360">
        <f t="shared" si="97"/>
        <v>0.36630000000000001</v>
      </c>
      <c r="AF79" s="360">
        <f t="shared" si="98"/>
        <v>0</v>
      </c>
      <c r="AG79" s="360">
        <f t="shared" si="99"/>
        <v>1.3547156880926303</v>
      </c>
      <c r="AH79" s="360">
        <f t="shared" si="100"/>
        <v>14.350746645845664</v>
      </c>
      <c r="AI79" s="360">
        <f t="shared" si="101"/>
        <v>0.26772710808122574</v>
      </c>
      <c r="AJ79" s="360">
        <f t="shared" si="102"/>
        <v>0</v>
      </c>
      <c r="AK79" s="360">
        <f t="shared" si="103"/>
        <v>0.27908431024575248</v>
      </c>
      <c r="AL79" s="360">
        <f t="shared" si="104"/>
        <v>9.3139199999999991E-2</v>
      </c>
      <c r="AM79" s="360">
        <f t="shared" si="105"/>
        <v>4.4549999999999999E-2</v>
      </c>
      <c r="AN79" s="360">
        <f t="shared" si="106"/>
        <v>0.97495615387506296</v>
      </c>
      <c r="AO79" s="360">
        <f t="shared" si="107"/>
        <v>1.5749999999999998E-3</v>
      </c>
      <c r="AP79" s="360">
        <f t="shared" si="108"/>
        <v>0.25740000000000002</v>
      </c>
      <c r="AQ79" s="360">
        <f t="shared" si="109"/>
        <v>0.24596000000000001</v>
      </c>
      <c r="AR79" s="360">
        <f t="shared" si="110"/>
        <v>0.2288</v>
      </c>
      <c r="AS79" s="360">
        <f t="shared" si="133"/>
        <v>0.25897500000000001</v>
      </c>
      <c r="AT79" s="360">
        <f t="shared" si="111"/>
        <v>4.3787551915147036</v>
      </c>
      <c r="AU79">
        <f t="shared" si="112"/>
        <v>504</v>
      </c>
      <c r="AV79" s="542">
        <f t="shared" si="127"/>
        <v>0.99138682498668707</v>
      </c>
      <c r="AW79" s="551">
        <f t="shared" si="113"/>
        <v>52.596510147519957</v>
      </c>
      <c r="AX79" s="551">
        <f t="shared" si="114"/>
        <v>11.163860789338592</v>
      </c>
      <c r="AY79" s="9"/>
      <c r="AZ79" s="4">
        <f t="shared" si="128"/>
        <v>99.1386824986687</v>
      </c>
      <c r="BA79" s="360">
        <f t="shared" si="115"/>
        <v>1.2036529856200544</v>
      </c>
      <c r="BB79" s="360">
        <f t="shared" si="129"/>
        <v>1.6783499983383829</v>
      </c>
      <c r="BC79" s="360">
        <f t="shared" si="130"/>
        <v>1.3841186880926304</v>
      </c>
      <c r="BD79" s="360">
        <f t="shared" si="131"/>
        <v>0.29378581024575245</v>
      </c>
      <c r="BE79" s="360">
        <f t="shared" si="132"/>
        <v>0.97495615387506296</v>
      </c>
      <c r="BK79" s="18"/>
      <c r="BL79" s="19"/>
    </row>
    <row r="80" spans="1:64" ht="13" x14ac:dyDescent="0.3">
      <c r="A80" s="34" t="s">
        <v>45</v>
      </c>
      <c r="B80" s="605">
        <f>SUM(B77:B79)</f>
        <v>5.7550000000000006E-3</v>
      </c>
      <c r="C80" s="21" t="s">
        <v>1</v>
      </c>
      <c r="G80">
        <v>71</v>
      </c>
      <c r="H80" s="548">
        <f t="shared" si="85"/>
        <v>45</v>
      </c>
      <c r="I80" s="4">
        <f t="shared" si="86"/>
        <v>2</v>
      </c>
      <c r="J80" s="360">
        <f t="shared" si="116"/>
        <v>42.6</v>
      </c>
      <c r="K80" s="360">
        <f t="shared" si="87"/>
        <v>21.3</v>
      </c>
      <c r="L80" s="4">
        <f t="shared" si="88"/>
        <v>12.622222222222224</v>
      </c>
      <c r="M80" s="360">
        <f t="shared" si="89"/>
        <v>0.53531296077018464</v>
      </c>
      <c r="N80" s="4">
        <f t="shared" si="90"/>
        <v>5.0934278779137987</v>
      </c>
      <c r="O80" s="4">
        <f t="shared" si="117"/>
        <v>23.846713938956899</v>
      </c>
      <c r="P80" s="4">
        <f t="shared" si="118"/>
        <v>18.753286061043102</v>
      </c>
      <c r="Q80" s="4">
        <f t="shared" si="91"/>
        <v>0</v>
      </c>
      <c r="R80" s="4">
        <f t="shared" si="119"/>
        <v>21.350688918524991</v>
      </c>
      <c r="S80" s="360">
        <f t="shared" si="92"/>
        <v>0.84788456616986418</v>
      </c>
      <c r="T80" s="360">
        <f t="shared" si="93"/>
        <v>0.3</v>
      </c>
      <c r="U80" s="360">
        <f t="shared" si="94"/>
        <v>1.2314121979485768</v>
      </c>
      <c r="V80" s="4">
        <f t="shared" si="120"/>
        <v>1.470345978205738</v>
      </c>
      <c r="W80" s="360">
        <f t="shared" si="121"/>
        <v>4.3238345912515776E-3</v>
      </c>
      <c r="X80" s="360">
        <f t="shared" si="122"/>
        <v>4.3238345912515776E-3</v>
      </c>
      <c r="Y80" s="4">
        <f t="shared" si="123"/>
        <v>10.64868675534021</v>
      </c>
      <c r="Z80" s="360">
        <f t="shared" si="124"/>
        <v>0.170091794420037</v>
      </c>
      <c r="AA80" s="541">
        <f t="shared" si="125"/>
        <v>0.170091794420037</v>
      </c>
      <c r="AB80" s="360">
        <f t="shared" si="126"/>
        <v>15.621249614556667</v>
      </c>
      <c r="AC80" s="360">
        <f t="shared" si="95"/>
        <v>0.31723047137637289</v>
      </c>
      <c r="AD80" s="360">
        <f t="shared" si="96"/>
        <v>0.62533862068965518</v>
      </c>
      <c r="AE80" s="360">
        <f t="shared" si="97"/>
        <v>0.36630000000000001</v>
      </c>
      <c r="AF80" s="360">
        <f t="shared" si="98"/>
        <v>0</v>
      </c>
      <c r="AG80" s="360">
        <f t="shared" si="99"/>
        <v>1.3751788863082492</v>
      </c>
      <c r="AH80" s="360">
        <f t="shared" si="100"/>
        <v>14.554328489330555</v>
      </c>
      <c r="AI80" s="360">
        <f t="shared" si="101"/>
        <v>0.27537702110794071</v>
      </c>
      <c r="AJ80" s="360">
        <f t="shared" si="102"/>
        <v>0</v>
      </c>
      <c r="AK80" s="360">
        <f t="shared" si="103"/>
        <v>0.28740710875289049</v>
      </c>
      <c r="AL80" s="360">
        <f t="shared" si="104"/>
        <v>9.4469759999999986E-2</v>
      </c>
      <c r="AM80" s="360">
        <f t="shared" si="105"/>
        <v>4.4549999999999999E-2</v>
      </c>
      <c r="AN80" s="360">
        <f t="shared" si="106"/>
        <v>1.0028742180503769</v>
      </c>
      <c r="AO80" s="360">
        <f t="shared" si="107"/>
        <v>1.5749999999999998E-3</v>
      </c>
      <c r="AP80" s="360">
        <f t="shared" si="108"/>
        <v>0.25740000000000002</v>
      </c>
      <c r="AQ80" s="360">
        <f t="shared" si="109"/>
        <v>0.24596000000000001</v>
      </c>
      <c r="AR80" s="360">
        <f t="shared" si="110"/>
        <v>0.2288</v>
      </c>
      <c r="AS80" s="360">
        <f t="shared" si="133"/>
        <v>0.25897500000000001</v>
      </c>
      <c r="AT80" s="360">
        <f t="shared" si="111"/>
        <v>4.4692828000713822</v>
      </c>
      <c r="AU80">
        <f t="shared" si="112"/>
        <v>511.20000000000005</v>
      </c>
      <c r="AV80" s="542">
        <f t="shared" si="127"/>
        <v>0.99133304435780378</v>
      </c>
      <c r="AW80" s="551">
        <f t="shared" si="113"/>
        <v>53.374111679713472</v>
      </c>
      <c r="AX80" s="551">
        <f t="shared" si="114"/>
        <v>11.480127132609837</v>
      </c>
      <c r="AY80" s="9"/>
      <c r="AZ80" s="4">
        <f t="shared" si="128"/>
        <v>99.133304435780374</v>
      </c>
      <c r="BA80" s="360">
        <f t="shared" si="115"/>
        <v>1.2314121979485768</v>
      </c>
      <c r="BB80" s="360">
        <f t="shared" si="129"/>
        <v>1.7071359950611398</v>
      </c>
      <c r="BC80" s="360">
        <f t="shared" si="130"/>
        <v>1.4045818863082493</v>
      </c>
      <c r="BD80" s="360">
        <f t="shared" si="131"/>
        <v>0.30210860875289047</v>
      </c>
      <c r="BE80" s="360">
        <f t="shared" si="132"/>
        <v>1.0028742180503769</v>
      </c>
      <c r="BK80" s="18"/>
      <c r="BL80" s="19"/>
    </row>
    <row r="81" spans="1:64" ht="13" x14ac:dyDescent="0.3">
      <c r="A81" s="2"/>
      <c r="G81">
        <v>72</v>
      </c>
      <c r="H81" s="548">
        <f t="shared" si="85"/>
        <v>45</v>
      </c>
      <c r="I81" s="4">
        <f t="shared" si="86"/>
        <v>2</v>
      </c>
      <c r="J81" s="360">
        <f t="shared" si="116"/>
        <v>43.2</v>
      </c>
      <c r="K81" s="360">
        <f t="shared" si="87"/>
        <v>21.6</v>
      </c>
      <c r="L81" s="4">
        <f t="shared" si="88"/>
        <v>12.800000000000002</v>
      </c>
      <c r="M81" s="360">
        <f t="shared" si="89"/>
        <v>0.5353408134343467</v>
      </c>
      <c r="N81" s="4">
        <f t="shared" si="90"/>
        <v>5.0934622088906849</v>
      </c>
      <c r="O81" s="4">
        <f t="shared" si="117"/>
        <v>24.146731104445344</v>
      </c>
      <c r="P81" s="4">
        <f t="shared" si="118"/>
        <v>19.053268895554659</v>
      </c>
      <c r="Q81" s="4">
        <f t="shared" si="91"/>
        <v>0</v>
      </c>
      <c r="R81" s="4">
        <f t="shared" si="119"/>
        <v>21.649987215687908</v>
      </c>
      <c r="S81" s="360">
        <f t="shared" si="92"/>
        <v>0.87182282037737668</v>
      </c>
      <c r="T81" s="360">
        <f t="shared" si="93"/>
        <v>0.3</v>
      </c>
      <c r="U81" s="360">
        <f t="shared" si="94"/>
        <v>1.2596802601517103</v>
      </c>
      <c r="V81" s="4">
        <f t="shared" si="120"/>
        <v>1.4703558887051116</v>
      </c>
      <c r="W81" s="360">
        <f t="shared" si="121"/>
        <v>4.3238928788995965E-3</v>
      </c>
      <c r="X81" s="360">
        <f t="shared" si="122"/>
        <v>4.3238928788995965E-3</v>
      </c>
      <c r="Y81" s="4">
        <f t="shared" si="123"/>
        <v>10.797919499148803</v>
      </c>
      <c r="Z81" s="360">
        <f t="shared" si="124"/>
        <v>0.17489259826514689</v>
      </c>
      <c r="AA81" s="541">
        <f t="shared" si="125"/>
        <v>0.17489259826514689</v>
      </c>
      <c r="AB81" s="360">
        <f t="shared" si="126"/>
        <v>15.840643550103177</v>
      </c>
      <c r="AC81" s="360">
        <f t="shared" si="95"/>
        <v>0.32620378450585302</v>
      </c>
      <c r="AD81" s="360">
        <f t="shared" si="96"/>
        <v>0.63414620689655188</v>
      </c>
      <c r="AE81" s="360">
        <f t="shared" si="97"/>
        <v>0.36630000000000001</v>
      </c>
      <c r="AF81" s="360">
        <f t="shared" si="98"/>
        <v>0</v>
      </c>
      <c r="AG81" s="360">
        <f t="shared" si="99"/>
        <v>1.3958609293054665</v>
      </c>
      <c r="AH81" s="360">
        <f t="shared" si="100"/>
        <v>14.757911720769457</v>
      </c>
      <c r="AI81" s="360">
        <f t="shared" si="101"/>
        <v>0.28313474586543186</v>
      </c>
      <c r="AJ81" s="360">
        <f t="shared" si="102"/>
        <v>0</v>
      </c>
      <c r="AK81" s="360">
        <f t="shared" si="103"/>
        <v>0.29586785739881505</v>
      </c>
      <c r="AL81" s="360">
        <f t="shared" si="104"/>
        <v>9.5800319999999994E-2</v>
      </c>
      <c r="AM81" s="360">
        <f t="shared" si="105"/>
        <v>4.4549999999999999E-2</v>
      </c>
      <c r="AN81" s="360">
        <f t="shared" si="106"/>
        <v>1.0311882821667897</v>
      </c>
      <c r="AO81" s="360">
        <f t="shared" si="107"/>
        <v>1.5749999999999998E-3</v>
      </c>
      <c r="AP81" s="360">
        <f t="shared" si="108"/>
        <v>0.25740000000000002</v>
      </c>
      <c r="AQ81" s="360">
        <f t="shared" si="109"/>
        <v>0.24596000000000001</v>
      </c>
      <c r="AR81" s="360">
        <f t="shared" si="110"/>
        <v>0.2288</v>
      </c>
      <c r="AS81" s="360">
        <f t="shared" si="133"/>
        <v>0.25897500000000001</v>
      </c>
      <c r="AT81" s="360">
        <f t="shared" si="111"/>
        <v>4.5611391401668282</v>
      </c>
      <c r="AU81">
        <f t="shared" si="112"/>
        <v>518.40000000000009</v>
      </c>
      <c r="AV81" s="542">
        <f t="shared" si="127"/>
        <v>0.99127824459831559</v>
      </c>
      <c r="AW81" s="551">
        <f t="shared" si="113"/>
        <v>54.16002931360773</v>
      </c>
      <c r="AX81" s="551">
        <f t="shared" si="114"/>
        <v>11.80163558115497</v>
      </c>
      <c r="AY81" s="9"/>
      <c r="AZ81" s="4">
        <f t="shared" si="128"/>
        <v>99.127824459831558</v>
      </c>
      <c r="BA81" s="360">
        <f t="shared" si="115"/>
        <v>1.2596802601517103</v>
      </c>
      <c r="BB81" s="360">
        <f t="shared" si="129"/>
        <v>1.7362787867042817</v>
      </c>
      <c r="BC81" s="360">
        <f t="shared" si="130"/>
        <v>1.4252639293054665</v>
      </c>
      <c r="BD81" s="360">
        <f t="shared" si="131"/>
        <v>0.31056935739881503</v>
      </c>
      <c r="BE81" s="360">
        <f t="shared" si="132"/>
        <v>1.0311882821667897</v>
      </c>
      <c r="BK81" s="18"/>
      <c r="BL81" s="19"/>
    </row>
    <row r="82" spans="1:64" ht="13" x14ac:dyDescent="0.3">
      <c r="A82" s="2"/>
      <c r="G82">
        <v>73</v>
      </c>
      <c r="H82" s="548">
        <f t="shared" si="85"/>
        <v>45</v>
      </c>
      <c r="I82" s="4">
        <f t="shared" si="86"/>
        <v>2</v>
      </c>
      <c r="J82" s="360">
        <f t="shared" si="116"/>
        <v>43.8</v>
      </c>
      <c r="K82" s="360">
        <f t="shared" si="87"/>
        <v>21.9</v>
      </c>
      <c r="L82" s="4">
        <f t="shared" si="88"/>
        <v>12.977777777777776</v>
      </c>
      <c r="M82" s="360">
        <f t="shared" si="89"/>
        <v>0.53536866528237104</v>
      </c>
      <c r="N82" s="4">
        <f t="shared" si="90"/>
        <v>5.0934965080989052</v>
      </c>
      <c r="O82" s="4">
        <f t="shared" si="117"/>
        <v>24.446748254049453</v>
      </c>
      <c r="P82" s="4">
        <f t="shared" si="118"/>
        <v>19.353251745950544</v>
      </c>
      <c r="Q82" s="4">
        <f t="shared" si="91"/>
        <v>0</v>
      </c>
      <c r="R82" s="4">
        <f t="shared" si="119"/>
        <v>21.949304671367184</v>
      </c>
      <c r="S82" s="360">
        <f t="shared" si="92"/>
        <v>0.89609587453509243</v>
      </c>
      <c r="T82" s="360">
        <f t="shared" si="93"/>
        <v>0.3</v>
      </c>
      <c r="U82" s="360">
        <f t="shared" si="94"/>
        <v>1.2884627682228149</v>
      </c>
      <c r="V82" s="4">
        <f t="shared" si="120"/>
        <v>1.4703657900336609</v>
      </c>
      <c r="W82" s="360">
        <f t="shared" si="121"/>
        <v>4.3239511130026232E-3</v>
      </c>
      <c r="X82" s="360">
        <f t="shared" si="122"/>
        <v>4.3239511130026232E-3</v>
      </c>
      <c r="Y82" s="4">
        <f t="shared" si="123"/>
        <v>10.947160584250614</v>
      </c>
      <c r="Z82" s="360">
        <f t="shared" si="124"/>
        <v>0.17976048728605537</v>
      </c>
      <c r="AA82" s="541">
        <f t="shared" si="125"/>
        <v>0.17976048728605537</v>
      </c>
      <c r="AB82" s="360">
        <f t="shared" si="126"/>
        <v>16.060062874227334</v>
      </c>
      <c r="AC82" s="360">
        <f t="shared" si="95"/>
        <v>0.33530330538137565</v>
      </c>
      <c r="AD82" s="360">
        <f t="shared" si="96"/>
        <v>0.64295379310344825</v>
      </c>
      <c r="AE82" s="360">
        <f t="shared" si="97"/>
        <v>0.36630000000000001</v>
      </c>
      <c r="AF82" s="360">
        <f t="shared" si="98"/>
        <v>0</v>
      </c>
      <c r="AG82" s="360">
        <f t="shared" si="99"/>
        <v>1.4167640396307397</v>
      </c>
      <c r="AH82" s="360">
        <f t="shared" si="100"/>
        <v>14.961495781918535</v>
      </c>
      <c r="AI82" s="360">
        <f t="shared" si="101"/>
        <v>0.29100026284207592</v>
      </c>
      <c r="AJ82" s="360">
        <f t="shared" si="102"/>
        <v>0</v>
      </c>
      <c r="AK82" s="360">
        <f t="shared" si="103"/>
        <v>0.30446748060843148</v>
      </c>
      <c r="AL82" s="360">
        <f t="shared" si="104"/>
        <v>9.7130879999999975E-2</v>
      </c>
      <c r="AM82" s="360">
        <f t="shared" si="105"/>
        <v>4.4549999999999999E-2</v>
      </c>
      <c r="AN82" s="360">
        <f t="shared" si="106"/>
        <v>1.0598983462243028</v>
      </c>
      <c r="AO82" s="360">
        <f t="shared" si="107"/>
        <v>1.5749999999999998E-3</v>
      </c>
      <c r="AP82" s="360">
        <f t="shared" si="108"/>
        <v>0.25740000000000002</v>
      </c>
      <c r="AQ82" s="360">
        <f t="shared" si="109"/>
        <v>0.24596000000000001</v>
      </c>
      <c r="AR82" s="360">
        <f t="shared" si="110"/>
        <v>0.2288</v>
      </c>
      <c r="AS82" s="360">
        <f t="shared" si="133"/>
        <v>0.25897500000000001</v>
      </c>
      <c r="AT82" s="360">
        <f t="shared" si="111"/>
        <v>4.6543329530853468</v>
      </c>
      <c r="AU82">
        <f t="shared" si="112"/>
        <v>525.59999999999991</v>
      </c>
      <c r="AV82" s="542">
        <f t="shared" si="127"/>
        <v>0.99122245182389268</v>
      </c>
      <c r="AW82" s="551">
        <f t="shared" si="113"/>
        <v>54.954347505968109</v>
      </c>
      <c r="AX82" s="551">
        <f t="shared" si="114"/>
        <v>12.128421263120396</v>
      </c>
      <c r="AY82" s="9"/>
      <c r="AZ82" s="4">
        <f t="shared" si="128"/>
        <v>99.122245182389264</v>
      </c>
      <c r="BA82" s="360">
        <f t="shared" si="115"/>
        <v>1.2884627682228149</v>
      </c>
      <c r="BB82" s="360">
        <f t="shared" si="129"/>
        <v>1.7657815202391713</v>
      </c>
      <c r="BC82" s="360">
        <f t="shared" si="130"/>
        <v>1.4461670396307398</v>
      </c>
      <c r="BD82" s="360">
        <f t="shared" si="131"/>
        <v>0.31916898060843146</v>
      </c>
      <c r="BE82" s="360">
        <f t="shared" si="132"/>
        <v>1.0598983462243028</v>
      </c>
      <c r="BK82" s="18"/>
      <c r="BL82" s="19"/>
    </row>
    <row r="83" spans="1:64" ht="13" x14ac:dyDescent="0.3">
      <c r="A83" s="2"/>
      <c r="G83">
        <v>74</v>
      </c>
      <c r="H83" s="548">
        <f t="shared" si="85"/>
        <v>45</v>
      </c>
      <c r="I83" s="4">
        <f t="shared" si="86"/>
        <v>2</v>
      </c>
      <c r="J83" s="360">
        <f t="shared" si="116"/>
        <v>44.4</v>
      </c>
      <c r="K83" s="360">
        <f t="shared" si="87"/>
        <v>22.2</v>
      </c>
      <c r="L83" s="4">
        <f t="shared" si="88"/>
        <v>13.155555555555555</v>
      </c>
      <c r="M83" s="360">
        <f t="shared" si="89"/>
        <v>0.53539651631429352</v>
      </c>
      <c r="N83" s="4">
        <f t="shared" si="90"/>
        <v>5.0935307755398558</v>
      </c>
      <c r="O83" s="4">
        <f t="shared" si="117"/>
        <v>24.746765387769926</v>
      </c>
      <c r="P83" s="4">
        <f t="shared" si="118"/>
        <v>19.653234612230072</v>
      </c>
      <c r="Q83" s="4">
        <f t="shared" si="91"/>
        <v>0</v>
      </c>
      <c r="R83" s="4">
        <f t="shared" si="119"/>
        <v>22.248640512327512</v>
      </c>
      <c r="S83" s="360">
        <f t="shared" si="92"/>
        <v>0.92070372864301275</v>
      </c>
      <c r="T83" s="360">
        <f t="shared" si="93"/>
        <v>0.3</v>
      </c>
      <c r="U83" s="360">
        <f t="shared" si="94"/>
        <v>1.3177654540010719</v>
      </c>
      <c r="V83" s="4">
        <f t="shared" si="120"/>
        <v>1.4703756821917895</v>
      </c>
      <c r="W83" s="360">
        <f t="shared" si="121"/>
        <v>4.3240092935619406E-3</v>
      </c>
      <c r="X83" s="360">
        <f t="shared" si="122"/>
        <v>4.3240092935619406E-3</v>
      </c>
      <c r="Y83" s="4">
        <f t="shared" si="123"/>
        <v>11.096409623535372</v>
      </c>
      <c r="Z83" s="360">
        <f t="shared" si="124"/>
        <v>0.18469545979993263</v>
      </c>
      <c r="AA83" s="541">
        <f t="shared" si="125"/>
        <v>0.18469545979993263</v>
      </c>
      <c r="AB83" s="360">
        <f t="shared" si="126"/>
        <v>16.279507021297615</v>
      </c>
      <c r="AC83" s="360">
        <f t="shared" si="95"/>
        <v>0.34452905351342183</v>
      </c>
      <c r="AD83" s="360">
        <f t="shared" si="96"/>
        <v>0.65176137931034483</v>
      </c>
      <c r="AE83" s="360">
        <f t="shared" si="97"/>
        <v>0.36630000000000001</v>
      </c>
      <c r="AF83" s="360">
        <f t="shared" si="98"/>
        <v>0</v>
      </c>
      <c r="AG83" s="360">
        <f t="shared" si="99"/>
        <v>1.4378904798264951</v>
      </c>
      <c r="AH83" s="360">
        <f t="shared" si="100"/>
        <v>15.165080144539385</v>
      </c>
      <c r="AI83" s="360">
        <f t="shared" si="101"/>
        <v>0.29897355252739344</v>
      </c>
      <c r="AJ83" s="360">
        <f t="shared" si="102"/>
        <v>0</v>
      </c>
      <c r="AK83" s="360">
        <f t="shared" si="103"/>
        <v>0.31320692160365132</v>
      </c>
      <c r="AL83" s="360">
        <f t="shared" si="104"/>
        <v>9.8461439999999983E-2</v>
      </c>
      <c r="AM83" s="360">
        <f t="shared" si="105"/>
        <v>4.4549999999999999E-2</v>
      </c>
      <c r="AN83" s="360">
        <f t="shared" si="106"/>
        <v>1.0890044102229184</v>
      </c>
      <c r="AO83" s="360">
        <f t="shared" si="107"/>
        <v>1.5749999999999998E-3</v>
      </c>
      <c r="AP83" s="360">
        <f t="shared" si="108"/>
        <v>0.25740000000000002</v>
      </c>
      <c r="AQ83" s="360">
        <f t="shared" si="109"/>
        <v>0.24596000000000001</v>
      </c>
      <c r="AR83" s="360">
        <f t="shared" si="110"/>
        <v>0.2288</v>
      </c>
      <c r="AS83" s="360">
        <f t="shared" si="133"/>
        <v>0.25897500000000001</v>
      </c>
      <c r="AT83" s="360">
        <f t="shared" si="111"/>
        <v>4.7488731747476312</v>
      </c>
      <c r="AU83">
        <f t="shared" si="112"/>
        <v>532.79999999999995</v>
      </c>
      <c r="AV83" s="542">
        <f t="shared" si="127"/>
        <v>0.99116569039257607</v>
      </c>
      <c r="AW83" s="551">
        <f t="shared" si="113"/>
        <v>55.757152233406813</v>
      </c>
      <c r="AX83" s="551">
        <f t="shared" si="114"/>
        <v>12.46052002093875</v>
      </c>
      <c r="AY83" s="9"/>
      <c r="AZ83" s="4">
        <f t="shared" si="128"/>
        <v>99.116569039257612</v>
      </c>
      <c r="BA83" s="360">
        <f t="shared" si="115"/>
        <v>1.3177654540010719</v>
      </c>
      <c r="BB83" s="360">
        <f t="shared" si="129"/>
        <v>1.7956474014301465</v>
      </c>
      <c r="BC83" s="360">
        <f t="shared" si="130"/>
        <v>1.4672934798264952</v>
      </c>
      <c r="BD83" s="360">
        <f t="shared" si="131"/>
        <v>0.3279084216036513</v>
      </c>
      <c r="BE83" s="360">
        <f t="shared" si="132"/>
        <v>1.0890044102229184</v>
      </c>
      <c r="BK83" s="18"/>
      <c r="BL83" s="19"/>
    </row>
    <row r="84" spans="1:64" x14ac:dyDescent="0.25">
      <c r="G84">
        <v>75</v>
      </c>
      <c r="H84" s="548">
        <f t="shared" si="85"/>
        <v>45</v>
      </c>
      <c r="I84" s="4">
        <f t="shared" si="86"/>
        <v>2</v>
      </c>
      <c r="J84" s="360">
        <f t="shared" si="116"/>
        <v>45</v>
      </c>
      <c r="K84" s="360">
        <f t="shared" si="87"/>
        <v>22.5</v>
      </c>
      <c r="L84" s="4">
        <f t="shared" si="88"/>
        <v>13.333333333333334</v>
      </c>
      <c r="M84" s="360">
        <f t="shared" si="89"/>
        <v>0.53542436653015013</v>
      </c>
      <c r="N84" s="4">
        <f t="shared" si="90"/>
        <v>5.0935650112149355</v>
      </c>
      <c r="O84" s="4">
        <f t="shared" si="117"/>
        <v>25.046782505607467</v>
      </c>
      <c r="P84" s="4">
        <f t="shared" si="118"/>
        <v>19.953217494392533</v>
      </c>
      <c r="Q84" s="4">
        <f t="shared" si="91"/>
        <v>0</v>
      </c>
      <c r="R84" s="4">
        <f t="shared" si="119"/>
        <v>22.547994006347647</v>
      </c>
      <c r="S84" s="360">
        <f t="shared" si="92"/>
        <v>0.94564638270113832</v>
      </c>
      <c r="T84" s="360">
        <f t="shared" si="93"/>
        <v>0.3</v>
      </c>
      <c r="U84" s="360">
        <f t="shared" si="94"/>
        <v>1.3475941882592537</v>
      </c>
      <c r="V84" s="4">
        <f t="shared" si="120"/>
        <v>1.4703855651799012</v>
      </c>
      <c r="W84" s="360">
        <f t="shared" si="121"/>
        <v>4.3240674205788348E-3</v>
      </c>
      <c r="X84" s="360">
        <f t="shared" si="122"/>
        <v>4.3240674205788348E-3</v>
      </c>
      <c r="Y84" s="4">
        <f t="shared" si="123"/>
        <v>11.245666250354379</v>
      </c>
      <c r="Z84" s="360">
        <f t="shared" si="124"/>
        <v>0.18969751412153926</v>
      </c>
      <c r="AA84" s="541">
        <f t="shared" si="125"/>
        <v>0.18969751412153926</v>
      </c>
      <c r="AB84" s="360">
        <f t="shared" si="126"/>
        <v>16.498975455634721</v>
      </c>
      <c r="AC84" s="360">
        <f t="shared" si="95"/>
        <v>0.353881048411328</v>
      </c>
      <c r="AD84" s="360">
        <f t="shared" si="96"/>
        <v>0.66056896551724142</v>
      </c>
      <c r="AE84" s="360">
        <f t="shared" si="97"/>
        <v>0.36630000000000001</v>
      </c>
      <c r="AF84" s="360">
        <f t="shared" si="98"/>
        <v>0</v>
      </c>
      <c r="AG84" s="360">
        <f t="shared" si="99"/>
        <v>1.4592425531891364</v>
      </c>
      <c r="AH84" s="360">
        <f t="shared" si="100"/>
        <v>15.368664308411851</v>
      </c>
      <c r="AI84" s="360">
        <f t="shared" si="101"/>
        <v>0.30705459541204799</v>
      </c>
      <c r="AJ84" s="360">
        <f t="shared" si="102"/>
        <v>0</v>
      </c>
      <c r="AK84" s="360">
        <f t="shared" si="103"/>
        <v>0.32208714267902294</v>
      </c>
      <c r="AL84" s="360">
        <f t="shared" si="104"/>
        <v>9.9791999999999992E-2</v>
      </c>
      <c r="AM84" s="360">
        <f t="shared" si="105"/>
        <v>4.4549999999999999E-2</v>
      </c>
      <c r="AN84" s="360">
        <f t="shared" si="106"/>
        <v>1.1185064741626367</v>
      </c>
      <c r="AO84" s="360">
        <f t="shared" si="107"/>
        <v>1.5749999999999998E-3</v>
      </c>
      <c r="AP84" s="360">
        <f t="shared" si="108"/>
        <v>0.25740000000000002</v>
      </c>
      <c r="AQ84" s="360">
        <f t="shared" si="109"/>
        <v>0.24596000000000001</v>
      </c>
      <c r="AR84" s="360">
        <f t="shared" si="110"/>
        <v>0.2288</v>
      </c>
      <c r="AS84" s="360">
        <f t="shared" si="133"/>
        <v>0.25897500000000001</v>
      </c>
      <c r="AT84" s="360">
        <f t="shared" si="111"/>
        <v>4.8447689398321678</v>
      </c>
      <c r="AU84">
        <f t="shared" si="112"/>
        <v>540</v>
      </c>
      <c r="AV84" s="542">
        <f t="shared" si="127"/>
        <v>0.99110798301457637</v>
      </c>
      <c r="AW84" s="551">
        <f t="shared" si="113"/>
        <v>56.568531021187184</v>
      </c>
      <c r="AX84" s="551">
        <f t="shared" si="114"/>
        <v>12.797968421802871</v>
      </c>
      <c r="AY84" s="9"/>
      <c r="AZ84" s="4">
        <f t="shared" si="128"/>
        <v>99.110798301457635</v>
      </c>
      <c r="BA84" s="360">
        <f t="shared" si="115"/>
        <v>1.3475941882592537</v>
      </c>
      <c r="BB84" s="360">
        <f t="shared" si="129"/>
        <v>1.8258796958681596</v>
      </c>
      <c r="BC84" s="360">
        <f t="shared" si="130"/>
        <v>1.4886455531891365</v>
      </c>
      <c r="BD84" s="360">
        <f t="shared" si="131"/>
        <v>0.33678864267902292</v>
      </c>
      <c r="BE84" s="360">
        <f t="shared" si="132"/>
        <v>1.1185064741626367</v>
      </c>
      <c r="BK84" s="18"/>
      <c r="BL84" s="19"/>
    </row>
    <row r="85" spans="1:64" x14ac:dyDescent="0.25">
      <c r="G85">
        <v>76</v>
      </c>
      <c r="H85" s="548">
        <f t="shared" si="85"/>
        <v>45</v>
      </c>
      <c r="I85" s="4">
        <f t="shared" si="86"/>
        <v>2</v>
      </c>
      <c r="J85" s="360">
        <f t="shared" si="116"/>
        <v>45.6</v>
      </c>
      <c r="K85" s="360">
        <f t="shared" si="87"/>
        <v>22.8</v>
      </c>
      <c r="L85" s="4">
        <f t="shared" si="88"/>
        <v>13.511111111111113</v>
      </c>
      <c r="M85" s="360">
        <f t="shared" si="89"/>
        <v>0.53545221592997672</v>
      </c>
      <c r="N85" s="4">
        <f t="shared" si="90"/>
        <v>5.0935992151255389</v>
      </c>
      <c r="O85" s="4">
        <f t="shared" si="117"/>
        <v>25.346799607562769</v>
      </c>
      <c r="P85" s="4">
        <f t="shared" si="118"/>
        <v>20.253200392437233</v>
      </c>
      <c r="Q85" s="4">
        <f t="shared" si="91"/>
        <v>0</v>
      </c>
      <c r="R85" s="4">
        <f t="shared" si="119"/>
        <v>22.84736445953947</v>
      </c>
      <c r="S85" s="360">
        <f t="shared" si="92"/>
        <v>0.97092383670947091</v>
      </c>
      <c r="T85" s="360">
        <f t="shared" si="93"/>
        <v>0.3</v>
      </c>
      <c r="U85" s="360">
        <f t="shared" si="94"/>
        <v>1.3779549838912839</v>
      </c>
      <c r="V85" s="4">
        <f t="shared" si="120"/>
        <v>1.4703954389983982</v>
      </c>
      <c r="W85" s="360">
        <f t="shared" si="121"/>
        <v>4.3241254940545844E-3</v>
      </c>
      <c r="X85" s="360">
        <f t="shared" si="122"/>
        <v>4.3241254940545844E-3</v>
      </c>
      <c r="Y85" s="4">
        <f t="shared" si="123"/>
        <v>11.394930117183034</v>
      </c>
      <c r="Z85" s="360">
        <f t="shared" si="124"/>
        <v>0.1947666485632274</v>
      </c>
      <c r="AA85" s="541">
        <f t="shared" si="125"/>
        <v>0.1947666485632274</v>
      </c>
      <c r="AB85" s="360">
        <f t="shared" si="126"/>
        <v>16.718467669553764</v>
      </c>
      <c r="AC85" s="360">
        <f t="shared" si="95"/>
        <v>0.36335930958328877</v>
      </c>
      <c r="AD85" s="360">
        <f t="shared" si="96"/>
        <v>0.6693765517241379</v>
      </c>
      <c r="AE85" s="360">
        <f t="shared" si="97"/>
        <v>0.36630000000000001</v>
      </c>
      <c r="AF85" s="360">
        <f t="shared" si="98"/>
        <v>0</v>
      </c>
      <c r="AG85" s="360">
        <f t="shared" si="99"/>
        <v>1.4808226045463253</v>
      </c>
      <c r="AH85" s="360">
        <f t="shared" si="100"/>
        <v>15.572247799502575</v>
      </c>
      <c r="AI85" s="360">
        <f t="shared" si="101"/>
        <v>0.31524337198784663</v>
      </c>
      <c r="AJ85" s="360">
        <f t="shared" si="102"/>
        <v>0</v>
      </c>
      <c r="AK85" s="360">
        <f t="shared" si="103"/>
        <v>0.33110912548431737</v>
      </c>
      <c r="AL85" s="360">
        <f t="shared" si="104"/>
        <v>0.10112255999999999</v>
      </c>
      <c r="AM85" s="360">
        <f t="shared" si="105"/>
        <v>4.4549999999999999E-2</v>
      </c>
      <c r="AN85" s="360">
        <f t="shared" si="106"/>
        <v>1.1484045380434602</v>
      </c>
      <c r="AO85" s="360">
        <f t="shared" si="107"/>
        <v>1.5749999999999998E-3</v>
      </c>
      <c r="AP85" s="360">
        <f t="shared" si="108"/>
        <v>0.25740000000000002</v>
      </c>
      <c r="AQ85" s="360">
        <f t="shared" si="109"/>
        <v>0.24596000000000001</v>
      </c>
      <c r="AR85" s="360">
        <f t="shared" si="110"/>
        <v>0.2288</v>
      </c>
      <c r="AS85" s="360">
        <f t="shared" si="133"/>
        <v>0.25897500000000001</v>
      </c>
      <c r="AT85" s="360">
        <f t="shared" si="111"/>
        <v>4.9420295860226684</v>
      </c>
      <c r="AU85">
        <f t="shared" si="112"/>
        <v>547.20000000000005</v>
      </c>
      <c r="AV85" s="542">
        <f t="shared" si="127"/>
        <v>0.99104935085320711</v>
      </c>
      <c r="AW85" s="551">
        <f t="shared" si="113"/>
        <v>57.388572972760365</v>
      </c>
      <c r="AX85" s="551">
        <f t="shared" si="114"/>
        <v>13.140803768404059</v>
      </c>
      <c r="AY85" s="9"/>
      <c r="AZ85" s="4">
        <f t="shared" si="128"/>
        <v>99.104935085320705</v>
      </c>
      <c r="BA85" s="360">
        <f t="shared" si="115"/>
        <v>1.3779549838912839</v>
      </c>
      <c r="BB85" s="360">
        <f t="shared" si="129"/>
        <v>1.8564817300306427</v>
      </c>
      <c r="BC85" s="360">
        <f t="shared" si="130"/>
        <v>1.5102256045463254</v>
      </c>
      <c r="BD85" s="360">
        <f t="shared" si="131"/>
        <v>0.34581062548431735</v>
      </c>
      <c r="BE85" s="360">
        <f t="shared" si="132"/>
        <v>1.1484045380434602</v>
      </c>
      <c r="BK85" s="18"/>
      <c r="BL85" s="19"/>
    </row>
    <row r="86" spans="1:64" x14ac:dyDescent="0.25">
      <c r="G86">
        <v>77</v>
      </c>
      <c r="H86" s="548">
        <f t="shared" si="85"/>
        <v>45</v>
      </c>
      <c r="I86" s="4">
        <f t="shared" si="86"/>
        <v>2</v>
      </c>
      <c r="J86" s="360">
        <f t="shared" si="116"/>
        <v>46.2</v>
      </c>
      <c r="K86" s="360">
        <f t="shared" si="87"/>
        <v>23.1</v>
      </c>
      <c r="L86" s="4">
        <f t="shared" si="88"/>
        <v>13.688888888888892</v>
      </c>
      <c r="M86" s="360">
        <f t="shared" si="89"/>
        <v>0.53548006451380914</v>
      </c>
      <c r="N86" s="4">
        <f t="shared" si="90"/>
        <v>5.093633387273063</v>
      </c>
      <c r="O86" s="4">
        <f t="shared" si="117"/>
        <v>25.646816693636534</v>
      </c>
      <c r="P86" s="4">
        <f t="shared" si="118"/>
        <v>20.553183306363469</v>
      </c>
      <c r="Q86" s="4">
        <f t="shared" si="91"/>
        <v>0</v>
      </c>
      <c r="R86" s="4">
        <f t="shared" si="119"/>
        <v>23.146751213874381</v>
      </c>
      <c r="S86" s="360">
        <f t="shared" si="92"/>
        <v>0.99653609066801097</v>
      </c>
      <c r="T86" s="360">
        <f t="shared" si="93"/>
        <v>0.3</v>
      </c>
      <c r="U86" s="360">
        <f t="shared" si="94"/>
        <v>1.4088539992030338</v>
      </c>
      <c r="V86" s="4">
        <f t="shared" si="120"/>
        <v>1.4704053036476843</v>
      </c>
      <c r="W86" s="360">
        <f t="shared" si="121"/>
        <v>4.3241835139904775E-3</v>
      </c>
      <c r="X86" s="360">
        <f t="shared" si="122"/>
        <v>4.3241835139904775E-3</v>
      </c>
      <c r="Y86" s="4">
        <f t="shared" si="123"/>
        <v>11.544200894386767</v>
      </c>
      <c r="Z86" s="360">
        <f t="shared" si="124"/>
        <v>0.19990286143494038</v>
      </c>
      <c r="AA86" s="541">
        <f t="shared" si="125"/>
        <v>0.19990286143494038</v>
      </c>
      <c r="AB86" s="360">
        <f t="shared" si="126"/>
        <v>16.937983181557779</v>
      </c>
      <c r="AC86" s="360">
        <f t="shared" si="95"/>
        <v>0.37296385653635444</v>
      </c>
      <c r="AD86" s="360">
        <f t="shared" si="96"/>
        <v>0.67818413793103449</v>
      </c>
      <c r="AE86" s="360">
        <f t="shared" si="97"/>
        <v>0.36630000000000001</v>
      </c>
      <c r="AF86" s="360">
        <f t="shared" si="98"/>
        <v>0</v>
      </c>
      <c r="AG86" s="360">
        <f t="shared" si="99"/>
        <v>1.5026330210540502</v>
      </c>
      <c r="AH86" s="360">
        <f t="shared" si="100"/>
        <v>15.775830168275167</v>
      </c>
      <c r="AI86" s="360">
        <f t="shared" si="101"/>
        <v>0.32353986274773916</v>
      </c>
      <c r="AJ86" s="360">
        <f t="shared" si="102"/>
        <v>0</v>
      </c>
      <c r="AK86" s="360">
        <f t="shared" si="103"/>
        <v>0.34027387131422965</v>
      </c>
      <c r="AL86" s="360">
        <f t="shared" si="104"/>
        <v>0.10245311999999999</v>
      </c>
      <c r="AM86" s="360">
        <f t="shared" si="105"/>
        <v>4.4549999999999999E-2</v>
      </c>
      <c r="AN86" s="360">
        <f t="shared" si="106"/>
        <v>1.1786986018653893</v>
      </c>
      <c r="AO86" s="360">
        <f t="shared" si="107"/>
        <v>1.5749999999999998E-3</v>
      </c>
      <c r="AP86" s="360">
        <f t="shared" si="108"/>
        <v>0.25740000000000002</v>
      </c>
      <c r="AQ86" s="360">
        <f t="shared" si="109"/>
        <v>0.24596000000000001</v>
      </c>
      <c r="AR86" s="360">
        <f t="shared" si="110"/>
        <v>0.2288</v>
      </c>
      <c r="AS86" s="360">
        <f t="shared" si="133"/>
        <v>0.25897500000000001</v>
      </c>
      <c r="AT86" s="360">
        <f t="shared" si="111"/>
        <v>5.0406646583856336</v>
      </c>
      <c r="AU86">
        <f t="shared" si="112"/>
        <v>554.40000000000009</v>
      </c>
      <c r="AV86" s="542">
        <f t="shared" si="127"/>
        <v>0.9909898136177433</v>
      </c>
      <c r="AW86" s="551">
        <f t="shared" si="113"/>
        <v>58.217368800053912</v>
      </c>
      <c r="AX86" s="551">
        <f t="shared" si="114"/>
        <v>13.489064109940726</v>
      </c>
      <c r="AY86" s="9"/>
      <c r="AZ86" s="4">
        <f t="shared" si="128"/>
        <v>99.098981361774335</v>
      </c>
      <c r="BA86" s="360">
        <f t="shared" si="115"/>
        <v>1.4088539992030338</v>
      </c>
      <c r="BB86" s="360">
        <f t="shared" si="129"/>
        <v>1.88745689236828</v>
      </c>
      <c r="BC86" s="360">
        <f t="shared" si="130"/>
        <v>1.5320360210540502</v>
      </c>
      <c r="BD86" s="360">
        <f t="shared" si="131"/>
        <v>0.35497537131422963</v>
      </c>
      <c r="BE86" s="360">
        <f t="shared" si="132"/>
        <v>1.1786986018653893</v>
      </c>
      <c r="BK86" s="18"/>
      <c r="BL86" s="19"/>
    </row>
    <row r="87" spans="1:64" x14ac:dyDescent="0.25">
      <c r="G87">
        <v>78</v>
      </c>
      <c r="H87" s="548">
        <f t="shared" si="85"/>
        <v>45</v>
      </c>
      <c r="I87" s="4">
        <f t="shared" si="86"/>
        <v>2</v>
      </c>
      <c r="J87" s="360">
        <f t="shared" si="116"/>
        <v>46.8</v>
      </c>
      <c r="K87" s="360">
        <f t="shared" si="87"/>
        <v>23.4</v>
      </c>
      <c r="L87" s="4">
        <f t="shared" si="88"/>
        <v>13.866666666666664</v>
      </c>
      <c r="M87" s="360">
        <f t="shared" si="89"/>
        <v>0.53550791228168304</v>
      </c>
      <c r="N87" s="4">
        <f t="shared" si="90"/>
        <v>5.0936675276589041</v>
      </c>
      <c r="O87" s="4">
        <f t="shared" si="117"/>
        <v>25.946833763829449</v>
      </c>
      <c r="P87" s="4">
        <f t="shared" si="118"/>
        <v>20.853166236170548</v>
      </c>
      <c r="Q87" s="4">
        <f t="shared" si="91"/>
        <v>0</v>
      </c>
      <c r="R87" s="4">
        <f t="shared" si="119"/>
        <v>23.446153644898644</v>
      </c>
      <c r="S87" s="360">
        <f t="shared" si="92"/>
        <v>1.0224831445767608</v>
      </c>
      <c r="T87" s="360">
        <f t="shared" si="93"/>
        <v>0.3</v>
      </c>
      <c r="U87" s="360">
        <f t="shared" si="94"/>
        <v>1.4402975413099421</v>
      </c>
      <c r="V87" s="4">
        <f t="shared" si="120"/>
        <v>1.470415159128162</v>
      </c>
      <c r="W87" s="360">
        <f t="shared" si="121"/>
        <v>4.3242414803877959E-3</v>
      </c>
      <c r="X87" s="360">
        <f t="shared" si="122"/>
        <v>4.3242414803877959E-3</v>
      </c>
      <c r="Y87" s="4">
        <f t="shared" si="123"/>
        <v>11.693478269081266</v>
      </c>
      <c r="Z87" s="360">
        <f t="shared" si="124"/>
        <v>0.20510615104421373</v>
      </c>
      <c r="AA87" s="541">
        <f t="shared" si="125"/>
        <v>0.20510615104421373</v>
      </c>
      <c r="AB87" s="360">
        <f t="shared" si="126"/>
        <v>17.157521534669293</v>
      </c>
      <c r="AC87" s="360">
        <f t="shared" si="95"/>
        <v>0.38269470877643269</v>
      </c>
      <c r="AD87" s="360">
        <f t="shared" si="96"/>
        <v>0.68699172413793108</v>
      </c>
      <c r="AE87" s="360">
        <f t="shared" si="97"/>
        <v>0.36630000000000001</v>
      </c>
      <c r="AF87" s="360">
        <f t="shared" si="98"/>
        <v>0</v>
      </c>
      <c r="AG87" s="360">
        <f t="shared" si="99"/>
        <v>1.5246762330140566</v>
      </c>
      <c r="AH87" s="360">
        <f t="shared" si="100"/>
        <v>15.979410988129487</v>
      </c>
      <c r="AI87" s="360">
        <f t="shared" si="101"/>
        <v>0.33194404818581941</v>
      </c>
      <c r="AJ87" s="360">
        <f t="shared" si="102"/>
        <v>0</v>
      </c>
      <c r="AK87" s="360">
        <f t="shared" si="103"/>
        <v>0.34958240140536601</v>
      </c>
      <c r="AL87" s="360">
        <f t="shared" si="104"/>
        <v>0.10378367999999998</v>
      </c>
      <c r="AM87" s="360">
        <f t="shared" si="105"/>
        <v>4.4549999999999999E-2</v>
      </c>
      <c r="AN87" s="360">
        <f t="shared" si="106"/>
        <v>1.209388665628427</v>
      </c>
      <c r="AO87" s="360">
        <f t="shared" si="107"/>
        <v>1.5749999999999998E-3</v>
      </c>
      <c r="AP87" s="360">
        <f t="shared" si="108"/>
        <v>0.25740000000000002</v>
      </c>
      <c r="AQ87" s="360">
        <f t="shared" si="109"/>
        <v>0.24596000000000001</v>
      </c>
      <c r="AR87" s="360">
        <f t="shared" si="110"/>
        <v>0.2288</v>
      </c>
      <c r="AS87" s="360">
        <f t="shared" si="133"/>
        <v>0.25897500000000001</v>
      </c>
      <c r="AT87" s="360">
        <f t="shared" si="111"/>
        <v>5.1406839138823939</v>
      </c>
      <c r="AU87">
        <f t="shared" si="112"/>
        <v>561.59999999999991</v>
      </c>
      <c r="AV87" s="542">
        <f t="shared" si="127"/>
        <v>0.99092938964892885</v>
      </c>
      <c r="AW87" s="551">
        <f t="shared" si="113"/>
        <v>59.055010854534153</v>
      </c>
      <c r="AX87" s="551">
        <f t="shared" si="114"/>
        <v>13.842788253403908</v>
      </c>
      <c r="AY87" s="9"/>
      <c r="AZ87" s="4">
        <f t="shared" si="128"/>
        <v>99.09293896489288</v>
      </c>
      <c r="BA87" s="360">
        <f t="shared" si="115"/>
        <v>1.4402975413099421</v>
      </c>
      <c r="BB87" s="360">
        <f t="shared" si="129"/>
        <v>1.9188086344194226</v>
      </c>
      <c r="BC87" s="360">
        <f t="shared" si="130"/>
        <v>1.5540792330140567</v>
      </c>
      <c r="BD87" s="360">
        <f t="shared" si="131"/>
        <v>0.36428390140536598</v>
      </c>
      <c r="BE87" s="360">
        <f t="shared" si="132"/>
        <v>1.209388665628427</v>
      </c>
      <c r="BK87" s="18"/>
      <c r="BL87" s="19"/>
    </row>
    <row r="88" spans="1:64" x14ac:dyDescent="0.25">
      <c r="G88">
        <v>79</v>
      </c>
      <c r="H88" s="548">
        <f t="shared" si="85"/>
        <v>45</v>
      </c>
      <c r="I88" s="4">
        <f t="shared" si="86"/>
        <v>2</v>
      </c>
      <c r="J88" s="360">
        <f t="shared" si="116"/>
        <v>47.4</v>
      </c>
      <c r="K88" s="360">
        <f t="shared" si="87"/>
        <v>23.7</v>
      </c>
      <c r="L88" s="4">
        <f t="shared" si="88"/>
        <v>14.044444444444443</v>
      </c>
      <c r="M88" s="360">
        <f t="shared" si="89"/>
        <v>0.53553575923363461</v>
      </c>
      <c r="N88" s="4">
        <f t="shared" si="90"/>
        <v>5.0937016362844556</v>
      </c>
      <c r="O88" s="4">
        <f t="shared" si="117"/>
        <v>26.246850818142228</v>
      </c>
      <c r="P88" s="4">
        <f t="shared" si="118"/>
        <v>21.153149181857771</v>
      </c>
      <c r="Q88" s="4">
        <f t="shared" si="91"/>
        <v>0</v>
      </c>
      <c r="R88" s="4">
        <f t="shared" si="119"/>
        <v>23.745571159620983</v>
      </c>
      <c r="S88" s="360">
        <f t="shared" si="92"/>
        <v>1.0487649984357204</v>
      </c>
      <c r="T88" s="360">
        <f t="shared" si="93"/>
        <v>0.3</v>
      </c>
      <c r="U88" s="360">
        <f t="shared" si="94"/>
        <v>1.4722920696451893</v>
      </c>
      <c r="V88" s="4">
        <f t="shared" si="120"/>
        <v>1.4704250054402339</v>
      </c>
      <c r="W88" s="360">
        <f t="shared" si="121"/>
        <v>4.3242993932478234E-3</v>
      </c>
      <c r="X88" s="360">
        <f t="shared" si="122"/>
        <v>4.3242993932478234E-3</v>
      </c>
      <c r="Y88" s="4">
        <f t="shared" si="123"/>
        <v>11.842761944078605</v>
      </c>
      <c r="Z88" s="360">
        <f t="shared" si="124"/>
        <v>0.21037651569617469</v>
      </c>
      <c r="AA88" s="541">
        <f t="shared" si="125"/>
        <v>0.21037651569617469</v>
      </c>
      <c r="AB88" s="360">
        <f t="shared" si="126"/>
        <v>17.377082294887668</v>
      </c>
      <c r="AC88" s="360">
        <f t="shared" si="95"/>
        <v>0.39255188580828798</v>
      </c>
      <c r="AD88" s="360">
        <f t="shared" si="96"/>
        <v>0.69579931034482756</v>
      </c>
      <c r="AE88" s="360">
        <f t="shared" si="97"/>
        <v>0.36630000000000001</v>
      </c>
      <c r="AF88" s="360">
        <f t="shared" si="98"/>
        <v>0</v>
      </c>
      <c r="AG88" s="360">
        <f t="shared" si="99"/>
        <v>1.5469547147122007</v>
      </c>
      <c r="AH88" s="360">
        <f t="shared" si="100"/>
        <v>16.182989853958553</v>
      </c>
      <c r="AI88" s="360">
        <f t="shared" si="101"/>
        <v>0.34045590879732313</v>
      </c>
      <c r="AJ88" s="360">
        <f t="shared" si="102"/>
        <v>0</v>
      </c>
      <c r="AK88" s="360">
        <f t="shared" si="103"/>
        <v>0.35903575724068415</v>
      </c>
      <c r="AL88" s="360">
        <f t="shared" si="104"/>
        <v>0.10511423999999998</v>
      </c>
      <c r="AM88" s="360">
        <f t="shared" si="105"/>
        <v>4.4549999999999999E-2</v>
      </c>
      <c r="AN88" s="360">
        <f t="shared" si="106"/>
        <v>1.2404747293325724</v>
      </c>
      <c r="AO88" s="360">
        <f t="shared" si="107"/>
        <v>1.5749999999999998E-3</v>
      </c>
      <c r="AP88" s="360">
        <f t="shared" si="108"/>
        <v>0.25740000000000002</v>
      </c>
      <c r="AQ88" s="360">
        <f t="shared" si="109"/>
        <v>0.24596000000000001</v>
      </c>
      <c r="AR88" s="360">
        <f t="shared" si="110"/>
        <v>0.2288</v>
      </c>
      <c r="AS88" s="360">
        <f t="shared" si="133"/>
        <v>0.25897500000000001</v>
      </c>
      <c r="AT88" s="360">
        <f t="shared" si="111"/>
        <v>5.2420973260200689</v>
      </c>
      <c r="AU88">
        <f t="shared" si="112"/>
        <v>568.79999999999995</v>
      </c>
      <c r="AV88" s="542">
        <f t="shared" si="127"/>
        <v>0.99086809599776993</v>
      </c>
      <c r="AW88" s="551">
        <f t="shared" si="113"/>
        <v>59.90159315906363</v>
      </c>
      <c r="AX88" s="551">
        <f t="shared" si="114"/>
        <v>14.202015775145997</v>
      </c>
      <c r="AY88" s="9"/>
      <c r="AZ88" s="4">
        <f t="shared" si="128"/>
        <v>99.086809599776998</v>
      </c>
      <c r="BA88" s="360">
        <f t="shared" si="115"/>
        <v>1.4722920696451893</v>
      </c>
      <c r="BB88" s="360">
        <f t="shared" si="129"/>
        <v>1.9505404719528849</v>
      </c>
      <c r="BC88" s="360">
        <f t="shared" si="130"/>
        <v>1.5763577147122008</v>
      </c>
      <c r="BD88" s="360">
        <f t="shared" si="131"/>
        <v>0.37373725724068413</v>
      </c>
      <c r="BE88" s="360">
        <f t="shared" si="132"/>
        <v>1.2404747293325724</v>
      </c>
      <c r="BK88" s="18"/>
      <c r="BL88" s="19"/>
    </row>
    <row r="89" spans="1:64" x14ac:dyDescent="0.25">
      <c r="G89">
        <v>80</v>
      </c>
      <c r="H89" s="548">
        <f t="shared" si="85"/>
        <v>45</v>
      </c>
      <c r="I89" s="4">
        <f t="shared" si="86"/>
        <v>2</v>
      </c>
      <c r="J89" s="360">
        <f t="shared" si="116"/>
        <v>48</v>
      </c>
      <c r="K89" s="360">
        <f t="shared" si="87"/>
        <v>24</v>
      </c>
      <c r="L89" s="4">
        <f t="shared" si="88"/>
        <v>14.222222222222221</v>
      </c>
      <c r="M89" s="360">
        <f t="shared" si="89"/>
        <v>0.5355636053696996</v>
      </c>
      <c r="N89" s="4">
        <f t="shared" si="90"/>
        <v>5.0937357131511156</v>
      </c>
      <c r="O89" s="4">
        <f t="shared" si="117"/>
        <v>26.54686785657556</v>
      </c>
      <c r="P89" s="4">
        <f t="shared" si="118"/>
        <v>21.45313214342444</v>
      </c>
      <c r="Q89" s="4">
        <f t="shared" si="91"/>
        <v>0</v>
      </c>
      <c r="R89" s="4">
        <f t="shared" si="119"/>
        <v>24.045003194557616</v>
      </c>
      <c r="S89" s="360">
        <f t="shared" si="92"/>
        <v>1.0753816522448918</v>
      </c>
      <c r="T89" s="360">
        <f t="shared" si="93"/>
        <v>0.3</v>
      </c>
      <c r="U89" s="360">
        <f t="shared" si="94"/>
        <v>1.504844199582331</v>
      </c>
      <c r="V89" s="4">
        <f t="shared" si="120"/>
        <v>1.4704348425843035</v>
      </c>
      <c r="W89" s="360">
        <f t="shared" si="121"/>
        <v>4.3243572525718506E-3</v>
      </c>
      <c r="X89" s="360">
        <f t="shared" si="122"/>
        <v>4.3243572525718506E-3</v>
      </c>
      <c r="Y89" s="4">
        <f t="shared" si="123"/>
        <v>11.992051636911947</v>
      </c>
      <c r="Z89" s="360">
        <f t="shared" si="124"/>
        <v>0.21571395369354379</v>
      </c>
      <c r="AA89" s="541">
        <f t="shared" si="125"/>
        <v>0.21571395369354379</v>
      </c>
      <c r="AB89" s="360">
        <f t="shared" si="126"/>
        <v>17.596665049761388</v>
      </c>
      <c r="AC89" s="360">
        <f t="shared" si="95"/>
        <v>0.40253540713554214</v>
      </c>
      <c r="AD89" s="360">
        <f t="shared" si="96"/>
        <v>0.70460689655172415</v>
      </c>
      <c r="AE89" s="360">
        <f t="shared" si="97"/>
        <v>0.36630000000000001</v>
      </c>
      <c r="AF89" s="360">
        <f t="shared" si="98"/>
        <v>0</v>
      </c>
      <c r="AG89" s="360">
        <f t="shared" si="99"/>
        <v>1.5694709852783237</v>
      </c>
      <c r="AH89" s="360">
        <f t="shared" si="100"/>
        <v>16.386566380813033</v>
      </c>
      <c r="AI89" s="360">
        <f t="shared" si="101"/>
        <v>0.34907542507862949</v>
      </c>
      <c r="AJ89" s="360">
        <f t="shared" si="102"/>
        <v>0</v>
      </c>
      <c r="AK89" s="360">
        <f t="shared" si="103"/>
        <v>0.36863500086157075</v>
      </c>
      <c r="AL89" s="360">
        <f t="shared" si="104"/>
        <v>0.10644479999999998</v>
      </c>
      <c r="AM89" s="360">
        <f t="shared" si="105"/>
        <v>4.4549999999999999E-2</v>
      </c>
      <c r="AN89" s="360">
        <f t="shared" si="106"/>
        <v>1.271956792977829</v>
      </c>
      <c r="AO89" s="360">
        <f t="shared" si="107"/>
        <v>1.5749999999999998E-3</v>
      </c>
      <c r="AP89" s="360">
        <f t="shared" si="108"/>
        <v>0.25740000000000002</v>
      </c>
      <c r="AQ89" s="360">
        <f t="shared" si="109"/>
        <v>0.24596000000000001</v>
      </c>
      <c r="AR89" s="360">
        <f t="shared" si="110"/>
        <v>0.2288</v>
      </c>
      <c r="AS89" s="360">
        <f t="shared" si="133"/>
        <v>0.25897500000000001</v>
      </c>
      <c r="AT89" s="360">
        <f t="shared" si="111"/>
        <v>5.3449150896461699</v>
      </c>
      <c r="AU89">
        <f t="shared" si="112"/>
        <v>576</v>
      </c>
      <c r="AV89" s="542">
        <f t="shared" si="127"/>
        <v>0.99080594849819581</v>
      </c>
      <c r="AW89" s="551">
        <f t="shared" si="113"/>
        <v>60.757211440576306</v>
      </c>
      <c r="AX89" s="551">
        <f t="shared" si="114"/>
        <v>14.566787032739688</v>
      </c>
      <c r="AY89" s="9"/>
      <c r="AZ89" s="4">
        <f t="shared" si="128"/>
        <v>99.080594849819576</v>
      </c>
      <c r="BA89" s="360">
        <f t="shared" si="115"/>
        <v>1.504844199582331</v>
      </c>
      <c r="BB89" s="360">
        <f t="shared" si="129"/>
        <v>1.9826559861398945</v>
      </c>
      <c r="BC89" s="360">
        <f t="shared" si="130"/>
        <v>1.5988739852783238</v>
      </c>
      <c r="BD89" s="360">
        <f t="shared" si="131"/>
        <v>0.38333650086157073</v>
      </c>
      <c r="BE89" s="360">
        <f t="shared" si="132"/>
        <v>1.271956792977829</v>
      </c>
      <c r="BK89" s="18"/>
      <c r="BL89" s="19"/>
    </row>
    <row r="90" spans="1:64" x14ac:dyDescent="0.25">
      <c r="G90">
        <v>81</v>
      </c>
      <c r="H90" s="548">
        <f t="shared" si="85"/>
        <v>45</v>
      </c>
      <c r="I90" s="4">
        <f t="shared" si="86"/>
        <v>2</v>
      </c>
      <c r="J90" s="360">
        <f t="shared" si="116"/>
        <v>48.6</v>
      </c>
      <c r="K90" s="360">
        <f t="shared" si="87"/>
        <v>24.3</v>
      </c>
      <c r="L90" s="4">
        <f t="shared" si="88"/>
        <v>14.4</v>
      </c>
      <c r="M90" s="360">
        <f t="shared" si="89"/>
        <v>0.53559145068991376</v>
      </c>
      <c r="N90" s="4">
        <f t="shared" si="90"/>
        <v>5.0937697582602777</v>
      </c>
      <c r="O90" s="4">
        <f t="shared" si="117"/>
        <v>26.84688487913014</v>
      </c>
      <c r="P90" s="4">
        <f t="shared" si="118"/>
        <v>21.753115120869861</v>
      </c>
      <c r="Q90" s="4">
        <f t="shared" si="91"/>
        <v>0</v>
      </c>
      <c r="R90" s="4">
        <f t="shared" si="119"/>
        <v>24.344449213921038</v>
      </c>
      <c r="S90" s="360">
        <f t="shared" si="92"/>
        <v>1.102333106004276</v>
      </c>
      <c r="T90" s="360">
        <f t="shared" si="93"/>
        <v>0.3</v>
      </c>
      <c r="U90" s="360">
        <f t="shared" si="94"/>
        <v>1.5379607061764362</v>
      </c>
      <c r="V90" s="4">
        <f t="shared" si="120"/>
        <v>1.4704446705607732</v>
      </c>
      <c r="W90" s="360">
        <f t="shared" si="121"/>
        <v>4.3244150583611612E-3</v>
      </c>
      <c r="X90" s="360">
        <f t="shared" si="122"/>
        <v>4.3244150583611612E-3</v>
      </c>
      <c r="Y90" s="4">
        <f t="shared" si="123"/>
        <v>12.141347078931945</v>
      </c>
      <c r="Z90" s="360">
        <f t="shared" si="124"/>
        <v>0.22111846333663393</v>
      </c>
      <c r="AA90" s="541">
        <f t="shared" si="125"/>
        <v>0.22111846333663393</v>
      </c>
      <c r="AB90" s="360">
        <f t="shared" si="126"/>
        <v>17.816269407065377</v>
      </c>
      <c r="AC90" s="360">
        <f t="shared" si="95"/>
        <v>0.41264529226067376</v>
      </c>
      <c r="AD90" s="360">
        <f t="shared" si="96"/>
        <v>0.71341448275862074</v>
      </c>
      <c r="AE90" s="360">
        <f t="shared" si="97"/>
        <v>0.36630000000000001</v>
      </c>
      <c r="AF90" s="360">
        <f t="shared" si="98"/>
        <v>0</v>
      </c>
      <c r="AG90" s="360">
        <f t="shared" si="99"/>
        <v>1.5922276095682573</v>
      </c>
      <c r="AH90" s="360">
        <f t="shared" si="100"/>
        <v>16.590140202663957</v>
      </c>
      <c r="AI90" s="360">
        <f t="shared" si="101"/>
        <v>0.35780257752726091</v>
      </c>
      <c r="AJ90" s="360">
        <f t="shared" si="102"/>
        <v>0</v>
      </c>
      <c r="AK90" s="360">
        <f t="shared" si="103"/>
        <v>0.37838121518773538</v>
      </c>
      <c r="AL90" s="360">
        <f t="shared" si="104"/>
        <v>0.10777535999999999</v>
      </c>
      <c r="AM90" s="360">
        <f t="shared" si="105"/>
        <v>4.4549999999999999E-2</v>
      </c>
      <c r="AN90" s="360">
        <f t="shared" si="106"/>
        <v>1.3038348565641975</v>
      </c>
      <c r="AO90" s="360">
        <f t="shared" si="107"/>
        <v>1.5749999999999998E-3</v>
      </c>
      <c r="AP90" s="360">
        <f t="shared" si="108"/>
        <v>0.25740000000000002</v>
      </c>
      <c r="AQ90" s="360">
        <f t="shared" si="109"/>
        <v>0.24596000000000001</v>
      </c>
      <c r="AR90" s="360">
        <f t="shared" si="110"/>
        <v>0.2288</v>
      </c>
      <c r="AS90" s="360">
        <f t="shared" si="133"/>
        <v>0.25897500000000001</v>
      </c>
      <c r="AT90" s="360">
        <f t="shared" si="111"/>
        <v>5.449147625891622</v>
      </c>
      <c r="AU90">
        <f t="shared" si="112"/>
        <v>583.20000000000005</v>
      </c>
      <c r="AV90" s="542">
        <f t="shared" si="127"/>
        <v>0.9907429618341097</v>
      </c>
      <c r="AW90" s="551">
        <f t="shared" si="113"/>
        <v>61.621963163593776</v>
      </c>
      <c r="AX90" s="551">
        <f t="shared" si="114"/>
        <v>14.937143177133944</v>
      </c>
      <c r="AY90" s="9"/>
      <c r="AZ90" s="4">
        <f t="shared" si="128"/>
        <v>99.074296183410965</v>
      </c>
      <c r="BA90" s="360">
        <f t="shared" si="115"/>
        <v>1.5379607061764362</v>
      </c>
      <c r="BB90" s="360">
        <f t="shared" si="129"/>
        <v>2.0151588247559928</v>
      </c>
      <c r="BC90" s="360">
        <f t="shared" si="130"/>
        <v>1.6216306095682573</v>
      </c>
      <c r="BD90" s="360">
        <f t="shared" si="131"/>
        <v>0.39308271518773535</v>
      </c>
      <c r="BE90" s="360">
        <f t="shared" si="132"/>
        <v>1.3038348565641975</v>
      </c>
      <c r="BK90" s="18"/>
      <c r="BL90" s="19"/>
    </row>
    <row r="91" spans="1:64" x14ac:dyDescent="0.25">
      <c r="G91">
        <v>82</v>
      </c>
      <c r="H91" s="548">
        <f t="shared" si="85"/>
        <v>45</v>
      </c>
      <c r="I91" s="4">
        <f t="shared" si="86"/>
        <v>2</v>
      </c>
      <c r="J91" s="360">
        <f t="shared" si="116"/>
        <v>49.2</v>
      </c>
      <c r="K91" s="360">
        <f t="shared" si="87"/>
        <v>24.6</v>
      </c>
      <c r="L91" s="4">
        <f t="shared" si="88"/>
        <v>14.577777777777779</v>
      </c>
      <c r="M91" s="360">
        <f t="shared" si="89"/>
        <v>0.53561929519431295</v>
      </c>
      <c r="N91" s="4">
        <f t="shared" si="90"/>
        <v>5.0938037716133389</v>
      </c>
      <c r="O91" s="4">
        <f t="shared" si="117"/>
        <v>27.14690188580667</v>
      </c>
      <c r="P91" s="4">
        <f t="shared" si="118"/>
        <v>22.053098114193332</v>
      </c>
      <c r="Q91" s="4">
        <f t="shared" si="91"/>
        <v>0</v>
      </c>
      <c r="R91" s="4">
        <f t="shared" si="119"/>
        <v>24.643908707940561</v>
      </c>
      <c r="S91" s="360">
        <f t="shared" si="92"/>
        <v>1.1296193597138739</v>
      </c>
      <c r="T91" s="360">
        <f t="shared" si="93"/>
        <v>0.3</v>
      </c>
      <c r="U91" s="360">
        <f t="shared" si="94"/>
        <v>1.5716485280279706</v>
      </c>
      <c r="V91" s="4">
        <f t="shared" si="120"/>
        <v>1.4704544893700462</v>
      </c>
      <c r="W91" s="360">
        <f t="shared" si="121"/>
        <v>4.3244728106170468E-3</v>
      </c>
      <c r="X91" s="360">
        <f t="shared" si="122"/>
        <v>4.3244728106170468E-3</v>
      </c>
      <c r="Y91" s="4">
        <f t="shared" si="123"/>
        <v>12.290648014468875</v>
      </c>
      <c r="Z91" s="360">
        <f t="shared" si="124"/>
        <v>0.22659004292335153</v>
      </c>
      <c r="AA91" s="541">
        <f t="shared" si="125"/>
        <v>0.22659004292335153</v>
      </c>
      <c r="AB91" s="360">
        <f t="shared" si="126"/>
        <v>18.035894993574491</v>
      </c>
      <c r="AC91" s="360">
        <f t="shared" si="95"/>
        <v>0.42288156068501898</v>
      </c>
      <c r="AD91" s="360">
        <f t="shared" si="96"/>
        <v>0.72222206896551722</v>
      </c>
      <c r="AE91" s="360">
        <f t="shared" si="97"/>
        <v>0.36630000000000001</v>
      </c>
      <c r="AF91" s="360">
        <f t="shared" si="98"/>
        <v>0</v>
      </c>
      <c r="AG91" s="360">
        <f t="shared" si="99"/>
        <v>1.6152271990685951</v>
      </c>
      <c r="AH91" s="360">
        <f t="shared" si="100"/>
        <v>16.793710971255379</v>
      </c>
      <c r="AI91" s="360">
        <f t="shared" si="101"/>
        <v>0.36663734664188224</v>
      </c>
      <c r="AJ91" s="360">
        <f t="shared" si="102"/>
        <v>0</v>
      </c>
      <c r="AK91" s="360">
        <f t="shared" si="103"/>
        <v>0.38827550434510993</v>
      </c>
      <c r="AL91" s="360">
        <f t="shared" si="104"/>
        <v>0.10910592</v>
      </c>
      <c r="AM91" s="360">
        <f t="shared" si="105"/>
        <v>4.4549999999999999E-2</v>
      </c>
      <c r="AN91" s="360">
        <f t="shared" si="106"/>
        <v>1.3361089200916789</v>
      </c>
      <c r="AO91" s="360">
        <f t="shared" si="107"/>
        <v>1.5749999999999998E-3</v>
      </c>
      <c r="AP91" s="360">
        <f t="shared" si="108"/>
        <v>0.25740000000000002</v>
      </c>
      <c r="AQ91" s="360">
        <f t="shared" si="109"/>
        <v>0.24596000000000001</v>
      </c>
      <c r="AR91" s="360">
        <f t="shared" si="110"/>
        <v>0.2288</v>
      </c>
      <c r="AS91" s="360">
        <f t="shared" si="133"/>
        <v>0.25897500000000001</v>
      </c>
      <c r="AT91" s="360">
        <f t="shared" si="111"/>
        <v>5.5548055872673237</v>
      </c>
      <c r="AU91">
        <f t="shared" si="112"/>
        <v>590.40000000000009</v>
      </c>
      <c r="AV91" s="542">
        <f t="shared" si="127"/>
        <v>0.99067914960129655</v>
      </c>
      <c r="AW91" s="551">
        <f t="shared" si="113"/>
        <v>62.495947564606617</v>
      </c>
      <c r="AX91" s="551">
        <f t="shared" si="114"/>
        <v>15.313126165114177</v>
      </c>
      <c r="AY91" s="9"/>
      <c r="AZ91" s="4">
        <f t="shared" si="128"/>
        <v>99.067914960129656</v>
      </c>
      <c r="BA91" s="360">
        <f t="shared" si="115"/>
        <v>1.5716485280279706</v>
      </c>
      <c r="BB91" s="360">
        <f t="shared" si="129"/>
        <v>2.0480527034137053</v>
      </c>
      <c r="BC91" s="360">
        <f t="shared" si="130"/>
        <v>1.6446301990685952</v>
      </c>
      <c r="BD91" s="360">
        <f t="shared" si="131"/>
        <v>0.40297700434510991</v>
      </c>
      <c r="BE91" s="360">
        <f t="shared" si="132"/>
        <v>1.3361089200916789</v>
      </c>
      <c r="BK91" s="18"/>
      <c r="BL91" s="19"/>
    </row>
    <row r="92" spans="1:64" x14ac:dyDescent="0.25">
      <c r="G92">
        <v>83</v>
      </c>
      <c r="H92" s="548">
        <f t="shared" si="85"/>
        <v>45</v>
      </c>
      <c r="I92" s="4">
        <f t="shared" si="86"/>
        <v>2</v>
      </c>
      <c r="J92" s="360">
        <f t="shared" si="116"/>
        <v>49.8</v>
      </c>
      <c r="K92" s="360">
        <f t="shared" si="87"/>
        <v>24.9</v>
      </c>
      <c r="L92" s="4">
        <f t="shared" si="88"/>
        <v>14.755555555555553</v>
      </c>
      <c r="M92" s="360">
        <f t="shared" si="89"/>
        <v>0.53564713888293314</v>
      </c>
      <c r="N92" s="4">
        <f t="shared" si="90"/>
        <v>5.0938377532116954</v>
      </c>
      <c r="O92" s="4">
        <f t="shared" si="117"/>
        <v>27.446918876605846</v>
      </c>
      <c r="P92" s="4">
        <f t="shared" si="118"/>
        <v>22.353081123394151</v>
      </c>
      <c r="Q92" s="4">
        <f t="shared" si="91"/>
        <v>0</v>
      </c>
      <c r="R92" s="4">
        <f t="shared" si="119"/>
        <v>24.943381191303441</v>
      </c>
      <c r="S92" s="360">
        <f t="shared" si="92"/>
        <v>1.1572404133736867</v>
      </c>
      <c r="T92" s="360">
        <f t="shared" si="93"/>
        <v>0.3</v>
      </c>
      <c r="U92" s="360">
        <f t="shared" si="94"/>
        <v>1.605914771273834</v>
      </c>
      <c r="V92" s="4">
        <f t="shared" si="120"/>
        <v>1.4704642990125254</v>
      </c>
      <c r="W92" s="360">
        <f t="shared" si="121"/>
        <v>4.3245305093407953E-3</v>
      </c>
      <c r="X92" s="360">
        <f t="shared" si="122"/>
        <v>4.3245305093407953E-3</v>
      </c>
      <c r="Y92" s="4">
        <f t="shared" si="123"/>
        <v>12.439954200054935</v>
      </c>
      <c r="Z92" s="360">
        <f t="shared" si="124"/>
        <v>0.23212869074919662</v>
      </c>
      <c r="AA92" s="541">
        <f t="shared" si="125"/>
        <v>0.23212869074919662</v>
      </c>
      <c r="AB92" s="360">
        <f t="shared" si="126"/>
        <v>18.255541453925094</v>
      </c>
      <c r="AC92" s="360">
        <f t="shared" si="95"/>
        <v>0.43324423190877076</v>
      </c>
      <c r="AD92" s="360">
        <f t="shared" si="96"/>
        <v>0.73102965517241381</v>
      </c>
      <c r="AE92" s="360">
        <f t="shared" si="97"/>
        <v>0.36630000000000001</v>
      </c>
      <c r="AF92" s="360">
        <f t="shared" si="98"/>
        <v>0</v>
      </c>
      <c r="AG92" s="360">
        <f t="shared" si="99"/>
        <v>1.6384724128248849</v>
      </c>
      <c r="AH92" s="360">
        <f t="shared" si="100"/>
        <v>16.997278355039455</v>
      </c>
      <c r="AI92" s="360">
        <f t="shared" si="101"/>
        <v>0.37557971292230063</v>
      </c>
      <c r="AJ92" s="360">
        <f t="shared" si="102"/>
        <v>0</v>
      </c>
      <c r="AK92" s="360">
        <f t="shared" si="103"/>
        <v>0.39831899400195098</v>
      </c>
      <c r="AL92" s="360">
        <f t="shared" si="104"/>
        <v>0.11043647999999998</v>
      </c>
      <c r="AM92" s="360">
        <f t="shared" si="105"/>
        <v>4.4549999999999999E-2</v>
      </c>
      <c r="AN92" s="360">
        <f t="shared" si="106"/>
        <v>1.3687789835602746</v>
      </c>
      <c r="AO92" s="360">
        <f t="shared" si="107"/>
        <v>1.5749999999999998E-3</v>
      </c>
      <c r="AP92" s="360">
        <f t="shared" si="108"/>
        <v>0.25740000000000002</v>
      </c>
      <c r="AQ92" s="360">
        <f t="shared" si="109"/>
        <v>0.24596000000000001</v>
      </c>
      <c r="AR92" s="360">
        <f t="shared" si="110"/>
        <v>0.2288</v>
      </c>
      <c r="AS92" s="360">
        <f t="shared" si="133"/>
        <v>0.25897500000000001</v>
      </c>
      <c r="AT92" s="360">
        <f t="shared" si="111"/>
        <v>5.6618998629194826</v>
      </c>
      <c r="AU92">
        <f t="shared" si="112"/>
        <v>597.59999999999991</v>
      </c>
      <c r="AV92" s="542">
        <f t="shared" si="127"/>
        <v>0.99061452436461517</v>
      </c>
      <c r="AW92" s="551">
        <f t="shared" si="113"/>
        <v>63.379265687345629</v>
      </c>
      <c r="AX92" s="551">
        <f t="shared" si="114"/>
        <v>15.694778772074136</v>
      </c>
      <c r="AY92" s="9"/>
      <c r="AZ92" s="4">
        <f t="shared" si="128"/>
        <v>99.061452436461522</v>
      </c>
      <c r="BA92" s="360">
        <f t="shared" si="115"/>
        <v>1.605914771273834</v>
      </c>
      <c r="BB92" s="360">
        <f t="shared" si="129"/>
        <v>2.0813414068268359</v>
      </c>
      <c r="BC92" s="360">
        <f t="shared" si="130"/>
        <v>1.6678754128248849</v>
      </c>
      <c r="BD92" s="360">
        <f t="shared" si="131"/>
        <v>0.41302049400195096</v>
      </c>
      <c r="BE92" s="360">
        <f t="shared" si="132"/>
        <v>1.3687789835602746</v>
      </c>
      <c r="BK92" s="18"/>
      <c r="BL92" s="19"/>
    </row>
    <row r="93" spans="1:64" x14ac:dyDescent="0.25">
      <c r="G93">
        <v>84</v>
      </c>
      <c r="H93" s="548">
        <f t="shared" si="85"/>
        <v>45</v>
      </c>
      <c r="I93" s="4">
        <f t="shared" si="86"/>
        <v>2</v>
      </c>
      <c r="J93" s="360">
        <f t="shared" si="116"/>
        <v>50.4</v>
      </c>
      <c r="K93" s="360">
        <f t="shared" si="87"/>
        <v>25.2</v>
      </c>
      <c r="L93" s="4">
        <f t="shared" si="88"/>
        <v>14.933333333333332</v>
      </c>
      <c r="M93" s="360">
        <f t="shared" si="89"/>
        <v>0.53567498175581019</v>
      </c>
      <c r="N93" s="4">
        <f t="shared" si="90"/>
        <v>5.0938717030567435</v>
      </c>
      <c r="O93" s="4">
        <f t="shared" si="117"/>
        <v>27.74693585152837</v>
      </c>
      <c r="P93" s="4">
        <f t="shared" si="118"/>
        <v>22.653064148471628</v>
      </c>
      <c r="Q93" s="4">
        <f t="shared" si="91"/>
        <v>0</v>
      </c>
      <c r="R93" s="4">
        <f t="shared" si="119"/>
        <v>25.242866201706708</v>
      </c>
      <c r="S93" s="360">
        <f t="shared" si="92"/>
        <v>1.1851962669837164</v>
      </c>
      <c r="T93" s="360">
        <f t="shared" si="93"/>
        <v>0.3</v>
      </c>
      <c r="U93" s="360">
        <f t="shared" si="94"/>
        <v>1.6407667137101491</v>
      </c>
      <c r="V93" s="4">
        <f t="shared" si="120"/>
        <v>1.4704740994886143</v>
      </c>
      <c r="W93" s="360">
        <f t="shared" si="121"/>
        <v>4.3245881545337025E-3</v>
      </c>
      <c r="X93" s="360">
        <f t="shared" si="122"/>
        <v>4.3245881545337025E-3</v>
      </c>
      <c r="Y93" s="4">
        <f t="shared" si="123"/>
        <v>12.58926540370177</v>
      </c>
      <c r="Z93" s="360">
        <f t="shared" si="124"/>
        <v>0.23773440510726343</v>
      </c>
      <c r="AA93" s="541">
        <f t="shared" si="125"/>
        <v>0.23773440510726343</v>
      </c>
      <c r="AB93" s="360">
        <f t="shared" si="126"/>
        <v>18.475208449557485</v>
      </c>
      <c r="AC93" s="360">
        <f t="shared" si="95"/>
        <v>0.44373332543098037</v>
      </c>
      <c r="AD93" s="360">
        <f t="shared" si="96"/>
        <v>0.7398372413793104</v>
      </c>
      <c r="AE93" s="360">
        <f t="shared" si="97"/>
        <v>0.36630000000000001</v>
      </c>
      <c r="AF93" s="360">
        <f t="shared" si="98"/>
        <v>0</v>
      </c>
      <c r="AG93" s="360">
        <f t="shared" si="99"/>
        <v>1.6619659583939161</v>
      </c>
      <c r="AH93" s="360">
        <f t="shared" si="100"/>
        <v>17.200842038187158</v>
      </c>
      <c r="AI93" s="360">
        <f t="shared" si="101"/>
        <v>0.38462965686946649</v>
      </c>
      <c r="AJ93" s="360">
        <f t="shared" si="102"/>
        <v>0</v>
      </c>
      <c r="AK93" s="360">
        <f t="shared" si="103"/>
        <v>0.40851283171334557</v>
      </c>
      <c r="AL93" s="360">
        <f t="shared" si="104"/>
        <v>0.11176703999999998</v>
      </c>
      <c r="AM93" s="360">
        <f t="shared" si="105"/>
        <v>4.4549999999999999E-2</v>
      </c>
      <c r="AN93" s="360">
        <f t="shared" si="106"/>
        <v>1.4018450469699872</v>
      </c>
      <c r="AO93" s="360">
        <f t="shared" si="107"/>
        <v>1.5749999999999998E-3</v>
      </c>
      <c r="AP93" s="360">
        <f t="shared" si="108"/>
        <v>0.25740000000000002</v>
      </c>
      <c r="AQ93" s="360">
        <f t="shared" si="109"/>
        <v>0.24596000000000001</v>
      </c>
      <c r="AR93" s="360">
        <f t="shared" si="110"/>
        <v>0.2288</v>
      </c>
      <c r="AS93" s="360">
        <f t="shared" si="133"/>
        <v>0.25897500000000001</v>
      </c>
      <c r="AT93" s="360">
        <f t="shared" si="111"/>
        <v>5.7704415840491965</v>
      </c>
      <c r="AU93">
        <f t="shared" si="112"/>
        <v>604.79999999999995</v>
      </c>
      <c r="AV93" s="542">
        <f t="shared" si="127"/>
        <v>0.99054909771085786</v>
      </c>
      <c r="AW93" s="551">
        <f t="shared" si="113"/>
        <v>64.272020418968822</v>
      </c>
      <c r="AX93" s="551">
        <f t="shared" si="114"/>
        <v>16.082144605107132</v>
      </c>
      <c r="AY93" s="9"/>
      <c r="AZ93" s="4">
        <f t="shared" si="128"/>
        <v>99.054909771085789</v>
      </c>
      <c r="BA93" s="360">
        <f t="shared" si="115"/>
        <v>1.6407667137101491</v>
      </c>
      <c r="BB93" s="360">
        <f t="shared" si="129"/>
        <v>2.115028790107262</v>
      </c>
      <c r="BC93" s="360">
        <f t="shared" si="130"/>
        <v>1.6913689583939162</v>
      </c>
      <c r="BD93" s="360">
        <f t="shared" si="131"/>
        <v>0.42321433171334555</v>
      </c>
      <c r="BE93" s="360">
        <f t="shared" si="132"/>
        <v>1.4018450469699872</v>
      </c>
      <c r="BK93" s="18"/>
      <c r="BL93" s="19"/>
    </row>
    <row r="94" spans="1:64" x14ac:dyDescent="0.25">
      <c r="G94">
        <v>85</v>
      </c>
      <c r="H94" s="548">
        <f t="shared" si="85"/>
        <v>45</v>
      </c>
      <c r="I94" s="4">
        <f t="shared" si="86"/>
        <v>2</v>
      </c>
      <c r="J94" s="360">
        <f t="shared" si="116"/>
        <v>51</v>
      </c>
      <c r="K94" s="360">
        <f t="shared" si="87"/>
        <v>25.5</v>
      </c>
      <c r="L94" s="4">
        <f t="shared" si="88"/>
        <v>15.111111111111111</v>
      </c>
      <c r="M94" s="360">
        <f t="shared" si="89"/>
        <v>0.53570282381297973</v>
      </c>
      <c r="N94" s="4">
        <f t="shared" si="90"/>
        <v>5.093905621149875</v>
      </c>
      <c r="O94" s="4">
        <f t="shared" si="117"/>
        <v>28.046952810574936</v>
      </c>
      <c r="P94" s="4">
        <f t="shared" si="118"/>
        <v>22.953047189425064</v>
      </c>
      <c r="Q94" s="4">
        <f t="shared" si="91"/>
        <v>0</v>
      </c>
      <c r="R94" s="4">
        <f t="shared" si="119"/>
        <v>25.542363298510548</v>
      </c>
      <c r="S94" s="360">
        <f t="shared" si="92"/>
        <v>1.2134869205439636</v>
      </c>
      <c r="T94" s="360">
        <f t="shared" si="93"/>
        <v>0.3</v>
      </c>
      <c r="U94" s="360">
        <f t="shared" si="94"/>
        <v>1.6762118090515996</v>
      </c>
      <c r="V94" s="4">
        <f t="shared" si="120"/>
        <v>1.4704838907987141</v>
      </c>
      <c r="W94" s="360">
        <f t="shared" si="121"/>
        <v>4.3246457461970497E-3</v>
      </c>
      <c r="X94" s="360">
        <f t="shared" si="122"/>
        <v>4.3246457461970497E-3</v>
      </c>
      <c r="Y94" s="4">
        <f t="shared" si="123"/>
        <v>12.738581404228663</v>
      </c>
      <c r="Z94" s="360">
        <f t="shared" si="124"/>
        <v>0.24340718428824043</v>
      </c>
      <c r="AA94" s="541">
        <f t="shared" si="125"/>
        <v>0.24340718428824043</v>
      </c>
      <c r="AB94" s="360">
        <f t="shared" si="126"/>
        <v>18.694895657732474</v>
      </c>
      <c r="AC94" s="360">
        <f t="shared" si="95"/>
        <v>0.45434886074955583</v>
      </c>
      <c r="AD94" s="360">
        <f t="shared" si="96"/>
        <v>0.74864482758620687</v>
      </c>
      <c r="AE94" s="360">
        <f t="shared" si="97"/>
        <v>0.36630000000000001</v>
      </c>
      <c r="AF94" s="360">
        <f t="shared" si="98"/>
        <v>0</v>
      </c>
      <c r="AG94" s="360">
        <f t="shared" si="99"/>
        <v>1.6857105928208045</v>
      </c>
      <c r="AH94" s="360">
        <f t="shared" si="100"/>
        <v>17.404401719668336</v>
      </c>
      <c r="AI94" s="360">
        <f t="shared" si="101"/>
        <v>0.39378715898547234</v>
      </c>
      <c r="AJ94" s="360">
        <f t="shared" si="102"/>
        <v>0</v>
      </c>
      <c r="AK94" s="360">
        <f t="shared" si="103"/>
        <v>0.41885818727432572</v>
      </c>
      <c r="AL94" s="360">
        <f t="shared" si="104"/>
        <v>0.11309759999999998</v>
      </c>
      <c r="AM94" s="360">
        <f t="shared" si="105"/>
        <v>4.4549999999999999E-2</v>
      </c>
      <c r="AN94" s="360">
        <f t="shared" si="106"/>
        <v>1.4353071103208173</v>
      </c>
      <c r="AO94" s="360">
        <f t="shared" si="107"/>
        <v>1.5749999999999998E-3</v>
      </c>
      <c r="AP94" s="360">
        <f t="shared" si="108"/>
        <v>0.25740000000000002</v>
      </c>
      <c r="AQ94" s="360">
        <f t="shared" si="109"/>
        <v>0.24596000000000001</v>
      </c>
      <c r="AR94" s="360">
        <f t="shared" si="110"/>
        <v>0.2288</v>
      </c>
      <c r="AS94" s="360">
        <f t="shared" si="133"/>
        <v>0.25897500000000001</v>
      </c>
      <c r="AT94" s="360">
        <f t="shared" si="111"/>
        <v>5.8804421295019846</v>
      </c>
      <c r="AU94">
        <f t="shared" si="112"/>
        <v>612</v>
      </c>
      <c r="AV94" s="542">
        <f t="shared" si="127"/>
        <v>0.99048288029762643</v>
      </c>
      <c r="AW94" s="551">
        <f t="shared" si="113"/>
        <v>65.17431652719057</v>
      </c>
      <c r="AX94" s="551">
        <f t="shared" si="114"/>
        <v>16.475268116424377</v>
      </c>
      <c r="AY94" s="9"/>
      <c r="AZ94" s="4">
        <f t="shared" si="128"/>
        <v>99.048288029762645</v>
      </c>
      <c r="BA94" s="360">
        <f t="shared" si="115"/>
        <v>1.6762118090515996</v>
      </c>
      <c r="BB94" s="360">
        <f t="shared" si="129"/>
        <v>2.1491187800951304</v>
      </c>
      <c r="BC94" s="360">
        <f t="shared" si="130"/>
        <v>1.7151135928208046</v>
      </c>
      <c r="BD94" s="360">
        <f t="shared" si="131"/>
        <v>0.4335596872743257</v>
      </c>
      <c r="BE94" s="360">
        <f t="shared" si="132"/>
        <v>1.4353071103208173</v>
      </c>
      <c r="BK94" s="18"/>
      <c r="BL94" s="19"/>
    </row>
    <row r="95" spans="1:64" x14ac:dyDescent="0.25">
      <c r="G95">
        <v>86</v>
      </c>
      <c r="H95" s="548">
        <f t="shared" si="85"/>
        <v>45</v>
      </c>
      <c r="I95" s="4">
        <f t="shared" si="86"/>
        <v>2</v>
      </c>
      <c r="J95" s="360">
        <f t="shared" si="116"/>
        <v>51.6</v>
      </c>
      <c r="K95" s="360">
        <f t="shared" si="87"/>
        <v>25.8</v>
      </c>
      <c r="L95" s="4">
        <f t="shared" si="88"/>
        <v>15.28888888888889</v>
      </c>
      <c r="M95" s="360">
        <f t="shared" si="89"/>
        <v>0.53573066505447797</v>
      </c>
      <c r="N95" s="4">
        <f t="shared" si="90"/>
        <v>5.0939395074924887</v>
      </c>
      <c r="O95" s="4">
        <f t="shared" si="117"/>
        <v>28.346969753746244</v>
      </c>
      <c r="P95" s="4">
        <f t="shared" si="118"/>
        <v>23.253030246253758</v>
      </c>
      <c r="Q95" s="4">
        <f t="shared" si="91"/>
        <v>0</v>
      </c>
      <c r="R95" s="4">
        <f t="shared" si="119"/>
        <v>25.841872061485137</v>
      </c>
      <c r="S95" s="360">
        <f t="shared" si="92"/>
        <v>1.2421123740544289</v>
      </c>
      <c r="T95" s="360">
        <f t="shared" si="93"/>
        <v>0.3</v>
      </c>
      <c r="U95" s="360">
        <f t="shared" si="94"/>
        <v>1.7122576913323293</v>
      </c>
      <c r="V95" s="4">
        <f t="shared" si="120"/>
        <v>1.4704936729432292</v>
      </c>
      <c r="W95" s="360">
        <f t="shared" si="121"/>
        <v>4.3247032843321377E-3</v>
      </c>
      <c r="X95" s="360">
        <f t="shared" si="122"/>
        <v>4.3247032843321377E-3</v>
      </c>
      <c r="Y95" s="4">
        <f t="shared" si="123"/>
        <v>12.887901990637339</v>
      </c>
      <c r="Z95" s="360">
        <f t="shared" si="124"/>
        <v>0.24914702658041082</v>
      </c>
      <c r="AA95" s="541">
        <f t="shared" si="125"/>
        <v>0.24914702658041082</v>
      </c>
      <c r="AB95" s="360">
        <f t="shared" si="126"/>
        <v>18.914602770616199</v>
      </c>
      <c r="AC95" s="360">
        <f t="shared" si="95"/>
        <v>0.4650908573612626</v>
      </c>
      <c r="AD95" s="360">
        <f t="shared" si="96"/>
        <v>0.75745241379310346</v>
      </c>
      <c r="AE95" s="360">
        <f t="shared" si="97"/>
        <v>0.36630000000000001</v>
      </c>
      <c r="AF95" s="360">
        <f t="shared" si="98"/>
        <v>0</v>
      </c>
      <c r="AG95" s="360">
        <f t="shared" si="99"/>
        <v>1.7097091236415982</v>
      </c>
      <c r="AH95" s="360">
        <f t="shared" si="100"/>
        <v>17.607957112395638</v>
      </c>
      <c r="AI95" s="360">
        <f t="shared" si="101"/>
        <v>0.40305219977355339</v>
      </c>
      <c r="AJ95" s="360">
        <f t="shared" si="102"/>
        <v>0</v>
      </c>
      <c r="AK95" s="360">
        <f t="shared" si="103"/>
        <v>0.42935625308180869</v>
      </c>
      <c r="AL95" s="360">
        <f t="shared" si="104"/>
        <v>0.11442815999999999</v>
      </c>
      <c r="AM95" s="360">
        <f t="shared" si="105"/>
        <v>4.4549999999999999E-2</v>
      </c>
      <c r="AN95" s="360">
        <f t="shared" si="106"/>
        <v>1.4691651736127653</v>
      </c>
      <c r="AO95" s="360">
        <f t="shared" si="107"/>
        <v>1.5749999999999998E-3</v>
      </c>
      <c r="AP95" s="360">
        <f t="shared" si="108"/>
        <v>0.25740000000000002</v>
      </c>
      <c r="AQ95" s="360">
        <f t="shared" si="109"/>
        <v>0.24596000000000001</v>
      </c>
      <c r="AR95" s="360">
        <f t="shared" si="110"/>
        <v>0.2288</v>
      </c>
      <c r="AS95" s="360">
        <f t="shared" si="133"/>
        <v>0.25897500000000001</v>
      </c>
      <c r="AT95" s="360">
        <f t="shared" si="111"/>
        <v>5.991913131533245</v>
      </c>
      <c r="AU95">
        <f t="shared" si="112"/>
        <v>619.20000000000005</v>
      </c>
      <c r="AV95" s="542">
        <f t="shared" si="127"/>
        <v>0.99041588189853536</v>
      </c>
      <c r="AW95" s="551">
        <f t="shared" si="113"/>
        <v>66.086260698380741</v>
      </c>
      <c r="AX95" s="551">
        <f t="shared" si="114"/>
        <v>16.874194617108728</v>
      </c>
      <c r="AY95" s="9"/>
      <c r="AZ95" s="4">
        <f t="shared" si="128"/>
        <v>99.041588189853542</v>
      </c>
      <c r="BA95" s="360">
        <f t="shared" si="115"/>
        <v>1.7122576913323293</v>
      </c>
      <c r="BB95" s="360">
        <f t="shared" si="129"/>
        <v>2.1836153767234068</v>
      </c>
      <c r="BC95" s="360">
        <f t="shared" si="130"/>
        <v>1.7391121236415983</v>
      </c>
      <c r="BD95" s="360">
        <f t="shared" si="131"/>
        <v>0.44405775308180867</v>
      </c>
      <c r="BE95" s="360">
        <f t="shared" si="132"/>
        <v>1.4691651736127653</v>
      </c>
      <c r="BK95" s="18"/>
      <c r="BL95" s="19"/>
    </row>
    <row r="96" spans="1:64" x14ac:dyDescent="0.25">
      <c r="G96">
        <v>87</v>
      </c>
      <c r="H96" s="548">
        <f t="shared" si="85"/>
        <v>45</v>
      </c>
      <c r="I96" s="4">
        <f t="shared" si="86"/>
        <v>2</v>
      </c>
      <c r="J96" s="360">
        <f t="shared" si="116"/>
        <v>52.2</v>
      </c>
      <c r="K96" s="360">
        <f t="shared" si="87"/>
        <v>26.1</v>
      </c>
      <c r="L96" s="4">
        <f t="shared" si="88"/>
        <v>15.466666666666669</v>
      </c>
      <c r="M96" s="360">
        <f t="shared" si="89"/>
        <v>0.53575850548034043</v>
      </c>
      <c r="N96" s="4">
        <f t="shared" si="90"/>
        <v>5.0939733620859773</v>
      </c>
      <c r="O96" s="4">
        <f t="shared" si="117"/>
        <v>28.646986681042989</v>
      </c>
      <c r="P96" s="4">
        <f t="shared" si="118"/>
        <v>23.553013318957014</v>
      </c>
      <c r="Q96" s="4">
        <f t="shared" si="91"/>
        <v>0</v>
      </c>
      <c r="R96" s="4">
        <f t="shared" si="119"/>
        <v>26.141392089643393</v>
      </c>
      <c r="S96" s="360">
        <f t="shared" si="92"/>
        <v>1.2710726275151145</v>
      </c>
      <c r="T96" s="360">
        <f t="shared" si="93"/>
        <v>0.3</v>
      </c>
      <c r="U96" s="360">
        <f t="shared" si="94"/>
        <v>1.7489121794536182</v>
      </c>
      <c r="V96" s="4">
        <f t="shared" si="120"/>
        <v>1.470503445922561</v>
      </c>
      <c r="W96" s="360">
        <f t="shared" si="121"/>
        <v>4.3247607689402522E-3</v>
      </c>
      <c r="X96" s="360">
        <f t="shared" si="122"/>
        <v>4.3247607689402522E-3</v>
      </c>
      <c r="Y96" s="4">
        <f t="shared" si="123"/>
        <v>13.037226961529637</v>
      </c>
      <c r="Z96" s="360">
        <f t="shared" si="124"/>
        <v>0.25495393026965296</v>
      </c>
      <c r="AA96" s="541">
        <f t="shared" si="125"/>
        <v>0.25495393026965296</v>
      </c>
      <c r="AB96" s="360">
        <f t="shared" si="126"/>
        <v>19.134329494427714</v>
      </c>
      <c r="AC96" s="360">
        <f t="shared" si="95"/>
        <v>0.4759593347617242</v>
      </c>
      <c r="AD96" s="360">
        <f t="shared" si="96"/>
        <v>0.76626000000000005</v>
      </c>
      <c r="AE96" s="360">
        <f t="shared" si="97"/>
        <v>0.36630000000000001</v>
      </c>
      <c r="AF96" s="360">
        <f t="shared" si="98"/>
        <v>0</v>
      </c>
      <c r="AG96" s="360">
        <f t="shared" si="99"/>
        <v>1.7339644099121529</v>
      </c>
      <c r="AH96" s="360">
        <f t="shared" si="100"/>
        <v>17.811507942427102</v>
      </c>
      <c r="AI96" s="360">
        <f t="shared" si="101"/>
        <v>0.4124247597380869</v>
      </c>
      <c r="AJ96" s="360">
        <f t="shared" si="102"/>
        <v>0</v>
      </c>
      <c r="AK96" s="360">
        <f t="shared" si="103"/>
        <v>0.44000824450558168</v>
      </c>
      <c r="AL96" s="360">
        <f t="shared" si="104"/>
        <v>0.11575872</v>
      </c>
      <c r="AM96" s="360">
        <f t="shared" si="105"/>
        <v>4.4549999999999999E-2</v>
      </c>
      <c r="AN96" s="360">
        <f t="shared" si="106"/>
        <v>1.5034192368458343</v>
      </c>
      <c r="AO96" s="360">
        <f t="shared" si="107"/>
        <v>1.5749999999999998E-3</v>
      </c>
      <c r="AP96" s="360">
        <f t="shared" si="108"/>
        <v>0.25740000000000002</v>
      </c>
      <c r="AQ96" s="360">
        <f t="shared" si="109"/>
        <v>0.24596000000000001</v>
      </c>
      <c r="AR96" s="360">
        <f t="shared" si="110"/>
        <v>0.2288</v>
      </c>
      <c r="AS96" s="360">
        <f t="shared" si="133"/>
        <v>0.25897500000000001</v>
      </c>
      <c r="AT96" s="360">
        <f t="shared" si="111"/>
        <v>6.1048664817557805</v>
      </c>
      <c r="AU96">
        <f t="shared" si="112"/>
        <v>626.40000000000009</v>
      </c>
      <c r="AV96" s="542">
        <f t="shared" si="127"/>
        <v>0.99034811144503354</v>
      </c>
      <c r="AW96" s="551">
        <f t="shared" si="113"/>
        <v>67.007961576661813</v>
      </c>
      <c r="AX96" s="551">
        <f t="shared" si="114"/>
        <v>17.278970291212104</v>
      </c>
      <c r="AY96" s="9"/>
      <c r="AZ96" s="4">
        <f t="shared" si="128"/>
        <v>99.034811144503351</v>
      </c>
      <c r="BA96" s="360">
        <f t="shared" si="115"/>
        <v>1.7489121794536182</v>
      </c>
      <c r="BB96" s="360">
        <f t="shared" si="129"/>
        <v>2.2185226544177348</v>
      </c>
      <c r="BC96" s="360">
        <f t="shared" si="130"/>
        <v>1.763367409912153</v>
      </c>
      <c r="BD96" s="360">
        <f t="shared" si="131"/>
        <v>0.45470974450558166</v>
      </c>
      <c r="BE96" s="360">
        <f t="shared" si="132"/>
        <v>1.5034192368458343</v>
      </c>
      <c r="BK96" s="18"/>
      <c r="BL96" s="19"/>
    </row>
    <row r="97" spans="7:64" x14ac:dyDescent="0.25">
      <c r="G97">
        <v>88</v>
      </c>
      <c r="H97" s="548">
        <f t="shared" si="85"/>
        <v>45</v>
      </c>
      <c r="I97" s="4">
        <f t="shared" si="86"/>
        <v>2</v>
      </c>
      <c r="J97" s="360">
        <f t="shared" si="116"/>
        <v>52.8</v>
      </c>
      <c r="K97" s="360">
        <f t="shared" si="87"/>
        <v>26.4</v>
      </c>
      <c r="L97" s="4">
        <f t="shared" si="88"/>
        <v>15.644444444444442</v>
      </c>
      <c r="M97" s="360">
        <f t="shared" si="89"/>
        <v>0.53578634509060308</v>
      </c>
      <c r="N97" s="4">
        <f t="shared" si="90"/>
        <v>5.0940071849317379</v>
      </c>
      <c r="O97" s="4">
        <f t="shared" si="117"/>
        <v>28.947003592465869</v>
      </c>
      <c r="P97" s="4">
        <f t="shared" si="118"/>
        <v>23.852996407534128</v>
      </c>
      <c r="Q97" s="4">
        <f t="shared" si="91"/>
        <v>0</v>
      </c>
      <c r="R97" s="4">
        <f t="shared" si="119"/>
        <v>26.440923000152836</v>
      </c>
      <c r="S97" s="360">
        <f t="shared" si="92"/>
        <v>1.300367680926021</v>
      </c>
      <c r="T97" s="360">
        <f t="shared" si="93"/>
        <v>0.3</v>
      </c>
      <c r="U97" s="360">
        <f t="shared" si="94"/>
        <v>1.7861832818837846</v>
      </c>
      <c r="V97" s="4">
        <f t="shared" si="120"/>
        <v>1.4705132097371134</v>
      </c>
      <c r="W97" s="360">
        <f t="shared" si="121"/>
        <v>4.3248182000226957E-3</v>
      </c>
      <c r="X97" s="360">
        <f t="shared" si="122"/>
        <v>4.3248182000226957E-3</v>
      </c>
      <c r="Y97" s="4">
        <f t="shared" si="123"/>
        <v>13.186556124564659</v>
      </c>
      <c r="Z97" s="360">
        <f t="shared" si="124"/>
        <v>0.26082789363944059</v>
      </c>
      <c r="AA97" s="541">
        <f t="shared" si="125"/>
        <v>0.26082789363944059</v>
      </c>
      <c r="AB97" s="360">
        <f t="shared" si="126"/>
        <v>19.354075548644332</v>
      </c>
      <c r="AC97" s="360">
        <f t="shared" si="95"/>
        <v>0.48695431244542209</v>
      </c>
      <c r="AD97" s="360">
        <f t="shared" si="96"/>
        <v>0.77506758620689653</v>
      </c>
      <c r="AE97" s="360">
        <f t="shared" si="97"/>
        <v>0.36630000000000001</v>
      </c>
      <c r="AF97" s="360">
        <f t="shared" si="98"/>
        <v>0</v>
      </c>
      <c r="AG97" s="360">
        <f t="shared" si="99"/>
        <v>1.7584793632640505</v>
      </c>
      <c r="AH97" s="360">
        <f t="shared" si="100"/>
        <v>18.015053948222825</v>
      </c>
      <c r="AI97" s="360">
        <f t="shared" si="101"/>
        <v>0.42190481938459234</v>
      </c>
      <c r="AJ97" s="360">
        <f t="shared" si="102"/>
        <v>0</v>
      </c>
      <c r="AK97" s="360">
        <f t="shared" si="103"/>
        <v>0.45081540026855943</v>
      </c>
      <c r="AL97" s="360">
        <f t="shared" si="104"/>
        <v>0.11708927999999998</v>
      </c>
      <c r="AM97" s="360">
        <f t="shared" si="105"/>
        <v>4.4549999999999999E-2</v>
      </c>
      <c r="AN97" s="360">
        <f t="shared" si="106"/>
        <v>1.538069300020025</v>
      </c>
      <c r="AO97" s="360">
        <f t="shared" si="107"/>
        <v>1.5749999999999998E-3</v>
      </c>
      <c r="AP97" s="360">
        <f t="shared" si="108"/>
        <v>0.25740000000000002</v>
      </c>
      <c r="AQ97" s="360">
        <f t="shared" si="109"/>
        <v>0.24596000000000001</v>
      </c>
      <c r="AR97" s="360">
        <f t="shared" si="110"/>
        <v>0.2288</v>
      </c>
      <c r="AS97" s="360">
        <f t="shared" si="133"/>
        <v>0.25897500000000001</v>
      </c>
      <c r="AT97" s="360">
        <f t="shared" si="111"/>
        <v>6.2193143372758826</v>
      </c>
      <c r="AU97">
        <f t="shared" si="112"/>
        <v>633.59999999999991</v>
      </c>
      <c r="AV97" s="542">
        <f t="shared" si="127"/>
        <v>0.99027957706510017</v>
      </c>
      <c r="AW97" s="551">
        <f t="shared" si="113"/>
        <v>67.939529804033924</v>
      </c>
      <c r="AX97" s="551">
        <f t="shared" si="114"/>
        <v>17.689642210205257</v>
      </c>
      <c r="AY97" s="9"/>
      <c r="AZ97" s="4">
        <f t="shared" si="128"/>
        <v>99.027957706510023</v>
      </c>
      <c r="BA97" s="360">
        <f t="shared" si="115"/>
        <v>1.7861832818837846</v>
      </c>
      <c r="BB97" s="360">
        <f t="shared" si="129"/>
        <v>2.25384476353261</v>
      </c>
      <c r="BC97" s="360">
        <f t="shared" si="130"/>
        <v>1.7878823632640506</v>
      </c>
      <c r="BD97" s="360">
        <f t="shared" si="131"/>
        <v>0.46551690026855941</v>
      </c>
      <c r="BE97" s="360">
        <f t="shared" si="132"/>
        <v>1.538069300020025</v>
      </c>
      <c r="BK97" s="18"/>
      <c r="BL97" s="19"/>
    </row>
    <row r="98" spans="7:64" x14ac:dyDescent="0.25">
      <c r="G98">
        <v>89</v>
      </c>
      <c r="H98" s="548">
        <f t="shared" si="85"/>
        <v>45</v>
      </c>
      <c r="I98" s="4">
        <f t="shared" si="86"/>
        <v>2</v>
      </c>
      <c r="J98" s="360">
        <f t="shared" si="116"/>
        <v>53.4</v>
      </c>
      <c r="K98" s="360">
        <f t="shared" si="87"/>
        <v>26.7</v>
      </c>
      <c r="L98" s="4">
        <f t="shared" si="88"/>
        <v>15.822222222222221</v>
      </c>
      <c r="M98" s="360">
        <f t="shared" si="89"/>
        <v>0.53581418388530166</v>
      </c>
      <c r="N98" s="4">
        <f t="shared" si="90"/>
        <v>5.0940409760311649</v>
      </c>
      <c r="O98" s="4">
        <f t="shared" si="117"/>
        <v>29.247020488015583</v>
      </c>
      <c r="P98" s="4">
        <f t="shared" si="118"/>
        <v>24.152979511984416</v>
      </c>
      <c r="Q98" s="4">
        <f t="shared" si="91"/>
        <v>0</v>
      </c>
      <c r="R98" s="4">
        <f t="shared" si="119"/>
        <v>26.74046442732045</v>
      </c>
      <c r="S98" s="360">
        <f t="shared" si="92"/>
        <v>1.3299975342871502</v>
      </c>
      <c r="T98" s="360">
        <f t="shared" si="93"/>
        <v>0.3</v>
      </c>
      <c r="U98" s="360">
        <f t="shared" si="94"/>
        <v>1.8240792015160117</v>
      </c>
      <c r="V98" s="4">
        <f t="shared" si="120"/>
        <v>1.4705229643872886</v>
      </c>
      <c r="W98" s="360">
        <f t="shared" si="121"/>
        <v>4.3248755775807581E-3</v>
      </c>
      <c r="X98" s="360">
        <f t="shared" si="122"/>
        <v>4.3248755775807581E-3</v>
      </c>
      <c r="Y98" s="4">
        <f t="shared" si="123"/>
        <v>13.33588929595232</v>
      </c>
      <c r="Z98" s="360">
        <f t="shared" si="124"/>
        <v>0.26676891497084354</v>
      </c>
      <c r="AA98" s="541">
        <f t="shared" si="125"/>
        <v>0.26676891497084354</v>
      </c>
      <c r="AB98" s="360">
        <f t="shared" si="126"/>
        <v>19.57384066526026</v>
      </c>
      <c r="AC98" s="360">
        <f t="shared" si="95"/>
        <v>0.498075809905695</v>
      </c>
      <c r="AD98" s="360">
        <f t="shared" si="96"/>
        <v>0.78387517241379312</v>
      </c>
      <c r="AE98" s="360">
        <f t="shared" si="97"/>
        <v>0.36630000000000001</v>
      </c>
      <c r="AF98" s="360">
        <f t="shared" si="98"/>
        <v>0</v>
      </c>
      <c r="AG98" s="360">
        <f t="shared" si="99"/>
        <v>1.7832569489883636</v>
      </c>
      <c r="AH98" s="360">
        <f t="shared" si="100"/>
        <v>18.218594879951478</v>
      </c>
      <c r="AI98" s="360">
        <f t="shared" si="101"/>
        <v>0.4314923592197325</v>
      </c>
      <c r="AJ98" s="360">
        <f t="shared" si="102"/>
        <v>0</v>
      </c>
      <c r="AK98" s="360">
        <f t="shared" si="103"/>
        <v>0.46177898283655178</v>
      </c>
      <c r="AL98" s="360">
        <f t="shared" si="104"/>
        <v>0.11841983999999998</v>
      </c>
      <c r="AM98" s="360">
        <f t="shared" si="105"/>
        <v>4.4549999999999999E-2</v>
      </c>
      <c r="AN98" s="360">
        <f t="shared" si="106"/>
        <v>1.573115363135339</v>
      </c>
      <c r="AO98" s="360">
        <f t="shared" si="107"/>
        <v>1.5749999999999998E-3</v>
      </c>
      <c r="AP98" s="360">
        <f t="shared" si="108"/>
        <v>0.25740000000000002</v>
      </c>
      <c r="AQ98" s="360">
        <f t="shared" si="109"/>
        <v>0.24596000000000001</v>
      </c>
      <c r="AR98" s="360">
        <f t="shared" si="110"/>
        <v>0.2288</v>
      </c>
      <c r="AS98" s="360">
        <f t="shared" si="133"/>
        <v>0.25897500000000001</v>
      </c>
      <c r="AT98" s="360">
        <f t="shared" si="111"/>
        <v>6.3352691270246906</v>
      </c>
      <c r="AU98">
        <f t="shared" si="112"/>
        <v>640.79999999999995</v>
      </c>
      <c r="AV98" s="542">
        <f t="shared" si="127"/>
        <v>0.9902102861190506</v>
      </c>
      <c r="AW98" s="551">
        <f t="shared" si="113"/>
        <v>68.881078061557815</v>
      </c>
      <c r="AX98" s="551">
        <f t="shared" si="114"/>
        <v>18.106258347788966</v>
      </c>
      <c r="AY98" s="9"/>
      <c r="AZ98" s="4">
        <f t="shared" si="128"/>
        <v>99.021028611905066</v>
      </c>
      <c r="BA98" s="360">
        <f t="shared" si="115"/>
        <v>1.8240792015160117</v>
      </c>
      <c r="BB98" s="360">
        <f t="shared" si="129"/>
        <v>2.2895859318249157</v>
      </c>
      <c r="BC98" s="360">
        <f t="shared" si="130"/>
        <v>1.8126599489883637</v>
      </c>
      <c r="BD98" s="360">
        <f t="shared" si="131"/>
        <v>0.47648048283655176</v>
      </c>
      <c r="BE98" s="360">
        <f t="shared" si="132"/>
        <v>1.573115363135339</v>
      </c>
      <c r="BK98" s="18"/>
      <c r="BL98" s="19"/>
    </row>
    <row r="99" spans="7:64" x14ac:dyDescent="0.25">
      <c r="G99">
        <v>90</v>
      </c>
      <c r="H99" s="548">
        <f t="shared" si="85"/>
        <v>45</v>
      </c>
      <c r="I99" s="4">
        <f t="shared" si="86"/>
        <v>2</v>
      </c>
      <c r="J99" s="360">
        <f t="shared" si="116"/>
        <v>54</v>
      </c>
      <c r="K99" s="360">
        <f t="shared" si="87"/>
        <v>27</v>
      </c>
      <c r="L99" s="4">
        <f t="shared" si="88"/>
        <v>16</v>
      </c>
      <c r="M99" s="360">
        <f t="shared" si="89"/>
        <v>0.53584202186447227</v>
      </c>
      <c r="N99" s="4">
        <f t="shared" si="90"/>
        <v>5.0940747353856537</v>
      </c>
      <c r="O99" s="4">
        <f t="shared" si="117"/>
        <v>29.547037367692827</v>
      </c>
      <c r="P99" s="4">
        <f t="shared" si="118"/>
        <v>24.452962632307173</v>
      </c>
      <c r="Q99" s="4">
        <f t="shared" si="91"/>
        <v>0</v>
      </c>
      <c r="R99" s="4">
        <f t="shared" si="119"/>
        <v>27.040016021644806</v>
      </c>
      <c r="S99" s="360">
        <f t="shared" si="92"/>
        <v>1.3599621875985026</v>
      </c>
      <c r="T99" s="360">
        <f t="shared" si="93"/>
        <v>0.3</v>
      </c>
      <c r="U99" s="360">
        <f t="shared" si="94"/>
        <v>1.8626083406900245</v>
      </c>
      <c r="V99" s="4">
        <f t="shared" si="120"/>
        <v>1.4705327098734895</v>
      </c>
      <c r="W99" s="360">
        <f t="shared" si="121"/>
        <v>4.324932901615737E-3</v>
      </c>
      <c r="X99" s="360">
        <f t="shared" si="122"/>
        <v>4.324932901615737E-3</v>
      </c>
      <c r="Y99" s="4">
        <f t="shared" si="123"/>
        <v>13.48522629998047</v>
      </c>
      <c r="Z99" s="360">
        <f t="shared" si="124"/>
        <v>0.27277699254252741</v>
      </c>
      <c r="AA99" s="541">
        <f t="shared" si="125"/>
        <v>0.27277699254252741</v>
      </c>
      <c r="AB99" s="360">
        <f t="shared" si="126"/>
        <v>19.793624588094399</v>
      </c>
      <c r="AC99" s="360">
        <f t="shared" si="95"/>
        <v>0.50932384663473973</v>
      </c>
      <c r="AD99" s="360">
        <f t="shared" si="96"/>
        <v>0.79268275862068971</v>
      </c>
      <c r="AE99" s="360">
        <f t="shared" si="97"/>
        <v>0.36630000000000001</v>
      </c>
      <c r="AF99" s="360">
        <f t="shared" si="98"/>
        <v>0</v>
      </c>
      <c r="AG99" s="360">
        <f t="shared" si="99"/>
        <v>1.8083001871480948</v>
      </c>
      <c r="AH99" s="360">
        <f t="shared" si="100"/>
        <v>18.422130498842758</v>
      </c>
      <c r="AI99" s="360">
        <f t="shared" si="101"/>
        <v>0.44118735975131024</v>
      </c>
      <c r="AJ99" s="360">
        <f t="shared" si="102"/>
        <v>0</v>
      </c>
      <c r="AK99" s="360">
        <f t="shared" si="103"/>
        <v>0.47290027881777569</v>
      </c>
      <c r="AL99" s="360">
        <f t="shared" si="104"/>
        <v>0.11975039999999998</v>
      </c>
      <c r="AM99" s="360">
        <f t="shared" si="105"/>
        <v>4.4549999999999999E-2</v>
      </c>
      <c r="AN99" s="360">
        <f t="shared" si="106"/>
        <v>1.6085574261917774</v>
      </c>
      <c r="AO99" s="360">
        <f t="shared" si="107"/>
        <v>1.5749999999999998E-3</v>
      </c>
      <c r="AP99" s="360">
        <f t="shared" si="108"/>
        <v>0.25740000000000002</v>
      </c>
      <c r="AQ99" s="360">
        <f t="shared" si="109"/>
        <v>0.24596000000000001</v>
      </c>
      <c r="AR99" s="360">
        <f t="shared" si="110"/>
        <v>0.2288</v>
      </c>
      <c r="AS99" s="360">
        <f t="shared" si="133"/>
        <v>0.25897500000000001</v>
      </c>
      <c r="AT99" s="360">
        <f t="shared" si="111"/>
        <v>6.4527435582918162</v>
      </c>
      <c r="AU99">
        <f t="shared" si="112"/>
        <v>648</v>
      </c>
      <c r="AV99" s="542">
        <f t="shared" si="127"/>
        <v>0.99014024523266886</v>
      </c>
      <c r="AW99" s="551">
        <f t="shared" si="113"/>
        <v>69.832721111627606</v>
      </c>
      <c r="AX99" s="551">
        <f t="shared" si="114"/>
        <v>18.528867595075475</v>
      </c>
      <c r="AY99" s="9"/>
      <c r="AZ99" s="4">
        <f t="shared" si="128"/>
        <v>99.014024523266883</v>
      </c>
      <c r="BA99" s="360">
        <f t="shared" si="115"/>
        <v>1.8626083406900245</v>
      </c>
      <c r="BB99" s="360">
        <f t="shared" si="129"/>
        <v>2.3257504659658705</v>
      </c>
      <c r="BC99" s="360">
        <f t="shared" si="130"/>
        <v>1.8377031871480949</v>
      </c>
      <c r="BD99" s="360">
        <f t="shared" si="131"/>
        <v>0.48760177881777567</v>
      </c>
      <c r="BE99" s="360">
        <f t="shared" si="132"/>
        <v>1.6085574261917774</v>
      </c>
      <c r="BK99" s="18"/>
      <c r="BL99" s="19"/>
    </row>
    <row r="100" spans="7:64" x14ac:dyDescent="0.25">
      <c r="G100">
        <v>91</v>
      </c>
      <c r="H100" s="548">
        <f t="shared" si="85"/>
        <v>45</v>
      </c>
      <c r="I100" s="4">
        <f t="shared" si="86"/>
        <v>2</v>
      </c>
      <c r="J100" s="360">
        <f t="shared" si="116"/>
        <v>54.6</v>
      </c>
      <c r="K100" s="360">
        <f t="shared" si="87"/>
        <v>27.3</v>
      </c>
      <c r="L100" s="4">
        <f t="shared" si="88"/>
        <v>16.177777777777777</v>
      </c>
      <c r="M100" s="360">
        <f t="shared" si="89"/>
        <v>0.53586985902815043</v>
      </c>
      <c r="N100" s="4">
        <f t="shared" si="90"/>
        <v>5.0941084629965996</v>
      </c>
      <c r="O100" s="4">
        <f t="shared" si="117"/>
        <v>29.847054231498301</v>
      </c>
      <c r="P100" s="4">
        <f t="shared" si="118"/>
        <v>24.7529457685017</v>
      </c>
      <c r="Q100" s="4">
        <f t="shared" si="91"/>
        <v>0</v>
      </c>
      <c r="R100" s="4">
        <f t="shared" si="119"/>
        <v>27.339577448930417</v>
      </c>
      <c r="S100" s="360">
        <f t="shared" si="92"/>
        <v>1.3902616408600801</v>
      </c>
      <c r="T100" s="360">
        <f t="shared" si="93"/>
        <v>0.3</v>
      </c>
      <c r="U100" s="360">
        <f t="shared" si="94"/>
        <v>1.9017793063838349</v>
      </c>
      <c r="V100" s="4">
        <f t="shared" si="120"/>
        <v>1.470542446196119</v>
      </c>
      <c r="W100" s="360">
        <f t="shared" si="121"/>
        <v>4.3249901721289317E-3</v>
      </c>
      <c r="X100" s="360">
        <f t="shared" si="122"/>
        <v>4.3249901721289317E-3</v>
      </c>
      <c r="Y100" s="4">
        <f t="shared" si="123"/>
        <v>13.634566968573047</v>
      </c>
      <c r="Z100" s="360">
        <f t="shared" si="124"/>
        <v>0.27885212463075482</v>
      </c>
      <c r="AA100" s="541">
        <f t="shared" si="125"/>
        <v>0.27885212463075482</v>
      </c>
      <c r="AB100" s="360">
        <f t="shared" si="126"/>
        <v>20.013427072143557</v>
      </c>
      <c r="AC100" s="360">
        <f t="shared" si="95"/>
        <v>0.52069844212361116</v>
      </c>
      <c r="AD100" s="360">
        <f t="shared" si="96"/>
        <v>0.80149034482758619</v>
      </c>
      <c r="AE100" s="360">
        <f t="shared" si="97"/>
        <v>0.36630000000000001</v>
      </c>
      <c r="AF100" s="360">
        <f t="shared" si="98"/>
        <v>0</v>
      </c>
      <c r="AG100" s="360">
        <f t="shared" si="99"/>
        <v>1.8336121537201495</v>
      </c>
      <c r="AH100" s="360">
        <f t="shared" si="100"/>
        <v>18.625660576582401</v>
      </c>
      <c r="AI100" s="360">
        <f t="shared" si="101"/>
        <v>0.45098980148827261</v>
      </c>
      <c r="AJ100" s="360">
        <f t="shared" si="102"/>
        <v>0</v>
      </c>
      <c r="AK100" s="360">
        <f t="shared" si="103"/>
        <v>0.48418059937237662</v>
      </c>
      <c r="AL100" s="360">
        <f t="shared" si="104"/>
        <v>0.12108095999999999</v>
      </c>
      <c r="AM100" s="360">
        <f t="shared" si="105"/>
        <v>4.4549999999999999E-2</v>
      </c>
      <c r="AN100" s="360">
        <f t="shared" si="106"/>
        <v>1.6443954891893422</v>
      </c>
      <c r="AO100" s="360">
        <f t="shared" si="107"/>
        <v>1.5749999999999998E-3</v>
      </c>
      <c r="AP100" s="360">
        <f t="shared" si="108"/>
        <v>0.25740000000000002</v>
      </c>
      <c r="AQ100" s="360">
        <f t="shared" si="109"/>
        <v>0.24596000000000001</v>
      </c>
      <c r="AR100" s="360">
        <f t="shared" si="110"/>
        <v>0.2288</v>
      </c>
      <c r="AS100" s="360">
        <f t="shared" si="133"/>
        <v>0.25897500000000001</v>
      </c>
      <c r="AT100" s="360">
        <f t="shared" si="111"/>
        <v>6.5717506234685867</v>
      </c>
      <c r="AU100">
        <f t="shared" si="112"/>
        <v>655.20000000000005</v>
      </c>
      <c r="AV100" s="542">
        <f t="shared" si="127"/>
        <v>0.99006946032785892</v>
      </c>
      <c r="AW100" s="551">
        <f t="shared" si="113"/>
        <v>70.794575841365685</v>
      </c>
      <c r="AX100" s="551">
        <f t="shared" si="114"/>
        <v>18.95751977615031</v>
      </c>
      <c r="AY100" s="9"/>
      <c r="AZ100" s="4">
        <f t="shared" si="128"/>
        <v>99.006946032785891</v>
      </c>
      <c r="BA100" s="360">
        <f t="shared" si="115"/>
        <v>1.9017793063838349</v>
      </c>
      <c r="BB100" s="360">
        <f t="shared" si="129"/>
        <v>2.3623427530925261</v>
      </c>
      <c r="BC100" s="360">
        <f t="shared" si="130"/>
        <v>1.8630151537201496</v>
      </c>
      <c r="BD100" s="360">
        <f t="shared" si="131"/>
        <v>0.4988820993723766</v>
      </c>
      <c r="BE100" s="360">
        <f t="shared" si="132"/>
        <v>1.6443954891893422</v>
      </c>
      <c r="BK100" s="18"/>
      <c r="BL100" s="19"/>
    </row>
    <row r="101" spans="7:64" x14ac:dyDescent="0.25">
      <c r="G101">
        <v>92</v>
      </c>
      <c r="H101" s="548">
        <f t="shared" si="85"/>
        <v>45</v>
      </c>
      <c r="I101" s="4">
        <f t="shared" si="86"/>
        <v>2</v>
      </c>
      <c r="J101" s="360">
        <f t="shared" si="116"/>
        <v>55.2</v>
      </c>
      <c r="K101" s="360">
        <f t="shared" si="87"/>
        <v>27.6</v>
      </c>
      <c r="L101" s="4">
        <f t="shared" si="88"/>
        <v>16.355555555555558</v>
      </c>
      <c r="M101" s="360">
        <f t="shared" si="89"/>
        <v>0.53589769537637211</v>
      </c>
      <c r="N101" s="4">
        <f t="shared" si="90"/>
        <v>5.0941421588653943</v>
      </c>
      <c r="O101" s="4">
        <f t="shared" si="117"/>
        <v>30.147071079432699</v>
      </c>
      <c r="P101" s="4">
        <f t="shared" si="118"/>
        <v>25.052928920567304</v>
      </c>
      <c r="Q101" s="4">
        <f t="shared" si="91"/>
        <v>0</v>
      </c>
      <c r="R101" s="4">
        <f t="shared" si="119"/>
        <v>27.639148389459486</v>
      </c>
      <c r="S101" s="360">
        <f t="shared" si="92"/>
        <v>1.4208958940718832</v>
      </c>
      <c r="T101" s="360">
        <f t="shared" si="93"/>
        <v>0.3</v>
      </c>
      <c r="U101" s="360">
        <f t="shared" si="94"/>
        <v>1.9416009155820193</v>
      </c>
      <c r="V101" s="4">
        <f t="shared" si="120"/>
        <v>1.4705521733555784</v>
      </c>
      <c r="W101" s="360">
        <f t="shared" si="121"/>
        <v>4.325047389121631E-3</v>
      </c>
      <c r="X101" s="360">
        <f t="shared" si="122"/>
        <v>4.325047389121631E-3</v>
      </c>
      <c r="Y101" s="4">
        <f t="shared" si="123"/>
        <v>13.783911140876885</v>
      </c>
      <c r="Z101" s="360">
        <f t="shared" si="124"/>
        <v>0.28499430950938487</v>
      </c>
      <c r="AA101" s="541">
        <f t="shared" si="125"/>
        <v>0.28499430950938487</v>
      </c>
      <c r="AB101" s="360">
        <f t="shared" si="126"/>
        <v>20.233247882977594</v>
      </c>
      <c r="AC101" s="360">
        <f t="shared" si="95"/>
        <v>0.53219961586222242</v>
      </c>
      <c r="AD101" s="360">
        <f t="shared" si="96"/>
        <v>0.81029793103448278</v>
      </c>
      <c r="AE101" s="360">
        <f t="shared" si="97"/>
        <v>0.36630000000000001</v>
      </c>
      <c r="AF101" s="360">
        <f t="shared" si="98"/>
        <v>0</v>
      </c>
      <c r="AG101" s="360">
        <f t="shared" si="99"/>
        <v>1.8591959817677299</v>
      </c>
      <c r="AH101" s="360">
        <f t="shared" si="100"/>
        <v>18.829184894746341</v>
      </c>
      <c r="AI101" s="360">
        <f t="shared" si="101"/>
        <v>0.46089966494070689</v>
      </c>
      <c r="AJ101" s="360">
        <f t="shared" si="102"/>
        <v>0</v>
      </c>
      <c r="AK101" s="360">
        <f t="shared" si="103"/>
        <v>0.49562128063219824</v>
      </c>
      <c r="AL101" s="360">
        <f t="shared" si="104"/>
        <v>0.12241152</v>
      </c>
      <c r="AM101" s="360">
        <f t="shared" si="105"/>
        <v>4.4549999999999999E-2</v>
      </c>
      <c r="AN101" s="360">
        <f t="shared" si="106"/>
        <v>1.6806295521280339</v>
      </c>
      <c r="AO101" s="360">
        <f t="shared" si="107"/>
        <v>1.5749999999999998E-3</v>
      </c>
      <c r="AP101" s="360">
        <f t="shared" si="108"/>
        <v>0.25740000000000002</v>
      </c>
      <c r="AQ101" s="360">
        <f t="shared" si="109"/>
        <v>0.24596000000000001</v>
      </c>
      <c r="AR101" s="360">
        <f t="shared" si="110"/>
        <v>0.2288</v>
      </c>
      <c r="AS101" s="360">
        <f t="shared" si="133"/>
        <v>0.25897500000000001</v>
      </c>
      <c r="AT101" s="360">
        <f t="shared" si="111"/>
        <v>6.6923036070084887</v>
      </c>
      <c r="AU101">
        <f t="shared" si="112"/>
        <v>662.40000000000009</v>
      </c>
      <c r="AV101" s="542">
        <f t="shared" si="127"/>
        <v>0.98999793665099567</v>
      </c>
      <c r="AW101" s="551">
        <f t="shared" si="113"/>
        <v>71.766761307173738</v>
      </c>
      <c r="AX101" s="551">
        <f t="shared" si="114"/>
        <v>19.392265664023533</v>
      </c>
      <c r="AY101" s="9"/>
      <c r="AZ101" s="4">
        <f t="shared" si="128"/>
        <v>98.99979366509956</v>
      </c>
      <c r="BA101" s="360">
        <f t="shared" si="115"/>
        <v>1.9416009155820193</v>
      </c>
      <c r="BB101" s="360">
        <f t="shared" si="129"/>
        <v>2.3993672623999283</v>
      </c>
      <c r="BC101" s="360">
        <f t="shared" si="130"/>
        <v>1.88859898176773</v>
      </c>
      <c r="BD101" s="360">
        <f t="shared" si="131"/>
        <v>0.51032278063219827</v>
      </c>
      <c r="BE101" s="360">
        <f t="shared" si="132"/>
        <v>1.6806295521280339</v>
      </c>
      <c r="BK101" s="18"/>
      <c r="BL101" s="19"/>
    </row>
    <row r="102" spans="7:64" x14ac:dyDescent="0.25">
      <c r="G102">
        <v>93</v>
      </c>
      <c r="H102" s="548">
        <f t="shared" si="85"/>
        <v>45</v>
      </c>
      <c r="I102" s="4">
        <f t="shared" si="86"/>
        <v>2</v>
      </c>
      <c r="J102" s="360">
        <f t="shared" si="116"/>
        <v>55.8</v>
      </c>
      <c r="K102" s="360">
        <f t="shared" si="87"/>
        <v>27.9</v>
      </c>
      <c r="L102" s="4">
        <f t="shared" si="88"/>
        <v>16.533333333333331</v>
      </c>
      <c r="M102" s="360">
        <f t="shared" si="89"/>
        <v>0.53592553090917316</v>
      </c>
      <c r="N102" s="4">
        <f t="shared" si="90"/>
        <v>5.0941758229934369</v>
      </c>
      <c r="O102" s="4">
        <f t="shared" si="117"/>
        <v>30.447087911496716</v>
      </c>
      <c r="P102" s="4">
        <f t="shared" si="118"/>
        <v>25.352912088503281</v>
      </c>
      <c r="Q102" s="4">
        <f t="shared" si="91"/>
        <v>0</v>
      </c>
      <c r="R102" s="4">
        <f t="shared" si="119"/>
        <v>27.938728537216893</v>
      </c>
      <c r="S102" s="360">
        <f t="shared" si="92"/>
        <v>1.4518649472339136</v>
      </c>
      <c r="T102" s="360">
        <f t="shared" si="93"/>
        <v>0.3</v>
      </c>
      <c r="U102" s="360">
        <f t="shared" si="94"/>
        <v>1.9820822008273069</v>
      </c>
      <c r="V102" s="4">
        <f t="shared" si="120"/>
        <v>1.4705618913522722</v>
      </c>
      <c r="W102" s="360">
        <f t="shared" si="121"/>
        <v>4.3251045525951447E-3</v>
      </c>
      <c r="X102" s="360">
        <f t="shared" si="122"/>
        <v>4.3251045525951447E-3</v>
      </c>
      <c r="Y102" s="4">
        <f t="shared" si="123"/>
        <v>13.933258662875053</v>
      </c>
      <c r="Z102" s="360">
        <f t="shared" si="124"/>
        <v>0.29120354544987409</v>
      </c>
      <c r="AA102" s="541">
        <f t="shared" si="125"/>
        <v>0.29120354544987409</v>
      </c>
      <c r="AB102" s="360">
        <f t="shared" si="126"/>
        <v>20.453086796173409</v>
      </c>
      <c r="AC102" s="360">
        <f t="shared" si="95"/>
        <v>0.54382738733934399</v>
      </c>
      <c r="AD102" s="360">
        <f t="shared" si="96"/>
        <v>0.81910551724137937</v>
      </c>
      <c r="AE102" s="360">
        <f t="shared" si="97"/>
        <v>0.36630000000000001</v>
      </c>
      <c r="AF102" s="360">
        <f t="shared" si="98"/>
        <v>0</v>
      </c>
      <c r="AG102" s="360">
        <f t="shared" si="99"/>
        <v>1.8850548626440666</v>
      </c>
      <c r="AH102" s="360">
        <f t="shared" si="100"/>
        <v>19.032703244271278</v>
      </c>
      <c r="AI102" s="360">
        <f t="shared" si="101"/>
        <v>0.4709169306198428</v>
      </c>
      <c r="AJ102" s="360">
        <f t="shared" si="102"/>
        <v>0</v>
      </c>
      <c r="AK102" s="360">
        <f t="shared" si="103"/>
        <v>0.5072236841310851</v>
      </c>
      <c r="AL102" s="360">
        <f t="shared" si="104"/>
        <v>0.12374207999999998</v>
      </c>
      <c r="AM102" s="360">
        <f t="shared" si="105"/>
        <v>4.4549999999999999E-2</v>
      </c>
      <c r="AN102" s="360">
        <f t="shared" si="106"/>
        <v>1.7172596150078547</v>
      </c>
      <c r="AO102" s="360">
        <f t="shared" si="107"/>
        <v>1.5749999999999998E-3</v>
      </c>
      <c r="AP102" s="360">
        <f t="shared" si="108"/>
        <v>0.25740000000000002</v>
      </c>
      <c r="AQ102" s="360">
        <f t="shared" si="109"/>
        <v>0.24596000000000001</v>
      </c>
      <c r="AR102" s="360">
        <f t="shared" si="110"/>
        <v>0.2288</v>
      </c>
      <c r="AS102" s="360">
        <f t="shared" si="133"/>
        <v>0.25897500000000001</v>
      </c>
      <c r="AT102" s="360">
        <f t="shared" si="111"/>
        <v>6.8144160926127828</v>
      </c>
      <c r="AU102">
        <f t="shared" si="112"/>
        <v>669.59999999999991</v>
      </c>
      <c r="AV102" s="542">
        <f t="shared" si="127"/>
        <v>0.98992567879913462</v>
      </c>
      <c r="AW102" s="551">
        <f t="shared" si="113"/>
        <v>72.749398780474536</v>
      </c>
      <c r="AX102" s="551">
        <f t="shared" si="114"/>
        <v>19.833156996981234</v>
      </c>
      <c r="AY102" s="9"/>
      <c r="AZ102" s="4">
        <f t="shared" si="128"/>
        <v>98.992567879913466</v>
      </c>
      <c r="BA102" s="360">
        <f t="shared" si="115"/>
        <v>1.9820822008273069</v>
      </c>
      <c r="BB102" s="360">
        <f t="shared" si="129"/>
        <v>2.4368285467751516</v>
      </c>
      <c r="BC102" s="360">
        <f t="shared" si="130"/>
        <v>1.9144578626440667</v>
      </c>
      <c r="BD102" s="360">
        <f t="shared" si="131"/>
        <v>0.52192518413108513</v>
      </c>
      <c r="BE102" s="360">
        <f t="shared" si="132"/>
        <v>1.7172596150078547</v>
      </c>
      <c r="BK102" s="18"/>
      <c r="BL102" s="19"/>
    </row>
    <row r="103" spans="7:64" x14ac:dyDescent="0.25">
      <c r="G103">
        <v>94</v>
      </c>
      <c r="H103" s="548">
        <f t="shared" si="85"/>
        <v>45</v>
      </c>
      <c r="I103" s="4">
        <f t="shared" si="86"/>
        <v>2</v>
      </c>
      <c r="J103" s="360">
        <f t="shared" si="116"/>
        <v>56.4</v>
      </c>
      <c r="K103" s="360">
        <f t="shared" si="87"/>
        <v>28.2</v>
      </c>
      <c r="L103" s="4">
        <f t="shared" si="88"/>
        <v>16.711111111111109</v>
      </c>
      <c r="M103" s="360">
        <f t="shared" si="89"/>
        <v>0.53595336562658946</v>
      </c>
      <c r="N103" s="4">
        <f t="shared" si="90"/>
        <v>5.094209455382118</v>
      </c>
      <c r="O103" s="4">
        <f t="shared" si="117"/>
        <v>30.74710472769106</v>
      </c>
      <c r="P103" s="4">
        <f t="shared" si="118"/>
        <v>25.652895272308939</v>
      </c>
      <c r="Q103" s="4">
        <f t="shared" si="91"/>
        <v>0</v>
      </c>
      <c r="R103" s="4">
        <f t="shared" si="119"/>
        <v>28.238317599164354</v>
      </c>
      <c r="S103" s="360">
        <f t="shared" si="92"/>
        <v>1.483168800346172</v>
      </c>
      <c r="T103" s="360">
        <f t="shared" si="93"/>
        <v>0.3</v>
      </c>
      <c r="U103" s="360">
        <f t="shared" si="94"/>
        <v>2.0232324159625446</v>
      </c>
      <c r="V103" s="4">
        <f t="shared" si="120"/>
        <v>1.4705716001866014</v>
      </c>
      <c r="W103" s="360">
        <f t="shared" si="121"/>
        <v>4.3251616625507635E-3</v>
      </c>
      <c r="X103" s="360">
        <f t="shared" si="122"/>
        <v>4.3251616625507635E-3</v>
      </c>
      <c r="Y103" s="4">
        <f t="shared" si="123"/>
        <v>14.082609387024755</v>
      </c>
      <c r="Z103" s="360">
        <f t="shared" si="124"/>
        <v>0.29747983072127665</v>
      </c>
      <c r="AA103" s="541">
        <f t="shared" si="125"/>
        <v>0.29747983072127665</v>
      </c>
      <c r="AB103" s="360">
        <f t="shared" si="126"/>
        <v>20.672943596784918</v>
      </c>
      <c r="AC103" s="360">
        <f t="shared" si="95"/>
        <v>0.55558177604260572</v>
      </c>
      <c r="AD103" s="360">
        <f t="shared" si="96"/>
        <v>0.82791310344827584</v>
      </c>
      <c r="AE103" s="360">
        <f t="shared" si="97"/>
        <v>0.36630000000000001</v>
      </c>
      <c r="AF103" s="360">
        <f t="shared" si="98"/>
        <v>0</v>
      </c>
      <c r="AG103" s="360">
        <f t="shared" si="99"/>
        <v>1.9111920472284496</v>
      </c>
      <c r="AH103" s="360">
        <f t="shared" si="100"/>
        <v>19.23621542495885</v>
      </c>
      <c r="AI103" s="360">
        <f t="shared" si="101"/>
        <v>0.48104157903805217</v>
      </c>
      <c r="AJ103" s="360">
        <f t="shared" si="102"/>
        <v>0</v>
      </c>
      <c r="AK103" s="360">
        <f t="shared" si="103"/>
        <v>0.51898919724598058</v>
      </c>
      <c r="AL103" s="360">
        <f t="shared" si="104"/>
        <v>0.12507263999999998</v>
      </c>
      <c r="AM103" s="360">
        <f t="shared" si="105"/>
        <v>4.4549999999999999E-2</v>
      </c>
      <c r="AN103" s="360">
        <f t="shared" si="106"/>
        <v>1.7542856778288056</v>
      </c>
      <c r="AO103" s="360">
        <f t="shared" si="107"/>
        <v>1.5749999999999998E-3</v>
      </c>
      <c r="AP103" s="360">
        <f t="shared" si="108"/>
        <v>0.25740000000000002</v>
      </c>
      <c r="AQ103" s="360">
        <f t="shared" si="109"/>
        <v>0.24596000000000001</v>
      </c>
      <c r="AR103" s="360">
        <f t="shared" si="110"/>
        <v>0.2288</v>
      </c>
      <c r="AS103" s="360">
        <f t="shared" si="133"/>
        <v>0.25897500000000001</v>
      </c>
      <c r="AT103" s="360">
        <f t="shared" si="111"/>
        <v>6.9381019706496083</v>
      </c>
      <c r="AU103">
        <f t="shared" si="112"/>
        <v>676.8</v>
      </c>
      <c r="AV103" s="542">
        <f t="shared" si="127"/>
        <v>0.98985269074422966</v>
      </c>
      <c r="AW103" s="551">
        <f t="shared" si="113"/>
        <v>73.742611794681082</v>
      </c>
      <c r="AX103" s="551">
        <f t="shared" si="114"/>
        <v>20.280246495347264</v>
      </c>
      <c r="AY103" s="9"/>
      <c r="AZ103" s="4">
        <f t="shared" si="128"/>
        <v>98.985269074422959</v>
      </c>
      <c r="BA103" s="360">
        <f t="shared" si="115"/>
        <v>2.0232324159625446</v>
      </c>
      <c r="BB103" s="360">
        <f t="shared" si="129"/>
        <v>2.4747312444744303</v>
      </c>
      <c r="BC103" s="360">
        <f t="shared" si="130"/>
        <v>1.9405950472284497</v>
      </c>
      <c r="BD103" s="360">
        <f t="shared" si="131"/>
        <v>0.53369069724598062</v>
      </c>
      <c r="BE103" s="360">
        <f t="shared" si="132"/>
        <v>1.7542856778288056</v>
      </c>
      <c r="BK103" s="18"/>
      <c r="BL103" s="19"/>
    </row>
    <row r="104" spans="7:64" x14ac:dyDescent="0.25">
      <c r="G104">
        <v>95</v>
      </c>
      <c r="H104" s="548">
        <f t="shared" si="85"/>
        <v>45</v>
      </c>
      <c r="I104" s="4">
        <f t="shared" si="86"/>
        <v>2</v>
      </c>
      <c r="J104" s="360">
        <f t="shared" si="116"/>
        <v>57</v>
      </c>
      <c r="K104" s="360">
        <f t="shared" si="87"/>
        <v>28.5</v>
      </c>
      <c r="L104" s="4">
        <f t="shared" si="88"/>
        <v>16.888888888888889</v>
      </c>
      <c r="M104" s="360">
        <f t="shared" si="89"/>
        <v>0.53598119952865675</v>
      </c>
      <c r="N104" s="4">
        <f t="shared" si="90"/>
        <v>5.0942430560328358</v>
      </c>
      <c r="O104" s="4">
        <f t="shared" si="117"/>
        <v>31.047121528016419</v>
      </c>
      <c r="P104" s="4">
        <f t="shared" si="118"/>
        <v>25.952878471983581</v>
      </c>
      <c r="Q104" s="4">
        <f t="shared" si="91"/>
        <v>0</v>
      </c>
      <c r="R104" s="4">
        <f t="shared" si="119"/>
        <v>28.537915294560236</v>
      </c>
      <c r="S104" s="360">
        <f t="shared" si="92"/>
        <v>1.5148074534086609</v>
      </c>
      <c r="T104" s="360">
        <f t="shared" si="93"/>
        <v>0.3</v>
      </c>
      <c r="U104" s="360">
        <f t="shared" si="94"/>
        <v>2.0650610420704325</v>
      </c>
      <c r="V104" s="4">
        <f t="shared" si="120"/>
        <v>1.4705812998589698</v>
      </c>
      <c r="W104" s="360">
        <f t="shared" si="121"/>
        <v>4.3252187189897944E-3</v>
      </c>
      <c r="X104" s="360">
        <f t="shared" si="122"/>
        <v>4.3252187189897944E-3</v>
      </c>
      <c r="Y104" s="4">
        <f t="shared" si="123"/>
        <v>14.23196317191799</v>
      </c>
      <c r="Z104" s="360">
        <f t="shared" si="124"/>
        <v>0.30382316359024497</v>
      </c>
      <c r="AA104" s="541">
        <f t="shared" si="125"/>
        <v>0.30382316359024497</v>
      </c>
      <c r="AB104" s="360">
        <f t="shared" si="126"/>
        <v>20.892818078846268</v>
      </c>
      <c r="AC104" s="360">
        <f t="shared" si="95"/>
        <v>0.56746280145849515</v>
      </c>
      <c r="AD104" s="360">
        <f t="shared" si="96"/>
        <v>0.83672068965517243</v>
      </c>
      <c r="AE104" s="360">
        <f t="shared" si="97"/>
        <v>0.36630000000000001</v>
      </c>
      <c r="AF104" s="360">
        <f t="shared" si="98"/>
        <v>0</v>
      </c>
      <c r="AG104" s="360">
        <f t="shared" si="99"/>
        <v>1.9376108471955309</v>
      </c>
      <c r="AH104" s="360">
        <f t="shared" si="100"/>
        <v>19.439721245010936</v>
      </c>
      <c r="AI104" s="360">
        <f t="shared" si="101"/>
        <v>0.49127359070884841</v>
      </c>
      <c r="AJ104" s="360">
        <f t="shared" si="102"/>
        <v>0</v>
      </c>
      <c r="AK104" s="360">
        <f t="shared" si="103"/>
        <v>0.53091923364910898</v>
      </c>
      <c r="AL104" s="360">
        <f t="shared" si="104"/>
        <v>0.12640319999999999</v>
      </c>
      <c r="AM104" s="360">
        <f t="shared" si="105"/>
        <v>4.4549999999999999E-2</v>
      </c>
      <c r="AN104" s="360">
        <f t="shared" si="106"/>
        <v>1.7917077405908892</v>
      </c>
      <c r="AO104" s="360">
        <f t="shared" si="107"/>
        <v>1.5749999999999998E-3</v>
      </c>
      <c r="AP104" s="360">
        <f t="shared" si="108"/>
        <v>0.25740000000000002</v>
      </c>
      <c r="AQ104" s="360">
        <f t="shared" si="109"/>
        <v>0.24596000000000001</v>
      </c>
      <c r="AR104" s="360">
        <f t="shared" si="110"/>
        <v>0.2288</v>
      </c>
      <c r="AS104" s="360">
        <f t="shared" si="133"/>
        <v>0.25897500000000001</v>
      </c>
      <c r="AT104" s="360">
        <f t="shared" si="111"/>
        <v>7.0633754458151969</v>
      </c>
      <c r="AU104">
        <f t="shared" si="112"/>
        <v>684</v>
      </c>
      <c r="AV104" s="542">
        <f t="shared" si="127"/>
        <v>0.98977897585549446</v>
      </c>
      <c r="AW104" s="551">
        <f t="shared" si="113"/>
        <v>74.746526193430171</v>
      </c>
      <c r="AX104" s="551">
        <f t="shared" si="114"/>
        <v>20.733587878666143</v>
      </c>
      <c r="AY104" s="9"/>
      <c r="AZ104" s="4">
        <f t="shared" si="128"/>
        <v>98.977897585549442</v>
      </c>
      <c r="BA104" s="360">
        <f t="shared" si="115"/>
        <v>2.0650610420704325</v>
      </c>
      <c r="BB104" s="360">
        <f t="shared" si="129"/>
        <v>2.5130800808446399</v>
      </c>
      <c r="BC104" s="360">
        <f t="shared" si="130"/>
        <v>1.967013847195531</v>
      </c>
      <c r="BD104" s="360">
        <f t="shared" si="131"/>
        <v>0.54562073364910901</v>
      </c>
      <c r="BE104" s="360">
        <f t="shared" si="132"/>
        <v>1.7917077405908892</v>
      </c>
      <c r="BK104" s="18"/>
      <c r="BL104" s="19"/>
    </row>
    <row r="105" spans="7:64" x14ac:dyDescent="0.25">
      <c r="G105">
        <v>96</v>
      </c>
      <c r="H105" s="548">
        <f t="shared" si="85"/>
        <v>45</v>
      </c>
      <c r="I105" s="4">
        <f t="shared" si="86"/>
        <v>2</v>
      </c>
      <c r="J105" s="360">
        <f t="shared" si="116"/>
        <v>57.6</v>
      </c>
      <c r="K105" s="360">
        <f t="shared" si="87"/>
        <v>28.8</v>
      </c>
      <c r="L105" s="4">
        <f t="shared" ref="L105:L109" si="134">Vout*K105/(Vin*Efficiency)</f>
        <v>17.066666666666666</v>
      </c>
      <c r="M105" s="360">
        <f t="shared" si="89"/>
        <v>0.53600903261541089</v>
      </c>
      <c r="N105" s="4">
        <f t="shared" ref="N105:N109" si="135">(Vin-(Rdson1+Rdcr)*K105-Vout)*M105/(Fsw*Lf)</f>
        <v>5.0942766249469837</v>
      </c>
      <c r="O105" s="4">
        <f t="shared" si="117"/>
        <v>31.347138312473493</v>
      </c>
      <c r="P105" s="4">
        <f t="shared" si="118"/>
        <v>26.252861687526508</v>
      </c>
      <c r="Q105" s="4">
        <f t="shared" ref="Q105:Q109" si="136">IF(MIN(Vin, -P105/(Coss_Q1+Coss_Q2)*0.00000002)&lt;0, 0, MIN(Vin, -P105/(Coss_Q1+Coss_Q2)*0.00000002))</f>
        <v>0</v>
      </c>
      <c r="R105" s="4">
        <f t="shared" si="119"/>
        <v>28.837521354321645</v>
      </c>
      <c r="S105" s="360">
        <f t="shared" ref="S105:S109" si="137">R105^2*Rdcr</f>
        <v>1.5467809064213798</v>
      </c>
      <c r="T105" s="360">
        <f t="shared" si="93"/>
        <v>0.3</v>
      </c>
      <c r="U105" s="360">
        <f t="shared" ref="U105:U109" si="138">(T105+S105*(1+Ltc*(Ta-25)))/(1-S105*Ltc*ThetaCa)</f>
        <v>2.1075777936187552</v>
      </c>
      <c r="V105" s="4">
        <f t="shared" si="120"/>
        <v>1.4705909903697798</v>
      </c>
      <c r="W105" s="360">
        <f t="shared" si="121"/>
        <v>4.3252757219135402E-3</v>
      </c>
      <c r="X105" s="360">
        <f t="shared" si="122"/>
        <v>4.3252757219135402E-3</v>
      </c>
      <c r="Y105" s="4">
        <f t="shared" si="123"/>
        <v>14.381319881963293</v>
      </c>
      <c r="Z105" s="360">
        <f t="shared" si="124"/>
        <v>0.31023354232102907</v>
      </c>
      <c r="AA105" s="541">
        <f t="shared" si="125"/>
        <v>0.31023354232102907</v>
      </c>
      <c r="AB105" s="360">
        <f t="shared" si="126"/>
        <v>21.112710044906017</v>
      </c>
      <c r="AC105" s="360">
        <f t="shared" ref="AC105:AC109" si="139">Rdson1*AB105^2</f>
        <v>0.57947048307235804</v>
      </c>
      <c r="AD105" s="360">
        <f t="shared" si="96"/>
        <v>0.84552827586206902</v>
      </c>
      <c r="AE105" s="360">
        <f t="shared" si="97"/>
        <v>0.36630000000000001</v>
      </c>
      <c r="AF105" s="360">
        <f t="shared" si="98"/>
        <v>0</v>
      </c>
      <c r="AG105" s="360">
        <f t="shared" ref="AG105:AG109" si="140">(AF105+AE105+AD105+AC105*(1+RdsonTopTc*Ta-RdsonTopTc*25))/(1-AC105*RdsonTopTc*ThetaJA_Q1)</f>
        <v>1.9643146363189297</v>
      </c>
      <c r="AH105" s="360">
        <f t="shared" si="100"/>
        <v>19.643220520593907</v>
      </c>
      <c r="AI105" s="360">
        <f t="shared" ref="AI105:AI109" si="141">Rdson2*AH105^2</f>
        <v>0.50161294614688601</v>
      </c>
      <c r="AJ105" s="360">
        <f t="shared" si="102"/>
        <v>0</v>
      </c>
      <c r="AK105" s="360">
        <f t="shared" ref="AK105:AK109" si="142">(AJ105+AI105*(1+RdsonBotTc*Ta-RdsonBotTc*25))/(1-AI105*RdsonBotTc*ThetaJA_Q2)</f>
        <v>0.54301523377153227</v>
      </c>
      <c r="AL105" s="360">
        <f t="shared" si="104"/>
        <v>0.12773375999999997</v>
      </c>
      <c r="AM105" s="360">
        <f t="shared" si="105"/>
        <v>4.4549999999999999E-2</v>
      </c>
      <c r="AN105" s="360">
        <f t="shared" si="106"/>
        <v>1.8295258032941053</v>
      </c>
      <c r="AO105" s="360">
        <f t="shared" si="107"/>
        <v>1.5749999999999998E-3</v>
      </c>
      <c r="AP105" s="360">
        <f t="shared" si="108"/>
        <v>0.25740000000000002</v>
      </c>
      <c r="AQ105" s="360">
        <f t="shared" si="109"/>
        <v>0.24596000000000001</v>
      </c>
      <c r="AR105" s="360">
        <f t="shared" si="110"/>
        <v>0.2288</v>
      </c>
      <c r="AS105" s="360">
        <f t="shared" si="133"/>
        <v>0.25897500000000001</v>
      </c>
      <c r="AT105" s="360">
        <f t="shared" ref="AT105:AT109" si="143" xml:space="preserve"> SUM(U105,X105,AA105,AG105,AK105,AL105,AM105,AS105,AN105)</f>
        <v>7.1902510450462653</v>
      </c>
      <c r="AU105">
        <f t="shared" si="112"/>
        <v>691.2</v>
      </c>
      <c r="AV105" s="542">
        <f t="shared" si="127"/>
        <v>0.98970453692002858</v>
      </c>
      <c r="AW105" s="551">
        <f t="shared" si="113"/>
        <v>75.761270180119325</v>
      </c>
      <c r="AX105" s="551">
        <f t="shared" si="114"/>
        <v>21.193235883318227</v>
      </c>
      <c r="AY105" s="9"/>
      <c r="AZ105" s="4">
        <f t="shared" si="128"/>
        <v>98.970453692002863</v>
      </c>
      <c r="BA105" s="360">
        <f t="shared" si="115"/>
        <v>2.1075777936187552</v>
      </c>
      <c r="BB105" s="360">
        <f t="shared" si="129"/>
        <v>2.5518798700904619</v>
      </c>
      <c r="BC105" s="360">
        <f t="shared" si="130"/>
        <v>1.9937176363189297</v>
      </c>
      <c r="BD105" s="360">
        <f t="shared" si="131"/>
        <v>0.5577167337715323</v>
      </c>
      <c r="BE105" s="360">
        <f t="shared" si="132"/>
        <v>1.8295258032941053</v>
      </c>
      <c r="BK105" s="18"/>
      <c r="BL105" s="19"/>
    </row>
    <row r="106" spans="7:64" x14ac:dyDescent="0.25">
      <c r="G106">
        <v>97</v>
      </c>
      <c r="H106" s="548">
        <f t="shared" si="85"/>
        <v>45</v>
      </c>
      <c r="I106" s="4">
        <f t="shared" si="86"/>
        <v>2</v>
      </c>
      <c r="J106" s="360">
        <f t="shared" si="116"/>
        <v>58.2</v>
      </c>
      <c r="K106" s="360">
        <f t="shared" si="87"/>
        <v>29.1</v>
      </c>
      <c r="L106" s="4">
        <f t="shared" si="134"/>
        <v>17.244444444444447</v>
      </c>
      <c r="M106" s="360">
        <f t="shared" si="89"/>
        <v>0.53603686488688762</v>
      </c>
      <c r="N106" s="4">
        <f t="shared" si="135"/>
        <v>5.0943101621259537</v>
      </c>
      <c r="O106" s="4">
        <f t="shared" si="117"/>
        <v>31.647155081062976</v>
      </c>
      <c r="P106" s="4">
        <f t="shared" si="118"/>
        <v>26.552844918937026</v>
      </c>
      <c r="Q106" s="4">
        <f t="shared" si="136"/>
        <v>0</v>
      </c>
      <c r="R106" s="4">
        <f t="shared" si="119"/>
        <v>29.137135520425851</v>
      </c>
      <c r="S106" s="360">
        <f t="shared" si="137"/>
        <v>1.579089159384331</v>
      </c>
      <c r="T106" s="360">
        <f t="shared" si="93"/>
        <v>0.3</v>
      </c>
      <c r="U106" s="360">
        <f t="shared" si="138"/>
        <v>2.1507926248191915</v>
      </c>
      <c r="V106" s="4">
        <f t="shared" si="120"/>
        <v>1.4706006717194329</v>
      </c>
      <c r="W106" s="360">
        <f t="shared" si="121"/>
        <v>4.3253326713232941E-3</v>
      </c>
      <c r="X106" s="360">
        <f t="shared" si="122"/>
        <v>4.3253326713232941E-3</v>
      </c>
      <c r="Y106" s="4">
        <f t="shared" si="123"/>
        <v>14.530679387087137</v>
      </c>
      <c r="Z106" s="360">
        <f t="shared" si="124"/>
        <v>0.31671096517547853</v>
      </c>
      <c r="AA106" s="541">
        <f t="shared" si="125"/>
        <v>0.31671096517547853</v>
      </c>
      <c r="AB106" s="360">
        <f t="shared" si="126"/>
        <v>21.332619305589972</v>
      </c>
      <c r="AC106" s="360">
        <f t="shared" si="139"/>
        <v>0.59160484036839889</v>
      </c>
      <c r="AD106" s="360">
        <f t="shared" si="96"/>
        <v>0.8543358620689655</v>
      </c>
      <c r="AE106" s="360">
        <f t="shared" si="97"/>
        <v>0.36630000000000001</v>
      </c>
      <c r="AF106" s="360">
        <f t="shared" si="98"/>
        <v>0</v>
      </c>
      <c r="AG106" s="360">
        <f t="shared" si="140"/>
        <v>1.9913068518101942</v>
      </c>
      <c r="AH106" s="360">
        <f t="shared" si="100"/>
        <v>19.846713075429694</v>
      </c>
      <c r="AI106" s="360">
        <f t="shared" si="141"/>
        <v>0.5120596258679615</v>
      </c>
      <c r="AJ106" s="360">
        <f t="shared" si="102"/>
        <v>0</v>
      </c>
      <c r="AK106" s="360">
        <f t="shared" si="142"/>
        <v>0.55527866527838821</v>
      </c>
      <c r="AL106" s="360">
        <f t="shared" si="104"/>
        <v>0.12906431999999998</v>
      </c>
      <c r="AM106" s="360">
        <f t="shared" si="105"/>
        <v>4.4549999999999999E-2</v>
      </c>
      <c r="AN106" s="360">
        <f t="shared" si="106"/>
        <v>1.8677398659384559</v>
      </c>
      <c r="AO106" s="360">
        <f t="shared" si="107"/>
        <v>1.5749999999999998E-3</v>
      </c>
      <c r="AP106" s="360">
        <f t="shared" si="108"/>
        <v>0.25740000000000002</v>
      </c>
      <c r="AQ106" s="360">
        <f t="shared" si="109"/>
        <v>0.24596000000000001</v>
      </c>
      <c r="AR106" s="360">
        <f t="shared" si="110"/>
        <v>0.2288</v>
      </c>
      <c r="AS106" s="360">
        <f t="shared" si="133"/>
        <v>0.25897500000000001</v>
      </c>
      <c r="AT106" s="360">
        <f t="shared" si="143"/>
        <v>7.3187436256930329</v>
      </c>
      <c r="AU106">
        <f t="shared" si="112"/>
        <v>698.40000000000009</v>
      </c>
      <c r="AV106" s="542">
        <f t="shared" si="127"/>
        <v>0.98962937616182278</v>
      </c>
      <c r="AW106" s="551">
        <f t="shared" si="113"/>
        <v>76.786974368787369</v>
      </c>
      <c r="AX106" s="551">
        <f t="shared" si="114"/>
        <v>21.659246280578753</v>
      </c>
      <c r="AY106" s="9"/>
      <c r="AZ106" s="4">
        <f t="shared" si="128"/>
        <v>98.962937616182273</v>
      </c>
      <c r="BA106" s="360">
        <f t="shared" si="115"/>
        <v>2.1507926248191915</v>
      </c>
      <c r="BB106" s="360">
        <f t="shared" si="129"/>
        <v>2.5911355170885826</v>
      </c>
      <c r="BC106" s="360">
        <f t="shared" si="130"/>
        <v>2.020709851810194</v>
      </c>
      <c r="BD106" s="360">
        <f t="shared" si="131"/>
        <v>0.56998016527838824</v>
      </c>
      <c r="BE106" s="360">
        <f t="shared" si="132"/>
        <v>1.8677398659384559</v>
      </c>
      <c r="BK106" s="18"/>
      <c r="BL106" s="19"/>
    </row>
    <row r="107" spans="7:64" x14ac:dyDescent="0.25">
      <c r="G107">
        <v>98</v>
      </c>
      <c r="H107" s="548">
        <f t="shared" si="85"/>
        <v>45</v>
      </c>
      <c r="I107" s="4">
        <f t="shared" si="86"/>
        <v>2</v>
      </c>
      <c r="J107" s="360">
        <f t="shared" si="116"/>
        <v>58.8</v>
      </c>
      <c r="K107" s="360">
        <f t="shared" si="87"/>
        <v>29.4</v>
      </c>
      <c r="L107" s="4">
        <f t="shared" si="134"/>
        <v>17.422222222222221</v>
      </c>
      <c r="M107" s="360">
        <f t="shared" si="89"/>
        <v>0.53606469634312282</v>
      </c>
      <c r="N107" s="4">
        <f t="shared" si="135"/>
        <v>5.0943436675711444</v>
      </c>
      <c r="O107" s="4">
        <f t="shared" si="117"/>
        <v>31.947171833785571</v>
      </c>
      <c r="P107" s="4">
        <f t="shared" si="118"/>
        <v>26.852828166214426</v>
      </c>
      <c r="Q107" s="4">
        <f t="shared" si="136"/>
        <v>0</v>
      </c>
      <c r="R107" s="4">
        <f t="shared" si="119"/>
        <v>29.436757545348129</v>
      </c>
      <c r="S107" s="360">
        <f t="shared" si="137"/>
        <v>1.6117322122975148</v>
      </c>
      <c r="T107" s="360">
        <f t="shared" si="93"/>
        <v>0.3</v>
      </c>
      <c r="U107" s="360">
        <f t="shared" si="138"/>
        <v>2.1947157362081491</v>
      </c>
      <c r="V107" s="4">
        <f t="shared" si="120"/>
        <v>1.4706103439083329</v>
      </c>
      <c r="W107" s="360">
        <f t="shared" si="121"/>
        <v>4.3253895672203703E-3</v>
      </c>
      <c r="X107" s="360">
        <f t="shared" si="122"/>
        <v>4.3253895672203703E-3</v>
      </c>
      <c r="Y107" s="4">
        <f t="shared" si="123"/>
        <v>14.680041562453454</v>
      </c>
      <c r="Z107" s="360">
        <f t="shared" si="124"/>
        <v>0.32325543041304128</v>
      </c>
      <c r="AA107" s="541">
        <f t="shared" si="125"/>
        <v>0.32325543041304128</v>
      </c>
      <c r="AB107" s="360">
        <f t="shared" si="126"/>
        <v>21.552545679190668</v>
      </c>
      <c r="AC107" s="360">
        <f t="shared" si="139"/>
        <v>0.60386589282968051</v>
      </c>
      <c r="AD107" s="360">
        <f t="shared" si="96"/>
        <v>0.86314344827586209</v>
      </c>
      <c r="AE107" s="360">
        <f t="shared" si="97"/>
        <v>0.36630000000000001</v>
      </c>
      <c r="AF107" s="360">
        <f t="shared" si="98"/>
        <v>0</v>
      </c>
      <c r="AG107" s="360">
        <f t="shared" si="140"/>
        <v>2.0185909956942143</v>
      </c>
      <c r="AH107" s="360">
        <f t="shared" si="100"/>
        <v>20.050198740411766</v>
      </c>
      <c r="AI107" s="360">
        <f t="shared" si="141"/>
        <v>0.52261361038901244</v>
      </c>
      <c r="AJ107" s="360">
        <f t="shared" si="102"/>
        <v>0</v>
      </c>
      <c r="AK107" s="360">
        <f t="shared" si="142"/>
        <v>0.56771102355611447</v>
      </c>
      <c r="AL107" s="360">
        <f t="shared" si="104"/>
        <v>0.13039487999999996</v>
      </c>
      <c r="AM107" s="360">
        <f t="shared" si="105"/>
        <v>4.4549999999999999E-2</v>
      </c>
      <c r="AN107" s="360">
        <f t="shared" si="106"/>
        <v>1.9063499285239422</v>
      </c>
      <c r="AO107" s="360">
        <f t="shared" si="107"/>
        <v>1.5749999999999998E-3</v>
      </c>
      <c r="AP107" s="360">
        <f t="shared" si="108"/>
        <v>0.25740000000000002</v>
      </c>
      <c r="AQ107" s="360">
        <f t="shared" si="109"/>
        <v>0.24596000000000001</v>
      </c>
      <c r="AR107" s="360">
        <f t="shared" si="110"/>
        <v>0.2288</v>
      </c>
      <c r="AS107" s="360">
        <f t="shared" si="133"/>
        <v>0.25897500000000001</v>
      </c>
      <c r="AT107" s="360">
        <f t="shared" si="143"/>
        <v>7.4488683839626812</v>
      </c>
      <c r="AU107">
        <f t="shared" si="112"/>
        <v>705.59999999999991</v>
      </c>
      <c r="AV107" s="542">
        <f t="shared" si="127"/>
        <v>0.98955349525924552</v>
      </c>
      <c r="AW107" s="551">
        <f t="shared" si="113"/>
        <v>77.823771836380132</v>
      </c>
      <c r="AX107" s="551">
        <f t="shared" si="114"/>
        <v>22.13167589513235</v>
      </c>
      <c r="AY107" s="9"/>
      <c r="AZ107" s="4">
        <f t="shared" si="128"/>
        <v>98.955349525924547</v>
      </c>
      <c r="BA107" s="360">
        <f t="shared" si="115"/>
        <v>2.1947157362081491</v>
      </c>
      <c r="BB107" s="360">
        <f t="shared" si="129"/>
        <v>2.6308520192503289</v>
      </c>
      <c r="BC107" s="360">
        <f t="shared" si="130"/>
        <v>2.0479939956942141</v>
      </c>
      <c r="BD107" s="360">
        <f t="shared" si="131"/>
        <v>0.5824125235561145</v>
      </c>
      <c r="BE107" s="360">
        <f t="shared" si="132"/>
        <v>1.9063499285239422</v>
      </c>
      <c r="BK107" s="18"/>
      <c r="BL107" s="19"/>
    </row>
    <row r="108" spans="7:64" x14ac:dyDescent="0.25">
      <c r="G108">
        <v>99</v>
      </c>
      <c r="H108" s="548">
        <f t="shared" si="85"/>
        <v>45</v>
      </c>
      <c r="I108" s="4">
        <f t="shared" si="86"/>
        <v>2</v>
      </c>
      <c r="J108" s="360">
        <f t="shared" si="116"/>
        <v>59.4</v>
      </c>
      <c r="K108" s="360">
        <f t="shared" si="87"/>
        <v>29.7</v>
      </c>
      <c r="L108" s="4">
        <f t="shared" si="134"/>
        <v>17.599999999999998</v>
      </c>
      <c r="M108" s="360">
        <f t="shared" si="89"/>
        <v>0.53609252698415233</v>
      </c>
      <c r="N108" s="4">
        <f t="shared" si="135"/>
        <v>5.0943771412839469</v>
      </c>
      <c r="O108" s="4">
        <f t="shared" si="117"/>
        <v>32.247188570641974</v>
      </c>
      <c r="P108" s="4">
        <f t="shared" si="118"/>
        <v>27.152811429358024</v>
      </c>
      <c r="Q108" s="4">
        <f t="shared" si="136"/>
        <v>0</v>
      </c>
      <c r="R108" s="4">
        <f t="shared" si="119"/>
        <v>29.736387191533588</v>
      </c>
      <c r="S108" s="360">
        <f t="shared" si="137"/>
        <v>1.6447100651609332</v>
      </c>
      <c r="T108" s="360">
        <f t="shared" si="93"/>
        <v>0.3</v>
      </c>
      <c r="U108" s="360">
        <f t="shared" si="138"/>
        <v>2.2393575814584681</v>
      </c>
      <c r="V108" s="4">
        <f t="shared" si="120"/>
        <v>1.4706200069368816</v>
      </c>
      <c r="W108" s="360">
        <f t="shared" si="121"/>
        <v>4.3254464096060671E-3</v>
      </c>
      <c r="X108" s="360">
        <f t="shared" si="122"/>
        <v>4.3254464096060671E-3</v>
      </c>
      <c r="Y108" s="4">
        <f t="shared" si="123"/>
        <v>14.829406288200149</v>
      </c>
      <c r="Z108" s="360">
        <f t="shared" si="124"/>
        <v>0.32986693629076519</v>
      </c>
      <c r="AA108" s="541">
        <f t="shared" si="125"/>
        <v>0.32986693629076519</v>
      </c>
      <c r="AB108" s="360">
        <f t="shared" si="126"/>
        <v>21.772488991281655</v>
      </c>
      <c r="AC108" s="360">
        <f t="shared" si="139"/>
        <v>0.61625365993812509</v>
      </c>
      <c r="AD108" s="360">
        <f t="shared" si="96"/>
        <v>0.87195103448275868</v>
      </c>
      <c r="AE108" s="360">
        <f t="shared" si="97"/>
        <v>0.36630000000000001</v>
      </c>
      <c r="AF108" s="360">
        <f t="shared" si="98"/>
        <v>0</v>
      </c>
      <c r="AG108" s="360">
        <f t="shared" si="140"/>
        <v>2.0461706362222238</v>
      </c>
      <c r="AH108" s="360">
        <f t="shared" si="100"/>
        <v>20.253677353244321</v>
      </c>
      <c r="AI108" s="360">
        <f t="shared" si="141"/>
        <v>0.53327488022811842</v>
      </c>
      <c r="AJ108" s="360">
        <f t="shared" si="102"/>
        <v>0</v>
      </c>
      <c r="AK108" s="360">
        <f t="shared" si="142"/>
        <v>0.58031383221198896</v>
      </c>
      <c r="AL108" s="360">
        <f t="shared" si="104"/>
        <v>0.13172543999999997</v>
      </c>
      <c r="AM108" s="360">
        <f t="shared" si="105"/>
        <v>4.4549999999999999E-2</v>
      </c>
      <c r="AN108" s="360">
        <f t="shared" si="106"/>
        <v>1.9453559910505662</v>
      </c>
      <c r="AO108" s="360">
        <f t="shared" si="107"/>
        <v>1.5749999999999998E-3</v>
      </c>
      <c r="AP108" s="360">
        <f t="shared" si="108"/>
        <v>0.25740000000000002</v>
      </c>
      <c r="AQ108" s="360">
        <f t="shared" si="109"/>
        <v>0.24596000000000001</v>
      </c>
      <c r="AR108" s="360">
        <f t="shared" si="110"/>
        <v>0.2288</v>
      </c>
      <c r="AS108" s="360">
        <f t="shared" si="133"/>
        <v>0.25897500000000001</v>
      </c>
      <c r="AT108" s="360">
        <f t="shared" si="143"/>
        <v>7.5806408636436187</v>
      </c>
      <c r="AU108">
        <f t="shared" si="112"/>
        <v>712.8</v>
      </c>
      <c r="AV108" s="542">
        <f t="shared" si="127"/>
        <v>0.98947689536110328</v>
      </c>
      <c r="AW108" s="551">
        <f t="shared" si="113"/>
        <v>78.8717981764445</v>
      </c>
      <c r="AX108" s="551">
        <f t="shared" si="114"/>
        <v>22.610582624055581</v>
      </c>
      <c r="AY108" s="9"/>
      <c r="AZ108" s="4">
        <f t="shared" si="128"/>
        <v>98.947689536110332</v>
      </c>
      <c r="BA108" s="360">
        <f t="shared" si="115"/>
        <v>2.2393575814584681</v>
      </c>
      <c r="BB108" s="360">
        <f t="shared" si="129"/>
        <v>2.6710344684342129</v>
      </c>
      <c r="BC108" s="360">
        <f t="shared" si="130"/>
        <v>2.0755736362222237</v>
      </c>
      <c r="BD108" s="360">
        <f t="shared" si="131"/>
        <v>0.59501533221198899</v>
      </c>
      <c r="BE108" s="360">
        <f t="shared" si="132"/>
        <v>1.9453559910505662</v>
      </c>
      <c r="BK108" s="18"/>
      <c r="BL108" s="19"/>
    </row>
    <row r="109" spans="7:64" x14ac:dyDescent="0.25">
      <c r="G109">
        <v>100</v>
      </c>
      <c r="H109" s="548">
        <f t="shared" si="85"/>
        <v>45</v>
      </c>
      <c r="I109" s="4">
        <f t="shared" si="86"/>
        <v>2</v>
      </c>
      <c r="J109" s="360">
        <f t="shared" si="116"/>
        <v>60</v>
      </c>
      <c r="K109" s="360">
        <f t="shared" si="87"/>
        <v>30</v>
      </c>
      <c r="L109" s="4">
        <f t="shared" si="134"/>
        <v>17.777777777777779</v>
      </c>
      <c r="M109" s="360">
        <f t="shared" si="89"/>
        <v>0.53612035681001191</v>
      </c>
      <c r="N109" s="4">
        <f t="shared" si="135"/>
        <v>5.0944105832657547</v>
      </c>
      <c r="O109" s="4">
        <f t="shared" si="117"/>
        <v>32.547205291632878</v>
      </c>
      <c r="P109" s="4">
        <f t="shared" si="118"/>
        <v>27.452794708367122</v>
      </c>
      <c r="Q109" s="4">
        <f t="shared" si="136"/>
        <v>0</v>
      </c>
      <c r="R109" s="4">
        <f t="shared" si="119"/>
        <v>30.03602423090048</v>
      </c>
      <c r="S109" s="360">
        <f t="shared" si="137"/>
        <v>1.6780227179745879</v>
      </c>
      <c r="T109" s="360">
        <f t="shared" si="93"/>
        <v>0.3</v>
      </c>
      <c r="U109" s="360">
        <f t="shared" si="138"/>
        <v>2.284728874431238</v>
      </c>
      <c r="V109" s="4">
        <f t="shared" si="120"/>
        <v>1.470629660805481</v>
      </c>
      <c r="W109" s="360">
        <f t="shared" si="121"/>
        <v>4.3255031984816882E-3</v>
      </c>
      <c r="X109" s="360">
        <f t="shared" si="122"/>
        <v>4.3255031984816882E-3</v>
      </c>
      <c r="Y109" s="4">
        <f t="shared" si="123"/>
        <v>14.978773449191312</v>
      </c>
      <c r="Z109" s="360">
        <f t="shared" si="124"/>
        <v>0.3365454810632979</v>
      </c>
      <c r="AA109" s="541">
        <f t="shared" si="125"/>
        <v>0.3365454810632979</v>
      </c>
      <c r="AB109" s="360">
        <f t="shared" si="126"/>
        <v>21.992449074354752</v>
      </c>
      <c r="AC109" s="360">
        <f t="shared" si="139"/>
        <v>0.62876816117451328</v>
      </c>
      <c r="AD109" s="360">
        <f t="shared" si="96"/>
        <v>0.88075862068965516</v>
      </c>
      <c r="AE109" s="360">
        <f t="shared" si="97"/>
        <v>0.36630000000000001</v>
      </c>
      <c r="AF109" s="360">
        <f t="shared" si="98"/>
        <v>0</v>
      </c>
      <c r="AG109" s="360">
        <f t="shared" si="140"/>
        <v>2.0740494093235582</v>
      </c>
      <c r="AH109" s="360">
        <f t="shared" si="100"/>
        <v>20.457148758102967</v>
      </c>
      <c r="AI109" s="360">
        <f t="shared" si="141"/>
        <v>0.54404341590449989</v>
      </c>
      <c r="AJ109" s="360">
        <f t="shared" si="102"/>
        <v>0</v>
      </c>
      <c r="AK109" s="360">
        <f t="shared" si="142"/>
        <v>0.59308864358631108</v>
      </c>
      <c r="AL109" s="360">
        <f t="shared" si="104"/>
        <v>0.13305599999999998</v>
      </c>
      <c r="AM109" s="360">
        <f t="shared" si="105"/>
        <v>4.4549999999999999E-2</v>
      </c>
      <c r="AN109" s="360">
        <f t="shared" si="106"/>
        <v>1.9847580535183298</v>
      </c>
      <c r="AO109" s="360">
        <f t="shared" si="107"/>
        <v>1.5749999999999998E-3</v>
      </c>
      <c r="AP109" s="360">
        <f t="shared" si="108"/>
        <v>0.25740000000000002</v>
      </c>
      <c r="AQ109" s="360">
        <f t="shared" si="109"/>
        <v>0.24596000000000001</v>
      </c>
      <c r="AR109" s="360">
        <f t="shared" si="110"/>
        <v>0.2288</v>
      </c>
      <c r="AS109" s="360">
        <f t="shared" si="133"/>
        <v>0.25897500000000001</v>
      </c>
      <c r="AT109" s="360">
        <f t="shared" si="143"/>
        <v>7.7140769651212162</v>
      </c>
      <c r="AU109">
        <f t="shared" si="112"/>
        <v>720</v>
      </c>
      <c r="AV109" s="542">
        <f t="shared" si="127"/>
        <v>0.9893995771013635</v>
      </c>
      <c r="AW109" s="551">
        <f t="shared" si="113"/>
        <v>79.931191554295211</v>
      </c>
      <c r="AX109" s="551">
        <f t="shared" si="114"/>
        <v>23.096025456279822</v>
      </c>
      <c r="AY109" s="9"/>
      <c r="AZ109" s="4">
        <f t="shared" si="128"/>
        <v>98.939957710136355</v>
      </c>
      <c r="BA109" s="360">
        <f t="shared" si="115"/>
        <v>2.284728874431238</v>
      </c>
      <c r="BB109" s="360">
        <f t="shared" si="129"/>
        <v>2.7116880529098695</v>
      </c>
      <c r="BC109" s="360">
        <f t="shared" si="130"/>
        <v>2.103452409323558</v>
      </c>
      <c r="BD109" s="360">
        <f t="shared" si="131"/>
        <v>0.60779014358631112</v>
      </c>
      <c r="BE109" s="360">
        <f t="shared" si="132"/>
        <v>1.9847580535183298</v>
      </c>
      <c r="BK109" s="18"/>
      <c r="BL109" s="19"/>
    </row>
    <row r="110" spans="7:64" x14ac:dyDescent="0.25">
      <c r="H110" s="548"/>
      <c r="I110" s="4"/>
      <c r="J110" s="4"/>
      <c r="L110" s="4"/>
      <c r="R110" s="360"/>
      <c r="S110" s="360"/>
      <c r="T110" s="360"/>
      <c r="U110" s="360"/>
      <c r="W110" s="360"/>
      <c r="X110" s="360"/>
      <c r="Y110" s="360"/>
      <c r="Z110" s="360"/>
      <c r="AA110" s="541"/>
      <c r="AB110" s="360"/>
      <c r="AC110" s="360"/>
      <c r="AD110" s="360"/>
      <c r="AE110" s="360"/>
      <c r="AG110" s="360"/>
      <c r="AH110" s="360"/>
      <c r="AI110" s="360"/>
      <c r="AJ110" s="360"/>
      <c r="AK110" s="360"/>
      <c r="AL110" s="360"/>
      <c r="AM110" s="360"/>
      <c r="AN110" s="360"/>
      <c r="AO110" s="360"/>
      <c r="AP110" s="360"/>
      <c r="AQ110" s="360"/>
      <c r="AR110" s="360"/>
      <c r="AS110" s="360"/>
      <c r="AT110" s="360"/>
      <c r="AV110" s="542"/>
      <c r="AW110" s="551"/>
      <c r="AX110" s="551"/>
      <c r="AY110" s="9"/>
      <c r="AZ110" s="48"/>
      <c r="BA110" s="360"/>
      <c r="BB110" s="360"/>
      <c r="BC110" s="360"/>
      <c r="BD110" s="360"/>
      <c r="BE110" s="360"/>
    </row>
    <row r="111" spans="7:64" x14ac:dyDescent="0.25">
      <c r="H111" s="548"/>
      <c r="I111" s="4"/>
      <c r="J111" s="4"/>
      <c r="L111" s="4"/>
      <c r="R111" s="360"/>
      <c r="S111" s="360"/>
      <c r="T111" s="360"/>
      <c r="U111" s="360"/>
      <c r="W111" s="360"/>
      <c r="X111" s="360"/>
      <c r="Y111" s="360"/>
      <c r="Z111" s="360"/>
      <c r="AA111" s="541"/>
      <c r="AB111" s="360"/>
      <c r="AC111" s="360"/>
      <c r="AD111" s="360"/>
      <c r="AE111" s="360"/>
      <c r="AG111" s="360"/>
      <c r="AH111" s="360"/>
      <c r="AI111" s="360"/>
      <c r="AJ111" s="360"/>
      <c r="AK111" s="360"/>
      <c r="AL111" s="360"/>
      <c r="AM111" s="360"/>
      <c r="AN111" s="360"/>
      <c r="AO111" s="360"/>
      <c r="AP111" s="360"/>
      <c r="AQ111" s="360"/>
      <c r="AR111" s="360"/>
      <c r="AS111" s="360"/>
      <c r="AT111" s="360"/>
      <c r="AV111" s="542"/>
      <c r="AW111" s="551"/>
      <c r="AX111" s="551"/>
      <c r="AY111" s="9"/>
      <c r="AZ111" s="48"/>
      <c r="BA111" s="360"/>
      <c r="BB111" s="360"/>
      <c r="BC111" s="360"/>
      <c r="BD111" s="360"/>
      <c r="BE111" s="360"/>
    </row>
    <row r="112" spans="7:64" x14ac:dyDescent="0.25">
      <c r="H112" s="548"/>
      <c r="I112" s="4"/>
      <c r="J112" s="4"/>
      <c r="L112" s="4"/>
      <c r="R112" s="360"/>
      <c r="S112" s="360"/>
      <c r="T112" s="360"/>
      <c r="U112" s="360"/>
      <c r="W112" s="360"/>
      <c r="X112" s="360"/>
      <c r="Y112" s="360"/>
      <c r="Z112" s="360"/>
      <c r="AA112" s="541"/>
      <c r="AB112" s="360"/>
      <c r="AC112" s="360"/>
      <c r="AD112" s="360"/>
      <c r="AE112" s="360"/>
      <c r="AG112" s="360"/>
      <c r="AH112" s="360"/>
      <c r="AI112" s="360"/>
      <c r="AJ112" s="360"/>
      <c r="AK112" s="360"/>
      <c r="AL112" s="360"/>
      <c r="AM112" s="360"/>
      <c r="AN112" s="360"/>
      <c r="AO112" s="360"/>
      <c r="AP112" s="360"/>
      <c r="AQ112" s="360"/>
      <c r="AR112" s="360"/>
      <c r="AS112" s="360"/>
      <c r="AT112" s="360"/>
      <c r="AV112" s="542"/>
      <c r="AW112" s="551"/>
      <c r="AX112" s="551"/>
      <c r="AY112" s="9"/>
      <c r="AZ112" s="48"/>
      <c r="BA112" s="360"/>
      <c r="BB112" s="360"/>
      <c r="BC112" s="360"/>
      <c r="BD112" s="360"/>
      <c r="BE112" s="360"/>
    </row>
    <row r="113" spans="8:57" x14ac:dyDescent="0.25">
      <c r="H113" s="548"/>
      <c r="I113" s="4"/>
      <c r="J113" s="4"/>
      <c r="L113" s="4"/>
      <c r="R113" s="360"/>
      <c r="S113" s="360"/>
      <c r="T113" s="360"/>
      <c r="U113" s="360"/>
      <c r="W113" s="360"/>
      <c r="X113" s="360"/>
      <c r="Y113" s="360"/>
      <c r="Z113" s="360"/>
      <c r="AA113" s="541"/>
      <c r="AB113" s="360"/>
      <c r="AC113" s="360"/>
      <c r="AD113" s="360"/>
      <c r="AE113" s="360"/>
      <c r="AG113" s="360"/>
      <c r="AH113" s="360"/>
      <c r="AI113" s="360"/>
      <c r="AJ113" s="360"/>
      <c r="AK113" s="360"/>
      <c r="AL113" s="360"/>
      <c r="AM113" s="360"/>
      <c r="AN113" s="360"/>
      <c r="AO113" s="360"/>
      <c r="AP113" s="360"/>
      <c r="AQ113" s="360"/>
      <c r="AR113" s="360"/>
      <c r="AS113" s="360"/>
      <c r="AT113" s="360"/>
      <c r="AV113" s="542"/>
      <c r="AW113" s="551"/>
      <c r="AX113" s="551"/>
      <c r="AY113" s="9"/>
      <c r="AZ113" s="48"/>
      <c r="BA113" s="360"/>
      <c r="BB113" s="360"/>
      <c r="BC113" s="360"/>
      <c r="BD113" s="360"/>
      <c r="BE113" s="360"/>
    </row>
    <row r="114" spans="8:57" x14ac:dyDescent="0.25">
      <c r="H114" s="548"/>
      <c r="I114" s="4"/>
      <c r="J114" s="4"/>
      <c r="L114" s="4"/>
      <c r="R114" s="360"/>
      <c r="S114" s="360"/>
      <c r="T114" s="360"/>
      <c r="U114" s="360"/>
      <c r="W114" s="360"/>
      <c r="X114" s="360"/>
      <c r="Y114" s="360"/>
      <c r="Z114" s="360"/>
      <c r="AA114" s="541"/>
      <c r="AB114" s="360"/>
      <c r="AC114" s="360"/>
      <c r="AD114" s="360"/>
      <c r="AE114" s="360"/>
      <c r="AG114" s="360"/>
      <c r="AH114" s="360"/>
      <c r="AI114" s="360"/>
      <c r="AJ114" s="360"/>
      <c r="AK114" s="360"/>
      <c r="AL114" s="360"/>
      <c r="AM114" s="360"/>
      <c r="AN114" s="360"/>
      <c r="AO114" s="360"/>
      <c r="AP114" s="360"/>
      <c r="AQ114" s="360"/>
      <c r="AR114" s="360"/>
      <c r="AS114" s="360"/>
      <c r="AT114" s="360"/>
      <c r="AV114" s="542"/>
      <c r="AW114" s="551"/>
      <c r="AX114" s="551"/>
      <c r="AY114" s="9"/>
      <c r="AZ114" s="48"/>
      <c r="BA114" s="360"/>
      <c r="BB114" s="360"/>
      <c r="BC114" s="360"/>
      <c r="BD114" s="360"/>
      <c r="BE114" s="360"/>
    </row>
    <row r="115" spans="8:57" x14ac:dyDescent="0.25">
      <c r="H115" s="548"/>
      <c r="I115" s="4"/>
      <c r="J115" s="4"/>
      <c r="L115" s="4"/>
      <c r="R115" s="360"/>
      <c r="S115" s="360"/>
      <c r="T115" s="360"/>
      <c r="U115" s="360"/>
      <c r="W115" s="360"/>
      <c r="X115" s="360"/>
      <c r="Y115" s="360"/>
      <c r="Z115" s="360"/>
      <c r="AA115" s="541"/>
      <c r="AB115" s="360"/>
      <c r="AC115" s="360"/>
      <c r="AD115" s="360"/>
      <c r="AE115" s="360"/>
      <c r="AG115" s="360"/>
      <c r="AH115" s="360"/>
      <c r="AI115" s="360"/>
      <c r="AJ115" s="360"/>
      <c r="AK115" s="360"/>
      <c r="AL115" s="360"/>
      <c r="AM115" s="360"/>
      <c r="AN115" s="360"/>
      <c r="AO115" s="360"/>
      <c r="AP115" s="360"/>
      <c r="AQ115" s="360"/>
      <c r="AR115" s="360"/>
      <c r="AS115" s="360"/>
      <c r="AT115" s="360"/>
      <c r="AV115" s="542"/>
      <c r="AW115" s="551"/>
      <c r="AX115" s="551"/>
      <c r="AY115" s="9"/>
      <c r="AZ115" s="48"/>
      <c r="BA115" s="360"/>
      <c r="BB115" s="360"/>
      <c r="BC115" s="360"/>
      <c r="BD115" s="360"/>
      <c r="BE115" s="360"/>
    </row>
    <row r="116" spans="8:57" x14ac:dyDescent="0.25">
      <c r="H116" s="548"/>
      <c r="I116" s="4"/>
      <c r="J116" s="4"/>
      <c r="L116" s="4"/>
      <c r="R116" s="360"/>
      <c r="S116" s="360"/>
      <c r="T116" s="360"/>
      <c r="U116" s="360"/>
      <c r="W116" s="360"/>
      <c r="X116" s="360"/>
      <c r="Y116" s="360"/>
      <c r="Z116" s="360"/>
      <c r="AA116" s="541"/>
      <c r="AB116" s="360"/>
      <c r="AC116" s="360"/>
      <c r="AD116" s="360"/>
      <c r="AE116" s="360"/>
      <c r="AG116" s="360"/>
      <c r="AH116" s="360"/>
      <c r="AI116" s="360"/>
      <c r="AJ116" s="360"/>
      <c r="AK116" s="360"/>
      <c r="AL116" s="360"/>
      <c r="AM116" s="360"/>
      <c r="AN116" s="360"/>
      <c r="AO116" s="360"/>
      <c r="AP116" s="360"/>
      <c r="AQ116" s="360"/>
      <c r="AR116" s="360"/>
      <c r="AS116" s="360"/>
      <c r="AT116" s="360"/>
      <c r="AV116" s="542"/>
      <c r="AW116" s="551"/>
      <c r="AX116" s="551"/>
      <c r="AY116" s="9"/>
      <c r="AZ116" s="48"/>
      <c r="BA116" s="360"/>
      <c r="BB116" s="360"/>
      <c r="BC116" s="360"/>
      <c r="BD116" s="360"/>
      <c r="BE116" s="360"/>
    </row>
    <row r="117" spans="8:57" x14ac:dyDescent="0.25">
      <c r="H117" s="548"/>
      <c r="I117" s="4"/>
      <c r="J117" s="4"/>
      <c r="L117" s="4"/>
      <c r="R117" s="360"/>
      <c r="S117" s="360"/>
      <c r="T117" s="360"/>
      <c r="U117" s="360"/>
      <c r="W117" s="360"/>
      <c r="X117" s="360"/>
      <c r="Y117" s="360"/>
      <c r="Z117" s="360"/>
      <c r="AA117" s="541"/>
      <c r="AB117" s="360"/>
      <c r="AC117" s="360"/>
      <c r="AD117" s="360"/>
      <c r="AE117" s="360"/>
      <c r="AG117" s="360"/>
      <c r="AH117" s="360"/>
      <c r="AI117" s="360"/>
      <c r="AJ117" s="360"/>
      <c r="AK117" s="360"/>
      <c r="AL117" s="360"/>
      <c r="AM117" s="360"/>
      <c r="AN117" s="360"/>
      <c r="AO117" s="360"/>
      <c r="AP117" s="360"/>
      <c r="AQ117" s="360"/>
      <c r="AR117" s="360"/>
      <c r="AS117" s="360"/>
      <c r="AT117" s="360"/>
      <c r="AV117" s="542"/>
      <c r="AW117" s="551"/>
      <c r="AX117" s="551"/>
      <c r="AY117" s="9"/>
      <c r="AZ117" s="48"/>
      <c r="BA117" s="360"/>
      <c r="BB117" s="360"/>
      <c r="BC117" s="360"/>
      <c r="BD117" s="360"/>
      <c r="BE117" s="360"/>
    </row>
    <row r="118" spans="8:57" x14ac:dyDescent="0.25">
      <c r="H118" s="548"/>
      <c r="I118" s="4"/>
      <c r="J118" s="4"/>
      <c r="L118" s="4"/>
      <c r="R118" s="360"/>
      <c r="S118" s="360"/>
      <c r="T118" s="360"/>
      <c r="U118" s="360"/>
      <c r="W118" s="360"/>
      <c r="X118" s="360"/>
      <c r="Y118" s="360"/>
      <c r="Z118" s="360"/>
      <c r="AA118" s="541"/>
      <c r="AB118" s="360"/>
      <c r="AC118" s="360"/>
      <c r="AD118" s="360"/>
      <c r="AE118" s="360"/>
      <c r="AG118" s="360"/>
      <c r="AH118" s="360"/>
      <c r="AI118" s="360"/>
      <c r="AJ118" s="360"/>
      <c r="AK118" s="360"/>
      <c r="AL118" s="360"/>
      <c r="AM118" s="360"/>
      <c r="AN118" s="360"/>
      <c r="AO118" s="360"/>
      <c r="AP118" s="360"/>
      <c r="AQ118" s="360"/>
      <c r="AR118" s="360"/>
      <c r="AS118" s="360"/>
      <c r="AT118" s="360"/>
      <c r="AV118" s="542"/>
      <c r="AW118" s="551"/>
      <c r="AX118" s="551"/>
      <c r="AY118" s="9"/>
      <c r="AZ118" s="48"/>
      <c r="BA118" s="360"/>
      <c r="BB118" s="360"/>
      <c r="BC118" s="360"/>
      <c r="BD118" s="360"/>
      <c r="BE118" s="360"/>
    </row>
    <row r="119" spans="8:57" x14ac:dyDescent="0.25">
      <c r="H119" s="548"/>
      <c r="I119" s="4"/>
      <c r="J119" s="4"/>
      <c r="L119" s="4"/>
      <c r="R119" s="360"/>
      <c r="S119" s="360"/>
      <c r="T119" s="360"/>
      <c r="U119" s="360"/>
      <c r="W119" s="360"/>
      <c r="X119" s="360"/>
      <c r="Y119" s="360"/>
      <c r="Z119" s="360"/>
      <c r="AA119" s="541"/>
      <c r="AB119" s="360"/>
      <c r="AC119" s="360"/>
      <c r="AD119" s="360"/>
      <c r="AE119" s="360"/>
      <c r="AG119" s="360"/>
      <c r="AH119" s="360"/>
      <c r="AI119" s="360"/>
      <c r="AJ119" s="360"/>
      <c r="AK119" s="360"/>
      <c r="AL119" s="360"/>
      <c r="AM119" s="360"/>
      <c r="AN119" s="360"/>
      <c r="AO119" s="360"/>
      <c r="AP119" s="360"/>
      <c r="AQ119" s="360"/>
      <c r="AR119" s="360"/>
      <c r="AS119" s="360"/>
      <c r="AT119" s="360"/>
      <c r="AV119" s="542"/>
      <c r="AW119" s="551"/>
      <c r="AX119" s="551"/>
      <c r="AY119" s="9"/>
      <c r="AZ119" s="48"/>
      <c r="BA119" s="360"/>
      <c r="BB119" s="360"/>
      <c r="BC119" s="360"/>
      <c r="BD119" s="360"/>
      <c r="BE119" s="360"/>
    </row>
    <row r="120" spans="8:57" x14ac:dyDescent="0.25">
      <c r="H120" s="548"/>
      <c r="I120" s="4"/>
      <c r="J120" s="4"/>
      <c r="L120" s="4"/>
      <c r="R120" s="360"/>
      <c r="S120" s="360"/>
      <c r="T120" s="360"/>
      <c r="U120" s="360"/>
      <c r="W120" s="360"/>
      <c r="X120" s="360"/>
      <c r="Y120" s="360"/>
      <c r="Z120" s="360"/>
      <c r="AA120" s="541"/>
      <c r="AB120" s="360"/>
      <c r="AC120" s="360"/>
      <c r="AD120" s="360"/>
      <c r="AE120" s="360"/>
      <c r="AG120" s="360"/>
      <c r="AH120" s="360"/>
      <c r="AI120" s="360"/>
      <c r="AJ120" s="360"/>
      <c r="AK120" s="360"/>
      <c r="AL120" s="360"/>
      <c r="AM120" s="360"/>
      <c r="AN120" s="360"/>
      <c r="AO120" s="360"/>
      <c r="AP120" s="360"/>
      <c r="AQ120" s="360"/>
      <c r="AR120" s="360"/>
      <c r="AS120" s="360"/>
      <c r="AT120" s="360"/>
      <c r="AV120" s="542"/>
      <c r="AW120" s="551"/>
      <c r="AX120" s="551"/>
      <c r="AY120" s="9"/>
      <c r="AZ120" s="48"/>
      <c r="BA120" s="360"/>
      <c r="BB120" s="360"/>
      <c r="BC120" s="360"/>
      <c r="BD120" s="360"/>
      <c r="BE120" s="360"/>
    </row>
    <row r="121" spans="8:57" x14ac:dyDescent="0.25">
      <c r="H121" s="548"/>
      <c r="I121" s="4"/>
      <c r="J121" s="4"/>
      <c r="L121" s="4"/>
      <c r="R121" s="360"/>
      <c r="S121" s="360"/>
      <c r="T121" s="360"/>
      <c r="U121" s="360"/>
      <c r="W121" s="360"/>
      <c r="X121" s="360"/>
      <c r="Y121" s="360"/>
      <c r="Z121" s="360"/>
      <c r="AA121" s="541"/>
      <c r="AB121" s="360"/>
      <c r="AC121" s="360"/>
      <c r="AD121" s="360"/>
      <c r="AE121" s="360"/>
      <c r="AG121" s="360"/>
      <c r="AH121" s="360"/>
      <c r="AI121" s="360"/>
      <c r="AJ121" s="360"/>
      <c r="AK121" s="360"/>
      <c r="AL121" s="360"/>
      <c r="AM121" s="360"/>
      <c r="AN121" s="360"/>
      <c r="AO121" s="360"/>
      <c r="AP121" s="360"/>
      <c r="AQ121" s="360"/>
      <c r="AR121" s="360"/>
      <c r="AS121" s="360"/>
      <c r="AT121" s="360"/>
      <c r="AV121" s="542"/>
      <c r="AW121" s="551"/>
      <c r="AX121" s="551"/>
      <c r="AY121" s="9"/>
      <c r="AZ121" s="48"/>
      <c r="BA121" s="360"/>
      <c r="BB121" s="360"/>
      <c r="BC121" s="360"/>
      <c r="BD121" s="360"/>
      <c r="BE121" s="360"/>
    </row>
    <row r="122" spans="8:57" x14ac:dyDescent="0.25">
      <c r="H122" s="548"/>
      <c r="I122" s="4"/>
      <c r="J122" s="4"/>
      <c r="L122" s="4"/>
      <c r="R122" s="360"/>
      <c r="S122" s="360"/>
      <c r="T122" s="360"/>
      <c r="U122" s="360"/>
      <c r="W122" s="360"/>
      <c r="X122" s="360"/>
      <c r="Y122" s="360"/>
      <c r="Z122" s="360"/>
      <c r="AA122" s="541"/>
      <c r="AB122" s="360"/>
      <c r="AC122" s="360"/>
      <c r="AD122" s="360"/>
      <c r="AE122" s="360"/>
      <c r="AG122" s="360"/>
      <c r="AH122" s="360"/>
      <c r="AI122" s="360"/>
      <c r="AJ122" s="360"/>
      <c r="AK122" s="360"/>
      <c r="AL122" s="360"/>
      <c r="AM122" s="360"/>
      <c r="AN122" s="360"/>
      <c r="AO122" s="360"/>
      <c r="AP122" s="360"/>
      <c r="AQ122" s="360"/>
      <c r="AR122" s="360"/>
      <c r="AS122" s="360"/>
      <c r="AT122" s="360"/>
      <c r="AV122" s="542"/>
      <c r="AW122" s="551"/>
      <c r="AX122" s="551"/>
      <c r="AY122" s="9"/>
      <c r="AZ122" s="48"/>
      <c r="BA122" s="360"/>
      <c r="BB122" s="360"/>
      <c r="BC122" s="360"/>
      <c r="BD122" s="360"/>
      <c r="BE122" s="360"/>
    </row>
    <row r="123" spans="8:57" x14ac:dyDescent="0.25">
      <c r="H123" s="548"/>
      <c r="I123" s="4"/>
      <c r="J123" s="4"/>
      <c r="L123" s="4"/>
      <c r="R123" s="360"/>
      <c r="S123" s="360"/>
      <c r="T123" s="360"/>
      <c r="U123" s="360"/>
      <c r="W123" s="360"/>
      <c r="X123" s="360"/>
      <c r="Y123" s="360"/>
      <c r="Z123" s="360"/>
      <c r="AA123" s="541"/>
      <c r="AB123" s="360"/>
      <c r="AC123" s="360"/>
      <c r="AD123" s="360"/>
      <c r="AE123" s="360"/>
      <c r="AG123" s="360"/>
      <c r="AH123" s="360"/>
      <c r="AI123" s="360"/>
      <c r="AJ123" s="360"/>
      <c r="AK123" s="360"/>
      <c r="AL123" s="360"/>
      <c r="AM123" s="360"/>
      <c r="AN123" s="360"/>
      <c r="AO123" s="360"/>
      <c r="AP123" s="360"/>
      <c r="AQ123" s="360"/>
      <c r="AR123" s="360"/>
      <c r="AS123" s="360"/>
      <c r="AT123" s="360"/>
      <c r="AV123" s="542"/>
      <c r="AW123" s="551"/>
      <c r="AX123" s="551"/>
      <c r="AY123" s="9"/>
      <c r="AZ123" s="48"/>
      <c r="BA123" s="360"/>
      <c r="BB123" s="360"/>
      <c r="BC123" s="360"/>
      <c r="BD123" s="360"/>
      <c r="BE123" s="360"/>
    </row>
    <row r="124" spans="8:57" x14ac:dyDescent="0.25">
      <c r="H124" s="548"/>
      <c r="I124" s="4"/>
      <c r="J124" s="4"/>
      <c r="L124" s="4"/>
      <c r="R124" s="360"/>
      <c r="S124" s="360"/>
      <c r="T124" s="360"/>
      <c r="U124" s="360"/>
      <c r="W124" s="360"/>
      <c r="X124" s="360"/>
      <c r="Y124" s="360"/>
      <c r="Z124" s="360"/>
      <c r="AA124" s="541"/>
      <c r="AB124" s="360"/>
      <c r="AC124" s="360"/>
      <c r="AD124" s="360"/>
      <c r="AE124" s="360"/>
      <c r="AG124" s="360"/>
      <c r="AH124" s="360"/>
      <c r="AI124" s="360"/>
      <c r="AJ124" s="360"/>
      <c r="AK124" s="360"/>
      <c r="AL124" s="360"/>
      <c r="AM124" s="360"/>
      <c r="AN124" s="360"/>
      <c r="AO124" s="360"/>
      <c r="AP124" s="360"/>
      <c r="AQ124" s="360"/>
      <c r="AR124" s="360"/>
      <c r="AS124" s="360"/>
      <c r="AT124" s="360"/>
      <c r="AV124" s="542"/>
      <c r="AW124" s="551"/>
      <c r="AX124" s="551"/>
      <c r="AY124" s="9"/>
      <c r="AZ124" s="48"/>
      <c r="BA124" s="360"/>
      <c r="BB124" s="360"/>
      <c r="BC124" s="360"/>
      <c r="BD124" s="360"/>
      <c r="BE124" s="360"/>
    </row>
    <row r="125" spans="8:57" x14ac:dyDescent="0.25">
      <c r="H125" s="548"/>
      <c r="I125" s="4"/>
      <c r="J125" s="4"/>
      <c r="L125" s="4"/>
      <c r="R125" s="360"/>
      <c r="S125" s="360"/>
      <c r="T125" s="360"/>
      <c r="U125" s="360"/>
      <c r="W125" s="360"/>
      <c r="X125" s="360"/>
      <c r="Y125" s="360"/>
      <c r="Z125" s="360"/>
      <c r="AA125" s="541"/>
      <c r="AB125" s="360"/>
      <c r="AC125" s="360"/>
      <c r="AD125" s="360"/>
      <c r="AE125" s="360"/>
      <c r="AG125" s="360"/>
      <c r="AH125" s="360"/>
      <c r="AI125" s="360"/>
      <c r="AJ125" s="360"/>
      <c r="AK125" s="360"/>
      <c r="AL125" s="360"/>
      <c r="AM125" s="360"/>
      <c r="AN125" s="360"/>
      <c r="AO125" s="360"/>
      <c r="AP125" s="360"/>
      <c r="AQ125" s="360"/>
      <c r="AR125" s="360"/>
      <c r="AS125" s="360"/>
      <c r="AT125" s="360"/>
      <c r="AV125" s="542"/>
      <c r="AW125" s="551"/>
      <c r="AX125" s="551"/>
      <c r="AY125" s="9"/>
      <c r="AZ125" s="48"/>
      <c r="BA125" s="360"/>
      <c r="BB125" s="360"/>
      <c r="BC125" s="360"/>
      <c r="BD125" s="360"/>
      <c r="BE125" s="360"/>
    </row>
    <row r="126" spans="8:57" x14ac:dyDescent="0.25">
      <c r="H126" s="548"/>
      <c r="I126" s="4"/>
      <c r="J126" s="4"/>
      <c r="L126" s="4"/>
      <c r="R126" s="360"/>
      <c r="S126" s="360"/>
      <c r="T126" s="360"/>
      <c r="U126" s="360"/>
      <c r="W126" s="360"/>
      <c r="X126" s="360"/>
      <c r="Y126" s="360"/>
      <c r="Z126" s="360"/>
      <c r="AA126" s="541"/>
      <c r="AB126" s="360"/>
      <c r="AC126" s="360"/>
      <c r="AD126" s="360"/>
      <c r="AE126" s="360"/>
      <c r="AG126" s="360"/>
      <c r="AH126" s="360"/>
      <c r="AI126" s="360"/>
      <c r="AJ126" s="360"/>
      <c r="AK126" s="360"/>
      <c r="AL126" s="360"/>
      <c r="AM126" s="360"/>
      <c r="AN126" s="360"/>
      <c r="AO126" s="360"/>
      <c r="AP126" s="360"/>
      <c r="AQ126" s="360"/>
      <c r="AR126" s="360"/>
      <c r="AS126" s="360"/>
      <c r="AT126" s="360"/>
      <c r="AV126" s="542"/>
      <c r="AW126" s="551"/>
      <c r="AX126" s="551"/>
      <c r="AY126" s="9"/>
      <c r="AZ126" s="48"/>
      <c r="BA126" s="360"/>
      <c r="BB126" s="360"/>
      <c r="BC126" s="360"/>
      <c r="BD126" s="360"/>
      <c r="BE126" s="360"/>
    </row>
    <row r="127" spans="8:57" x14ac:dyDescent="0.25">
      <c r="H127" s="548"/>
      <c r="I127" s="4"/>
      <c r="J127" s="4"/>
      <c r="L127" s="4"/>
      <c r="R127" s="360"/>
      <c r="S127" s="360"/>
      <c r="T127" s="360"/>
      <c r="U127" s="360"/>
      <c r="W127" s="360"/>
      <c r="X127" s="360"/>
      <c r="Y127" s="360"/>
      <c r="Z127" s="360"/>
      <c r="AA127" s="541"/>
      <c r="AB127" s="360"/>
      <c r="AC127" s="360"/>
      <c r="AD127" s="360"/>
      <c r="AE127" s="360"/>
      <c r="AG127" s="360"/>
      <c r="AH127" s="360"/>
      <c r="AI127" s="360"/>
      <c r="AJ127" s="360"/>
      <c r="AK127" s="360"/>
      <c r="AL127" s="360"/>
      <c r="AM127" s="360"/>
      <c r="AN127" s="360"/>
      <c r="AO127" s="360"/>
      <c r="AP127" s="360"/>
      <c r="AQ127" s="360"/>
      <c r="AR127" s="360"/>
      <c r="AS127" s="360"/>
      <c r="AT127" s="360"/>
      <c r="AV127" s="542"/>
      <c r="AW127" s="551"/>
      <c r="AX127" s="551"/>
      <c r="AY127" s="9"/>
      <c r="AZ127" s="48"/>
      <c r="BA127" s="360"/>
      <c r="BB127" s="360"/>
      <c r="BC127" s="360"/>
      <c r="BD127" s="360"/>
      <c r="BE127" s="360"/>
    </row>
    <row r="128" spans="8:57" x14ac:dyDescent="0.25">
      <c r="H128" s="548"/>
      <c r="I128" s="4"/>
      <c r="J128" s="4"/>
      <c r="L128" s="4"/>
      <c r="R128" s="360"/>
      <c r="S128" s="360"/>
      <c r="T128" s="360"/>
      <c r="U128" s="360"/>
      <c r="W128" s="360"/>
      <c r="X128" s="360"/>
      <c r="Y128" s="360"/>
      <c r="Z128" s="360"/>
      <c r="AA128" s="541"/>
      <c r="AB128" s="360"/>
      <c r="AC128" s="360"/>
      <c r="AD128" s="360"/>
      <c r="AE128" s="360"/>
      <c r="AG128" s="360"/>
      <c r="AH128" s="360"/>
      <c r="AI128" s="360"/>
      <c r="AJ128" s="360"/>
      <c r="AK128" s="360"/>
      <c r="AL128" s="360"/>
      <c r="AM128" s="360"/>
      <c r="AN128" s="360"/>
      <c r="AO128" s="360"/>
      <c r="AP128" s="360"/>
      <c r="AQ128" s="360"/>
      <c r="AR128" s="360"/>
      <c r="AS128" s="360"/>
      <c r="AT128" s="360"/>
      <c r="AV128" s="542"/>
      <c r="AW128" s="551"/>
      <c r="AX128" s="551"/>
      <c r="AY128" s="9"/>
      <c r="AZ128" s="48"/>
      <c r="BA128" s="360"/>
      <c r="BB128" s="360"/>
      <c r="BC128" s="360"/>
      <c r="BD128" s="360"/>
      <c r="BE128" s="360"/>
    </row>
    <row r="129" spans="8:57" x14ac:dyDescent="0.25">
      <c r="H129" s="548"/>
      <c r="I129" s="4"/>
      <c r="J129" s="4"/>
      <c r="L129" s="4"/>
      <c r="R129" s="360"/>
      <c r="S129" s="360"/>
      <c r="T129" s="360"/>
      <c r="U129" s="360"/>
      <c r="W129" s="360"/>
      <c r="X129" s="360"/>
      <c r="Y129" s="360"/>
      <c r="Z129" s="360"/>
      <c r="AA129" s="541"/>
      <c r="AB129" s="360"/>
      <c r="AC129" s="360"/>
      <c r="AD129" s="360"/>
      <c r="AE129" s="360"/>
      <c r="AG129" s="360"/>
      <c r="AH129" s="360"/>
      <c r="AI129" s="360"/>
      <c r="AJ129" s="360"/>
      <c r="AK129" s="360"/>
      <c r="AL129" s="360"/>
      <c r="AM129" s="360"/>
      <c r="AN129" s="360"/>
      <c r="AO129" s="360"/>
      <c r="AP129" s="360"/>
      <c r="AQ129" s="360"/>
      <c r="AR129" s="360"/>
      <c r="AS129" s="360"/>
      <c r="AT129" s="360"/>
      <c r="AV129" s="542"/>
      <c r="AW129" s="551"/>
      <c r="AX129" s="551"/>
      <c r="AY129" s="9"/>
      <c r="AZ129" s="48"/>
      <c r="BA129" s="360"/>
      <c r="BB129" s="360"/>
      <c r="BC129" s="360"/>
      <c r="BD129" s="360"/>
      <c r="BE129" s="360"/>
    </row>
    <row r="130" spans="8:57" x14ac:dyDescent="0.25">
      <c r="H130" s="548"/>
      <c r="I130" s="4"/>
      <c r="J130" s="4"/>
      <c r="L130" s="4"/>
      <c r="R130" s="360"/>
      <c r="S130" s="360"/>
      <c r="T130" s="360"/>
      <c r="U130" s="360"/>
      <c r="W130" s="360"/>
      <c r="X130" s="360"/>
      <c r="Y130" s="360"/>
      <c r="Z130" s="360"/>
      <c r="AA130" s="541"/>
      <c r="AB130" s="360"/>
      <c r="AC130" s="360"/>
      <c r="AD130" s="360"/>
      <c r="AE130" s="360"/>
      <c r="AG130" s="360"/>
      <c r="AH130" s="360"/>
      <c r="AI130" s="360"/>
      <c r="AJ130" s="360"/>
      <c r="AK130" s="360"/>
      <c r="AL130" s="360"/>
      <c r="AM130" s="360"/>
      <c r="AN130" s="360"/>
      <c r="AO130" s="360"/>
      <c r="AP130" s="360"/>
      <c r="AQ130" s="360"/>
      <c r="AR130" s="360"/>
      <c r="AS130" s="360"/>
      <c r="AT130" s="360"/>
      <c r="AV130" s="542"/>
      <c r="AW130" s="551"/>
      <c r="AX130" s="551"/>
      <c r="AY130" s="9"/>
      <c r="AZ130" s="48"/>
      <c r="BA130" s="360"/>
      <c r="BB130" s="360"/>
      <c r="BC130" s="360"/>
      <c r="BD130" s="360"/>
      <c r="BE130" s="360"/>
    </row>
    <row r="131" spans="8:57" x14ac:dyDescent="0.25">
      <c r="H131" s="548"/>
      <c r="I131" s="4"/>
      <c r="J131" s="4"/>
      <c r="L131" s="4"/>
      <c r="R131" s="360"/>
      <c r="S131" s="360"/>
      <c r="T131" s="360"/>
      <c r="U131" s="360"/>
      <c r="W131" s="360"/>
      <c r="X131" s="360"/>
      <c r="Y131" s="360"/>
      <c r="Z131" s="360"/>
      <c r="AA131" s="541"/>
      <c r="AB131" s="360"/>
      <c r="AC131" s="360"/>
      <c r="AD131" s="360"/>
      <c r="AE131" s="360"/>
      <c r="AG131" s="360"/>
      <c r="AH131" s="360"/>
      <c r="AI131" s="360"/>
      <c r="AJ131" s="360"/>
      <c r="AK131" s="360"/>
      <c r="AL131" s="360"/>
      <c r="AM131" s="360"/>
      <c r="AN131" s="360"/>
      <c r="AO131" s="360"/>
      <c r="AP131" s="360"/>
      <c r="AQ131" s="360"/>
      <c r="AR131" s="360"/>
      <c r="AS131" s="360"/>
      <c r="AT131" s="360"/>
      <c r="AV131" s="542"/>
      <c r="AW131" s="551"/>
      <c r="AX131" s="551"/>
      <c r="AY131" s="9"/>
      <c r="AZ131" s="48"/>
      <c r="BA131" s="360"/>
      <c r="BB131" s="360"/>
      <c r="BC131" s="360"/>
      <c r="BD131" s="360"/>
      <c r="BE131" s="360"/>
    </row>
    <row r="132" spans="8:57" x14ac:dyDescent="0.25">
      <c r="H132" s="548"/>
      <c r="I132" s="4"/>
      <c r="J132" s="4"/>
      <c r="L132" s="4"/>
      <c r="R132" s="360"/>
      <c r="S132" s="360"/>
      <c r="T132" s="360"/>
      <c r="U132" s="360"/>
      <c r="W132" s="360"/>
      <c r="X132" s="360"/>
      <c r="Y132" s="360"/>
      <c r="Z132" s="360"/>
      <c r="AA132" s="541"/>
      <c r="AB132" s="360"/>
      <c r="AC132" s="360"/>
      <c r="AD132" s="360"/>
      <c r="AE132" s="360"/>
      <c r="AG132" s="360"/>
      <c r="AH132" s="360"/>
      <c r="AI132" s="360"/>
      <c r="AJ132" s="360"/>
      <c r="AK132" s="360"/>
      <c r="AL132" s="360"/>
      <c r="AM132" s="360"/>
      <c r="AN132" s="360"/>
      <c r="AO132" s="360"/>
      <c r="AP132" s="360"/>
      <c r="AQ132" s="360"/>
      <c r="AR132" s="360"/>
      <c r="AS132" s="360"/>
      <c r="AT132" s="360"/>
      <c r="AV132" s="542"/>
      <c r="AW132" s="551"/>
      <c r="AX132" s="551"/>
      <c r="AY132" s="9"/>
      <c r="AZ132" s="48"/>
      <c r="BA132" s="360"/>
      <c r="BB132" s="360"/>
      <c r="BC132" s="360"/>
      <c r="BD132" s="360"/>
      <c r="BE132" s="360"/>
    </row>
    <row r="133" spans="8:57" x14ac:dyDescent="0.25">
      <c r="H133" s="548"/>
      <c r="I133" s="4"/>
      <c r="J133" s="4"/>
      <c r="L133" s="4"/>
      <c r="R133" s="360"/>
      <c r="S133" s="360"/>
      <c r="T133" s="360"/>
      <c r="U133" s="360"/>
      <c r="W133" s="360"/>
      <c r="X133" s="360"/>
      <c r="Y133" s="360"/>
      <c r="Z133" s="360"/>
      <c r="AA133" s="541"/>
      <c r="AB133" s="360"/>
      <c r="AC133" s="360"/>
      <c r="AD133" s="360"/>
      <c r="AE133" s="360"/>
      <c r="AG133" s="360"/>
      <c r="AH133" s="360"/>
      <c r="AI133" s="360"/>
      <c r="AJ133" s="360"/>
      <c r="AK133" s="360"/>
      <c r="AL133" s="360"/>
      <c r="AM133" s="360"/>
      <c r="AN133" s="360"/>
      <c r="AO133" s="360"/>
      <c r="AP133" s="360"/>
      <c r="AQ133" s="360"/>
      <c r="AR133" s="360"/>
      <c r="AS133" s="360"/>
      <c r="AT133" s="360"/>
      <c r="AV133" s="542"/>
      <c r="AW133" s="551"/>
      <c r="AX133" s="551"/>
      <c r="AY133" s="9"/>
      <c r="AZ133" s="48"/>
      <c r="BA133" s="360"/>
      <c r="BB133" s="360"/>
      <c r="BC133" s="360"/>
      <c r="BD133" s="360"/>
      <c r="BE133" s="360"/>
    </row>
    <row r="134" spans="8:57" x14ac:dyDescent="0.25">
      <c r="H134" s="548"/>
      <c r="I134" s="4"/>
      <c r="J134" s="4"/>
      <c r="L134" s="4"/>
      <c r="R134" s="360"/>
      <c r="S134" s="360"/>
      <c r="T134" s="360"/>
      <c r="U134" s="360"/>
      <c r="W134" s="360"/>
      <c r="X134" s="360"/>
      <c r="Y134" s="360"/>
      <c r="Z134" s="360"/>
      <c r="AA134" s="541"/>
      <c r="AB134" s="360"/>
      <c r="AC134" s="360"/>
      <c r="AD134" s="360"/>
      <c r="AE134" s="360"/>
      <c r="AG134" s="360"/>
      <c r="AH134" s="360"/>
      <c r="AI134" s="360"/>
      <c r="AJ134" s="360"/>
      <c r="AK134" s="360"/>
      <c r="AL134" s="360"/>
      <c r="AM134" s="360"/>
      <c r="AN134" s="360"/>
      <c r="AO134" s="360"/>
      <c r="AP134" s="360"/>
      <c r="AQ134" s="360"/>
      <c r="AR134" s="360"/>
      <c r="AS134" s="360"/>
      <c r="AT134" s="360"/>
      <c r="AV134" s="542"/>
      <c r="AW134" s="551"/>
      <c r="AX134" s="551"/>
      <c r="AY134" s="9"/>
      <c r="AZ134" s="48"/>
      <c r="BA134" s="360"/>
      <c r="BB134" s="360"/>
      <c r="BC134" s="360"/>
      <c r="BD134" s="360"/>
      <c r="BE134" s="360"/>
    </row>
    <row r="135" spans="8:57" x14ac:dyDescent="0.25">
      <c r="H135" s="548"/>
      <c r="I135" s="4"/>
      <c r="J135" s="4"/>
      <c r="L135" s="4"/>
      <c r="R135" s="360"/>
      <c r="S135" s="360"/>
      <c r="T135" s="360"/>
      <c r="U135" s="360"/>
      <c r="W135" s="360"/>
      <c r="X135" s="360"/>
      <c r="Y135" s="360"/>
      <c r="Z135" s="360"/>
      <c r="AA135" s="541"/>
      <c r="AB135" s="360"/>
      <c r="AC135" s="360"/>
      <c r="AD135" s="360"/>
      <c r="AE135" s="360"/>
      <c r="AG135" s="360"/>
      <c r="AH135" s="360"/>
      <c r="AI135" s="360"/>
      <c r="AJ135" s="360"/>
      <c r="AK135" s="360"/>
      <c r="AL135" s="360"/>
      <c r="AM135" s="360"/>
      <c r="AN135" s="360"/>
      <c r="AO135" s="360"/>
      <c r="AP135" s="360"/>
      <c r="AQ135" s="360"/>
      <c r="AR135" s="360"/>
      <c r="AS135" s="360"/>
      <c r="AT135" s="360"/>
      <c r="AV135" s="542"/>
      <c r="AW135" s="551"/>
      <c r="AX135" s="551"/>
      <c r="AY135" s="9"/>
      <c r="AZ135" s="48"/>
      <c r="BA135" s="360"/>
      <c r="BB135" s="360"/>
      <c r="BC135" s="360"/>
      <c r="BD135" s="360"/>
      <c r="BE135" s="360"/>
    </row>
    <row r="136" spans="8:57" x14ac:dyDescent="0.25">
      <c r="H136" s="548"/>
      <c r="I136" s="4"/>
      <c r="J136" s="4"/>
      <c r="L136" s="4"/>
      <c r="R136" s="360"/>
      <c r="S136" s="360"/>
      <c r="T136" s="360"/>
      <c r="U136" s="360"/>
      <c r="W136" s="360"/>
      <c r="X136" s="360"/>
      <c r="Y136" s="360"/>
      <c r="Z136" s="360"/>
      <c r="AA136" s="541"/>
      <c r="AB136" s="360"/>
      <c r="AC136" s="360"/>
      <c r="AD136" s="360"/>
      <c r="AE136" s="360"/>
      <c r="AG136" s="360"/>
      <c r="AH136" s="360"/>
      <c r="AI136" s="360"/>
      <c r="AJ136" s="360"/>
      <c r="AK136" s="360"/>
      <c r="AL136" s="360"/>
      <c r="AM136" s="360"/>
      <c r="AN136" s="360"/>
      <c r="AO136" s="360"/>
      <c r="AP136" s="360"/>
      <c r="AQ136" s="360"/>
      <c r="AR136" s="360"/>
      <c r="AS136" s="360"/>
      <c r="AT136" s="360"/>
      <c r="AV136" s="542"/>
      <c r="AW136" s="551"/>
      <c r="AX136" s="551"/>
      <c r="AY136" s="9"/>
      <c r="AZ136" s="48"/>
      <c r="BA136" s="360"/>
      <c r="BB136" s="360"/>
      <c r="BC136" s="360"/>
      <c r="BD136" s="360"/>
      <c r="BE136" s="360"/>
    </row>
    <row r="137" spans="8:57" x14ac:dyDescent="0.25">
      <c r="H137" s="548"/>
      <c r="I137" s="4"/>
      <c r="J137" s="4"/>
      <c r="L137" s="4"/>
      <c r="R137" s="360"/>
      <c r="S137" s="360"/>
      <c r="T137" s="360"/>
      <c r="U137" s="360"/>
      <c r="W137" s="360"/>
      <c r="X137" s="360"/>
      <c r="Y137" s="360"/>
      <c r="Z137" s="360"/>
      <c r="AA137" s="541"/>
      <c r="AB137" s="360"/>
      <c r="AC137" s="360"/>
      <c r="AD137" s="360"/>
      <c r="AE137" s="360"/>
      <c r="AG137" s="360"/>
      <c r="AH137" s="360"/>
      <c r="AI137" s="360"/>
      <c r="AJ137" s="360"/>
      <c r="AK137" s="360"/>
      <c r="AL137" s="360"/>
      <c r="AM137" s="360"/>
      <c r="AN137" s="360"/>
      <c r="AO137" s="360"/>
      <c r="AP137" s="360"/>
      <c r="AQ137" s="360"/>
      <c r="AR137" s="360"/>
      <c r="AS137" s="360"/>
      <c r="AT137" s="360"/>
      <c r="AV137" s="542"/>
      <c r="AW137" s="551"/>
      <c r="AX137" s="551"/>
      <c r="AY137" s="9"/>
      <c r="AZ137" s="48"/>
      <c r="BA137" s="360"/>
      <c r="BB137" s="360"/>
      <c r="BC137" s="360"/>
      <c r="BD137" s="360"/>
      <c r="BE137" s="360"/>
    </row>
    <row r="138" spans="8:57" x14ac:dyDescent="0.25">
      <c r="H138" s="548"/>
      <c r="I138" s="4"/>
      <c r="J138" s="4"/>
      <c r="L138" s="4"/>
      <c r="R138" s="360"/>
      <c r="S138" s="360"/>
      <c r="T138" s="360"/>
      <c r="U138" s="360"/>
      <c r="W138" s="360"/>
      <c r="X138" s="360"/>
      <c r="Y138" s="360"/>
      <c r="Z138" s="360"/>
      <c r="AA138" s="541"/>
      <c r="AB138" s="360"/>
      <c r="AC138" s="360"/>
      <c r="AD138" s="360"/>
      <c r="AE138" s="360"/>
      <c r="AG138" s="360"/>
      <c r="AH138" s="360"/>
      <c r="AI138" s="360"/>
      <c r="AJ138" s="360"/>
      <c r="AK138" s="360"/>
      <c r="AL138" s="360"/>
      <c r="AM138" s="360"/>
      <c r="AN138" s="360"/>
      <c r="AO138" s="360"/>
      <c r="AP138" s="360"/>
      <c r="AQ138" s="360"/>
      <c r="AR138" s="360"/>
      <c r="AS138" s="360"/>
      <c r="AT138" s="360"/>
      <c r="AV138" s="542"/>
      <c r="AW138" s="551"/>
      <c r="AX138" s="551"/>
      <c r="AY138" s="9"/>
      <c r="AZ138" s="48"/>
      <c r="BA138" s="360"/>
      <c r="BB138" s="360"/>
      <c r="BC138" s="360"/>
      <c r="BD138" s="360"/>
      <c r="BE138" s="360"/>
    </row>
    <row r="139" spans="8:57" x14ac:dyDescent="0.25">
      <c r="H139" s="548"/>
      <c r="I139" s="4"/>
      <c r="J139" s="4"/>
      <c r="L139" s="4"/>
      <c r="R139" s="360"/>
      <c r="S139" s="360"/>
      <c r="T139" s="360"/>
      <c r="U139" s="360"/>
      <c r="W139" s="360"/>
      <c r="X139" s="360"/>
      <c r="Y139" s="360"/>
      <c r="Z139" s="360"/>
      <c r="AA139" s="541"/>
      <c r="AB139" s="360"/>
      <c r="AC139" s="360"/>
      <c r="AD139" s="360"/>
      <c r="AE139" s="360"/>
      <c r="AG139" s="360"/>
      <c r="AH139" s="360"/>
      <c r="AI139" s="360"/>
      <c r="AJ139" s="360"/>
      <c r="AK139" s="360"/>
      <c r="AL139" s="360"/>
      <c r="AM139" s="360"/>
      <c r="AN139" s="360"/>
      <c r="AO139" s="360"/>
      <c r="AP139" s="360"/>
      <c r="AQ139" s="360"/>
      <c r="AR139" s="360"/>
      <c r="AS139" s="360"/>
      <c r="AT139" s="360"/>
      <c r="AV139" s="542"/>
      <c r="AW139" s="551"/>
      <c r="AX139" s="551"/>
      <c r="AY139" s="9"/>
      <c r="AZ139" s="48"/>
      <c r="BA139" s="360"/>
      <c r="BB139" s="360"/>
      <c r="BC139" s="360"/>
      <c r="BD139" s="360"/>
      <c r="BE139" s="360"/>
    </row>
    <row r="140" spans="8:57" x14ac:dyDescent="0.25">
      <c r="H140" s="548"/>
      <c r="I140" s="4"/>
      <c r="J140" s="4"/>
      <c r="L140" s="4"/>
      <c r="R140" s="360"/>
      <c r="S140" s="360"/>
      <c r="T140" s="360"/>
      <c r="U140" s="360"/>
      <c r="W140" s="360"/>
      <c r="X140" s="360"/>
      <c r="Y140" s="360"/>
      <c r="Z140" s="360"/>
      <c r="AA140" s="541"/>
      <c r="AB140" s="360"/>
      <c r="AC140" s="360"/>
      <c r="AD140" s="360"/>
      <c r="AE140" s="360"/>
      <c r="AG140" s="360"/>
      <c r="AH140" s="360"/>
      <c r="AI140" s="360"/>
      <c r="AJ140" s="360"/>
      <c r="AK140" s="360"/>
      <c r="AL140" s="360"/>
      <c r="AM140" s="360"/>
      <c r="AN140" s="360"/>
      <c r="AO140" s="360"/>
      <c r="AP140" s="360"/>
      <c r="AQ140" s="360"/>
      <c r="AR140" s="360"/>
      <c r="AS140" s="360"/>
      <c r="AT140" s="360"/>
      <c r="AV140" s="542"/>
      <c r="AW140" s="551"/>
      <c r="AX140" s="551"/>
      <c r="AY140" s="9"/>
      <c r="AZ140" s="48"/>
      <c r="BA140" s="360"/>
      <c r="BB140" s="360"/>
      <c r="BC140" s="360"/>
      <c r="BD140" s="360"/>
      <c r="BE140" s="360"/>
    </row>
    <row r="141" spans="8:57" x14ac:dyDescent="0.25">
      <c r="H141" s="548"/>
      <c r="I141" s="4"/>
      <c r="J141" s="4"/>
      <c r="L141" s="4"/>
      <c r="R141" s="360"/>
      <c r="S141" s="360"/>
      <c r="T141" s="360"/>
      <c r="U141" s="360"/>
      <c r="W141" s="360"/>
      <c r="X141" s="360"/>
      <c r="Y141" s="360"/>
      <c r="Z141" s="360"/>
      <c r="AA141" s="541"/>
      <c r="AB141" s="360"/>
      <c r="AC141" s="360"/>
      <c r="AD141" s="360"/>
      <c r="AE141" s="360"/>
      <c r="AG141" s="360"/>
      <c r="AH141" s="360"/>
      <c r="AI141" s="360"/>
      <c r="AJ141" s="360"/>
      <c r="AK141" s="360"/>
      <c r="AL141" s="360"/>
      <c r="AM141" s="360"/>
      <c r="AN141" s="360"/>
      <c r="AO141" s="360"/>
      <c r="AP141" s="360"/>
      <c r="AQ141" s="360"/>
      <c r="AR141" s="360"/>
      <c r="AS141" s="360"/>
      <c r="AT141" s="360"/>
      <c r="AV141" s="542"/>
      <c r="AW141" s="551"/>
      <c r="AX141" s="551"/>
      <c r="AY141" s="9"/>
      <c r="AZ141" s="48"/>
      <c r="BA141" s="360"/>
      <c r="BB141" s="360"/>
      <c r="BC141" s="360"/>
      <c r="BD141" s="360"/>
      <c r="BE141" s="360"/>
    </row>
    <row r="142" spans="8:57" x14ac:dyDescent="0.25">
      <c r="H142" s="548"/>
      <c r="I142" s="4"/>
      <c r="J142" s="4"/>
      <c r="L142" s="4"/>
      <c r="R142" s="360"/>
      <c r="S142" s="360"/>
      <c r="T142" s="360"/>
      <c r="U142" s="360"/>
      <c r="W142" s="360"/>
      <c r="X142" s="360"/>
      <c r="Y142" s="360"/>
      <c r="Z142" s="360"/>
      <c r="AA142" s="541"/>
      <c r="AB142" s="360"/>
      <c r="AC142" s="360"/>
      <c r="AD142" s="360"/>
      <c r="AE142" s="360"/>
      <c r="AG142" s="360"/>
      <c r="AH142" s="360"/>
      <c r="AI142" s="360"/>
      <c r="AJ142" s="360"/>
      <c r="AK142" s="360"/>
      <c r="AL142" s="360"/>
      <c r="AM142" s="360"/>
      <c r="AN142" s="360"/>
      <c r="AO142" s="360"/>
      <c r="AP142" s="360"/>
      <c r="AQ142" s="360"/>
      <c r="AR142" s="360"/>
      <c r="AS142" s="360"/>
      <c r="AT142" s="360"/>
      <c r="AV142" s="542"/>
      <c r="AW142" s="551"/>
      <c r="AX142" s="551"/>
      <c r="AY142" s="9"/>
      <c r="AZ142" s="48"/>
      <c r="BA142" s="360"/>
      <c r="BB142" s="360"/>
      <c r="BC142" s="360"/>
      <c r="BD142" s="360"/>
      <c r="BE142" s="360"/>
    </row>
    <row r="143" spans="8:57" x14ac:dyDescent="0.25">
      <c r="H143" s="548"/>
      <c r="I143" s="4"/>
      <c r="J143" s="4"/>
      <c r="L143" s="4"/>
      <c r="R143" s="360"/>
      <c r="S143" s="360"/>
      <c r="T143" s="360"/>
      <c r="U143" s="360"/>
      <c r="W143" s="360"/>
      <c r="X143" s="360"/>
      <c r="Y143" s="360"/>
      <c r="Z143" s="360"/>
      <c r="AA143" s="541"/>
      <c r="AB143" s="360"/>
      <c r="AC143" s="360"/>
      <c r="AD143" s="360"/>
      <c r="AE143" s="360"/>
      <c r="AG143" s="360"/>
      <c r="AH143" s="360"/>
      <c r="AI143" s="360"/>
      <c r="AJ143" s="360"/>
      <c r="AK143" s="360"/>
      <c r="AL143" s="360"/>
      <c r="AM143" s="360"/>
      <c r="AN143" s="360"/>
      <c r="AO143" s="360"/>
      <c r="AP143" s="360"/>
      <c r="AQ143" s="360"/>
      <c r="AR143" s="360"/>
      <c r="AS143" s="360"/>
      <c r="AT143" s="360"/>
      <c r="AV143" s="542"/>
      <c r="AW143" s="551"/>
      <c r="AX143" s="551"/>
      <c r="AY143" s="9"/>
      <c r="AZ143" s="48"/>
      <c r="BA143" s="360"/>
      <c r="BB143" s="360"/>
      <c r="BC143" s="360"/>
      <c r="BD143" s="360"/>
      <c r="BE143" s="360"/>
    </row>
    <row r="144" spans="8:57" x14ac:dyDescent="0.25">
      <c r="H144" s="548"/>
      <c r="I144" s="4"/>
      <c r="J144" s="4"/>
      <c r="L144" s="4"/>
      <c r="R144" s="360"/>
      <c r="S144" s="360"/>
      <c r="T144" s="360"/>
      <c r="U144" s="360"/>
      <c r="W144" s="360"/>
      <c r="X144" s="360"/>
      <c r="Y144" s="360"/>
      <c r="Z144" s="360"/>
      <c r="AA144" s="541"/>
      <c r="AB144" s="360"/>
      <c r="AC144" s="360"/>
      <c r="AD144" s="360"/>
      <c r="AE144" s="360"/>
      <c r="AG144" s="360"/>
      <c r="AH144" s="360"/>
      <c r="AI144" s="360"/>
      <c r="AJ144" s="360"/>
      <c r="AK144" s="360"/>
      <c r="AL144" s="360"/>
      <c r="AM144" s="360"/>
      <c r="AN144" s="360"/>
      <c r="AO144" s="360"/>
      <c r="AP144" s="360"/>
      <c r="AQ144" s="360"/>
      <c r="AR144" s="360"/>
      <c r="AS144" s="360"/>
      <c r="AT144" s="360"/>
      <c r="AV144" s="542"/>
      <c r="AW144" s="551"/>
      <c r="AX144" s="551"/>
      <c r="AY144" s="9"/>
      <c r="AZ144" s="48"/>
      <c r="BA144" s="360"/>
      <c r="BB144" s="360"/>
      <c r="BC144" s="360"/>
      <c r="BD144" s="360"/>
      <c r="BE144" s="360"/>
    </row>
    <row r="145" spans="8:57" x14ac:dyDescent="0.25">
      <c r="H145" s="548"/>
      <c r="I145" s="4"/>
      <c r="J145" s="4"/>
      <c r="L145" s="4"/>
      <c r="R145" s="360"/>
      <c r="S145" s="360"/>
      <c r="T145" s="360"/>
      <c r="U145" s="360"/>
      <c r="W145" s="360"/>
      <c r="X145" s="360"/>
      <c r="Y145" s="360"/>
      <c r="Z145" s="360"/>
      <c r="AA145" s="541"/>
      <c r="AB145" s="360"/>
      <c r="AC145" s="360"/>
      <c r="AD145" s="360"/>
      <c r="AE145" s="360"/>
      <c r="AG145" s="360"/>
      <c r="AH145" s="360"/>
      <c r="AI145" s="360"/>
      <c r="AJ145" s="360"/>
      <c r="AK145" s="360"/>
      <c r="AL145" s="360"/>
      <c r="AM145" s="360"/>
      <c r="AN145" s="360"/>
      <c r="AO145" s="360"/>
      <c r="AP145" s="360"/>
      <c r="AQ145" s="360"/>
      <c r="AR145" s="360"/>
      <c r="AS145" s="360"/>
      <c r="AT145" s="360"/>
      <c r="AV145" s="542"/>
      <c r="AW145" s="551"/>
      <c r="AX145" s="551"/>
      <c r="AY145" s="9"/>
      <c r="AZ145" s="48"/>
      <c r="BA145" s="360"/>
      <c r="BB145" s="360"/>
      <c r="BC145" s="360"/>
      <c r="BD145" s="360"/>
      <c r="BE145" s="360"/>
    </row>
    <row r="146" spans="8:57" x14ac:dyDescent="0.25">
      <c r="H146" s="548"/>
      <c r="I146" s="4"/>
      <c r="J146" s="4"/>
      <c r="L146" s="4"/>
      <c r="R146" s="360"/>
      <c r="S146" s="360"/>
      <c r="T146" s="360"/>
      <c r="U146" s="360"/>
      <c r="W146" s="360"/>
      <c r="X146" s="360"/>
      <c r="Y146" s="360"/>
      <c r="Z146" s="360"/>
      <c r="AA146" s="541"/>
      <c r="AB146" s="360"/>
      <c r="AC146" s="360"/>
      <c r="AD146" s="360"/>
      <c r="AE146" s="360"/>
      <c r="AG146" s="360"/>
      <c r="AH146" s="360"/>
      <c r="AI146" s="360"/>
      <c r="AJ146" s="360"/>
      <c r="AK146" s="360"/>
      <c r="AL146" s="360"/>
      <c r="AM146" s="360"/>
      <c r="AN146" s="360"/>
      <c r="AO146" s="360"/>
      <c r="AP146" s="360"/>
      <c r="AQ146" s="360"/>
      <c r="AR146" s="360"/>
      <c r="AS146" s="360"/>
      <c r="AT146" s="360"/>
      <c r="AV146" s="542"/>
      <c r="AW146" s="551"/>
      <c r="AX146" s="551"/>
      <c r="AY146" s="9"/>
      <c r="AZ146" s="48"/>
      <c r="BA146" s="360"/>
      <c r="BB146" s="360"/>
      <c r="BC146" s="360"/>
      <c r="BD146" s="360"/>
      <c r="BE146" s="360"/>
    </row>
    <row r="147" spans="8:57" x14ac:dyDescent="0.25">
      <c r="H147" s="548"/>
      <c r="I147" s="4"/>
      <c r="J147" s="4"/>
      <c r="L147" s="4"/>
      <c r="R147" s="360"/>
      <c r="S147" s="360"/>
      <c r="T147" s="360"/>
      <c r="U147" s="360"/>
      <c r="W147" s="360"/>
      <c r="X147" s="360"/>
      <c r="Y147" s="360"/>
      <c r="Z147" s="360"/>
      <c r="AA147" s="541"/>
      <c r="AB147" s="360"/>
      <c r="AC147" s="360"/>
      <c r="AD147" s="360"/>
      <c r="AE147" s="360"/>
      <c r="AG147" s="360"/>
      <c r="AH147" s="360"/>
      <c r="AI147" s="360"/>
      <c r="AJ147" s="360"/>
      <c r="AK147" s="360"/>
      <c r="AL147" s="360"/>
      <c r="AM147" s="360"/>
      <c r="AN147" s="360"/>
      <c r="AO147" s="360"/>
      <c r="AP147" s="360"/>
      <c r="AQ147" s="360"/>
      <c r="AR147" s="360"/>
      <c r="AS147" s="360"/>
      <c r="AT147" s="360"/>
      <c r="AV147" s="542"/>
      <c r="AW147" s="551"/>
      <c r="AX147" s="551"/>
      <c r="AY147" s="9"/>
      <c r="AZ147" s="48"/>
      <c r="BA147" s="360"/>
      <c r="BB147" s="360"/>
      <c r="BC147" s="360"/>
      <c r="BD147" s="360"/>
      <c r="BE147" s="360"/>
    </row>
    <row r="148" spans="8:57" x14ac:dyDescent="0.25">
      <c r="H148" s="548"/>
      <c r="I148" s="4"/>
      <c r="J148" s="4"/>
      <c r="L148" s="4"/>
      <c r="R148" s="360"/>
      <c r="S148" s="360"/>
      <c r="T148" s="360"/>
      <c r="U148" s="360"/>
      <c r="W148" s="360"/>
      <c r="X148" s="360"/>
      <c r="Y148" s="360"/>
      <c r="Z148" s="360"/>
      <c r="AA148" s="541"/>
      <c r="AB148" s="360"/>
      <c r="AC148" s="360"/>
      <c r="AD148" s="360"/>
      <c r="AE148" s="360"/>
      <c r="AG148" s="360"/>
      <c r="AH148" s="360"/>
      <c r="AI148" s="360"/>
      <c r="AJ148" s="360"/>
      <c r="AK148" s="360"/>
      <c r="AL148" s="360"/>
      <c r="AM148" s="360"/>
      <c r="AN148" s="360"/>
      <c r="AO148" s="360"/>
      <c r="AP148" s="360"/>
      <c r="AQ148" s="360"/>
      <c r="AR148" s="360"/>
      <c r="AS148" s="360"/>
      <c r="AT148" s="360"/>
      <c r="AV148" s="542"/>
      <c r="AW148" s="551"/>
      <c r="AX148" s="551"/>
      <c r="AY148" s="9"/>
      <c r="AZ148" s="48"/>
      <c r="BA148" s="360"/>
      <c r="BB148" s="360"/>
      <c r="BC148" s="360"/>
      <c r="BD148" s="360"/>
      <c r="BE148" s="360"/>
    </row>
    <row r="149" spans="8:57" x14ac:dyDescent="0.25">
      <c r="H149" s="548"/>
      <c r="I149" s="4"/>
      <c r="J149" s="4"/>
      <c r="L149" s="4"/>
      <c r="R149" s="360"/>
      <c r="S149" s="360"/>
      <c r="T149" s="360"/>
      <c r="U149" s="360"/>
      <c r="W149" s="360"/>
      <c r="X149" s="360"/>
      <c r="Y149" s="360"/>
      <c r="Z149" s="360"/>
      <c r="AA149" s="541"/>
      <c r="AB149" s="360"/>
      <c r="AC149" s="360"/>
      <c r="AD149" s="360"/>
      <c r="AE149" s="360"/>
      <c r="AG149" s="360"/>
      <c r="AH149" s="360"/>
      <c r="AI149" s="360"/>
      <c r="AJ149" s="360"/>
      <c r="AK149" s="360"/>
      <c r="AL149" s="360"/>
      <c r="AM149" s="360"/>
      <c r="AN149" s="360"/>
      <c r="AO149" s="360"/>
      <c r="AP149" s="360"/>
      <c r="AQ149" s="360"/>
      <c r="AR149" s="360"/>
      <c r="AS149" s="360"/>
      <c r="AT149" s="360"/>
      <c r="AV149" s="542"/>
      <c r="AW149" s="551"/>
      <c r="AX149" s="551"/>
      <c r="AY149" s="9"/>
      <c r="AZ149" s="48"/>
      <c r="BA149" s="360"/>
      <c r="BB149" s="360"/>
      <c r="BC149" s="360"/>
      <c r="BD149" s="360"/>
      <c r="BE149" s="360"/>
    </row>
    <row r="150" spans="8:57" x14ac:dyDescent="0.25">
      <c r="H150" s="548"/>
      <c r="I150" s="4"/>
      <c r="J150" s="4"/>
      <c r="L150" s="4"/>
      <c r="R150" s="360"/>
      <c r="S150" s="360"/>
      <c r="T150" s="360"/>
      <c r="U150" s="360"/>
      <c r="W150" s="360"/>
      <c r="X150" s="360"/>
      <c r="Y150" s="360"/>
      <c r="Z150" s="360"/>
      <c r="AA150" s="541"/>
      <c r="AB150" s="360"/>
      <c r="AC150" s="360"/>
      <c r="AD150" s="360"/>
      <c r="AE150" s="360"/>
      <c r="AG150" s="360"/>
      <c r="AH150" s="360"/>
      <c r="AI150" s="360"/>
      <c r="AJ150" s="360"/>
      <c r="AK150" s="360"/>
      <c r="AL150" s="360"/>
      <c r="AM150" s="360"/>
      <c r="AN150" s="360"/>
      <c r="AO150" s="360"/>
      <c r="AP150" s="360"/>
      <c r="AQ150" s="360"/>
      <c r="AR150" s="360"/>
      <c r="AS150" s="360"/>
      <c r="AT150" s="360"/>
      <c r="AV150" s="542"/>
      <c r="AW150" s="551"/>
      <c r="AX150" s="551"/>
      <c r="AY150" s="9"/>
      <c r="AZ150" s="48"/>
      <c r="BA150" s="360"/>
      <c r="BB150" s="360"/>
      <c r="BC150" s="360"/>
      <c r="BD150" s="360"/>
      <c r="BE150" s="360"/>
    </row>
    <row r="151" spans="8:57" x14ac:dyDescent="0.25">
      <c r="H151" s="548"/>
      <c r="I151" s="4"/>
      <c r="J151" s="4"/>
      <c r="L151" s="4"/>
      <c r="R151" s="360"/>
      <c r="S151" s="360"/>
      <c r="T151" s="360"/>
      <c r="U151" s="360"/>
      <c r="W151" s="360"/>
      <c r="X151" s="360"/>
      <c r="Y151" s="360"/>
      <c r="Z151" s="360"/>
      <c r="AA151" s="541"/>
      <c r="AB151" s="360"/>
      <c r="AC151" s="360"/>
      <c r="AD151" s="360"/>
      <c r="AE151" s="360"/>
      <c r="AG151" s="360"/>
      <c r="AH151" s="360"/>
      <c r="AI151" s="360"/>
      <c r="AJ151" s="360"/>
      <c r="AK151" s="360"/>
      <c r="AL151" s="360"/>
      <c r="AM151" s="360"/>
      <c r="AN151" s="360"/>
      <c r="AO151" s="360"/>
      <c r="AP151" s="360"/>
      <c r="AQ151" s="360"/>
      <c r="AR151" s="360"/>
      <c r="AS151" s="360"/>
      <c r="AT151" s="360"/>
      <c r="AV151" s="542"/>
      <c r="AW151" s="551"/>
      <c r="AX151" s="551"/>
      <c r="AY151" s="9"/>
      <c r="AZ151" s="48"/>
      <c r="BA151" s="360"/>
      <c r="BB151" s="360"/>
      <c r="BC151" s="360"/>
      <c r="BD151" s="360"/>
      <c r="BE151" s="360"/>
    </row>
    <row r="152" spans="8:57" x14ac:dyDescent="0.25">
      <c r="H152" s="548"/>
      <c r="I152" s="4"/>
      <c r="J152" s="4"/>
      <c r="L152" s="4"/>
      <c r="R152" s="360"/>
      <c r="S152" s="360"/>
      <c r="T152" s="360"/>
      <c r="U152" s="360"/>
      <c r="W152" s="360"/>
      <c r="X152" s="360"/>
      <c r="Y152" s="360"/>
      <c r="Z152" s="360"/>
      <c r="AA152" s="541"/>
      <c r="AB152" s="360"/>
      <c r="AC152" s="360"/>
      <c r="AD152" s="360"/>
      <c r="AE152" s="360"/>
      <c r="AG152" s="360"/>
      <c r="AH152" s="360"/>
      <c r="AI152" s="360"/>
      <c r="AJ152" s="360"/>
      <c r="AK152" s="360"/>
      <c r="AL152" s="360"/>
      <c r="AM152" s="360"/>
      <c r="AN152" s="360"/>
      <c r="AO152" s="360"/>
      <c r="AP152" s="360"/>
      <c r="AQ152" s="360"/>
      <c r="AR152" s="360"/>
      <c r="AS152" s="360"/>
      <c r="AT152" s="360"/>
      <c r="AV152" s="542"/>
      <c r="AW152" s="551"/>
      <c r="AX152" s="551"/>
      <c r="AY152" s="9"/>
      <c r="AZ152" s="48"/>
      <c r="BA152" s="360"/>
      <c r="BB152" s="360"/>
      <c r="BC152" s="360"/>
      <c r="BD152" s="360"/>
      <c r="BE152" s="360"/>
    </row>
    <row r="153" spans="8:57" x14ac:dyDescent="0.25">
      <c r="H153" s="548"/>
      <c r="I153" s="4"/>
      <c r="J153" s="4"/>
      <c r="L153" s="4"/>
      <c r="R153" s="360"/>
      <c r="S153" s="360"/>
      <c r="T153" s="360"/>
      <c r="U153" s="360"/>
      <c r="W153" s="360"/>
      <c r="X153" s="360"/>
      <c r="Y153" s="360"/>
      <c r="Z153" s="360"/>
      <c r="AA153" s="541"/>
      <c r="AB153" s="360"/>
      <c r="AC153" s="360"/>
      <c r="AD153" s="360"/>
      <c r="AE153" s="360"/>
      <c r="AG153" s="360"/>
      <c r="AH153" s="360"/>
      <c r="AI153" s="360"/>
      <c r="AJ153" s="360"/>
      <c r="AK153" s="360"/>
      <c r="AL153" s="360"/>
      <c r="AM153" s="360"/>
      <c r="AN153" s="360"/>
      <c r="AO153" s="360"/>
      <c r="AP153" s="360"/>
      <c r="AQ153" s="360"/>
      <c r="AR153" s="360"/>
      <c r="AS153" s="360"/>
      <c r="AT153" s="360"/>
      <c r="AV153" s="542"/>
      <c r="AW153" s="551"/>
      <c r="AX153" s="551"/>
      <c r="AY153" s="9"/>
      <c r="AZ153" s="48"/>
      <c r="BA153" s="360"/>
      <c r="BB153" s="360"/>
      <c r="BC153" s="360"/>
      <c r="BD153" s="360"/>
      <c r="BE153" s="360"/>
    </row>
    <row r="154" spans="8:57" x14ac:dyDescent="0.25">
      <c r="H154" s="548"/>
      <c r="I154" s="4"/>
      <c r="J154" s="4"/>
      <c r="L154" s="4"/>
      <c r="R154" s="360"/>
      <c r="S154" s="360"/>
      <c r="T154" s="360"/>
      <c r="U154" s="360"/>
      <c r="W154" s="360"/>
      <c r="X154" s="360"/>
      <c r="Y154" s="360"/>
      <c r="Z154" s="360"/>
      <c r="AA154" s="541"/>
      <c r="AB154" s="360"/>
      <c r="AC154" s="360"/>
      <c r="AD154" s="360"/>
      <c r="AE154" s="360"/>
      <c r="AG154" s="360"/>
      <c r="AH154" s="360"/>
      <c r="AI154" s="360"/>
      <c r="AJ154" s="360"/>
      <c r="AK154" s="360"/>
      <c r="AL154" s="360"/>
      <c r="AM154" s="360"/>
      <c r="AN154" s="360"/>
      <c r="AO154" s="360"/>
      <c r="AP154" s="360"/>
      <c r="AQ154" s="360"/>
      <c r="AR154" s="360"/>
      <c r="AS154" s="360"/>
      <c r="AT154" s="360"/>
      <c r="AV154" s="542"/>
      <c r="AW154" s="551"/>
      <c r="AX154" s="551"/>
      <c r="AY154" s="9"/>
      <c r="AZ154" s="48"/>
      <c r="BA154" s="360"/>
      <c r="BB154" s="360"/>
      <c r="BC154" s="360"/>
      <c r="BD154" s="360"/>
      <c r="BE154" s="360"/>
    </row>
    <row r="155" spans="8:57" x14ac:dyDescent="0.25">
      <c r="H155" s="548"/>
      <c r="I155" s="4"/>
      <c r="J155" s="4"/>
      <c r="L155" s="4"/>
      <c r="R155" s="360"/>
      <c r="S155" s="360"/>
      <c r="T155" s="360"/>
      <c r="U155" s="360"/>
      <c r="W155" s="360"/>
      <c r="X155" s="360"/>
      <c r="Y155" s="360"/>
      <c r="Z155" s="360"/>
      <c r="AA155" s="541"/>
      <c r="AB155" s="360"/>
      <c r="AC155" s="360"/>
      <c r="AD155" s="360"/>
      <c r="AE155" s="360"/>
      <c r="AG155" s="360"/>
      <c r="AH155" s="360"/>
      <c r="AI155" s="360"/>
      <c r="AJ155" s="360"/>
      <c r="AK155" s="360"/>
      <c r="AL155" s="360"/>
      <c r="AM155" s="360"/>
      <c r="AN155" s="360"/>
      <c r="AO155" s="360"/>
      <c r="AP155" s="360"/>
      <c r="AQ155" s="360"/>
      <c r="AR155" s="360"/>
      <c r="AS155" s="360"/>
      <c r="AT155" s="360"/>
      <c r="AV155" s="542"/>
      <c r="AW155" s="551"/>
      <c r="AX155" s="551"/>
      <c r="AY155" s="9"/>
      <c r="AZ155" s="48"/>
      <c r="BA155" s="360"/>
      <c r="BB155" s="360"/>
      <c r="BC155" s="360"/>
      <c r="BD155" s="360"/>
      <c r="BE155" s="360"/>
    </row>
    <row r="156" spans="8:57" x14ac:dyDescent="0.25">
      <c r="H156" s="548"/>
      <c r="I156" s="4"/>
      <c r="J156" s="4"/>
      <c r="L156" s="4"/>
      <c r="R156" s="360"/>
      <c r="S156" s="360"/>
      <c r="T156" s="360"/>
      <c r="U156" s="360"/>
      <c r="W156" s="360"/>
      <c r="X156" s="360"/>
      <c r="Y156" s="360"/>
      <c r="Z156" s="360"/>
      <c r="AA156" s="541"/>
      <c r="AB156" s="360"/>
      <c r="AC156" s="360"/>
      <c r="AD156" s="360"/>
      <c r="AE156" s="360"/>
      <c r="AG156" s="360"/>
      <c r="AH156" s="360"/>
      <c r="AI156" s="360"/>
      <c r="AJ156" s="360"/>
      <c r="AK156" s="360"/>
      <c r="AL156" s="360"/>
      <c r="AM156" s="360"/>
      <c r="AN156" s="360"/>
      <c r="AO156" s="360"/>
      <c r="AP156" s="360"/>
      <c r="AQ156" s="360"/>
      <c r="AR156" s="360"/>
      <c r="AS156" s="360"/>
      <c r="AT156" s="360"/>
      <c r="AV156" s="542"/>
      <c r="AW156" s="551"/>
      <c r="AX156" s="551"/>
      <c r="AY156" s="9"/>
      <c r="AZ156" s="48"/>
      <c r="BA156" s="360"/>
      <c r="BB156" s="360"/>
      <c r="BC156" s="360"/>
      <c r="BD156" s="360"/>
      <c r="BE156" s="360"/>
    </row>
    <row r="157" spans="8:57" x14ac:dyDescent="0.25">
      <c r="H157" s="548"/>
      <c r="I157" s="4"/>
      <c r="J157" s="4"/>
      <c r="L157" s="4"/>
      <c r="R157" s="360"/>
      <c r="S157" s="360"/>
      <c r="T157" s="360"/>
      <c r="U157" s="360"/>
      <c r="W157" s="360"/>
      <c r="X157" s="360"/>
      <c r="Y157" s="360"/>
      <c r="Z157" s="360"/>
      <c r="AA157" s="541"/>
      <c r="AB157" s="360"/>
      <c r="AC157" s="360"/>
      <c r="AD157" s="360"/>
      <c r="AE157" s="360"/>
      <c r="AG157" s="360"/>
      <c r="AH157" s="360"/>
      <c r="AI157" s="360"/>
      <c r="AJ157" s="360"/>
      <c r="AK157" s="360"/>
      <c r="AL157" s="360"/>
      <c r="AM157" s="360"/>
      <c r="AN157" s="360"/>
      <c r="AO157" s="360"/>
      <c r="AP157" s="360"/>
      <c r="AQ157" s="360"/>
      <c r="AR157" s="360"/>
      <c r="AS157" s="360"/>
      <c r="AT157" s="360"/>
      <c r="AV157" s="542"/>
      <c r="AW157" s="551"/>
      <c r="AX157" s="551"/>
      <c r="AY157" s="9"/>
      <c r="AZ157" s="48"/>
      <c r="BA157" s="360"/>
      <c r="BB157" s="360"/>
      <c r="BC157" s="360"/>
      <c r="BD157" s="360"/>
      <c r="BE157" s="360"/>
    </row>
    <row r="158" spans="8:57" x14ac:dyDescent="0.25">
      <c r="H158" s="548"/>
      <c r="I158" s="4"/>
      <c r="J158" s="4"/>
      <c r="L158" s="4"/>
      <c r="R158" s="360"/>
      <c r="S158" s="360"/>
      <c r="T158" s="360"/>
      <c r="U158" s="360"/>
      <c r="W158" s="360"/>
      <c r="X158" s="360"/>
      <c r="Y158" s="360"/>
      <c r="Z158" s="360"/>
      <c r="AA158" s="541"/>
      <c r="AB158" s="360"/>
      <c r="AC158" s="360"/>
      <c r="AD158" s="360"/>
      <c r="AE158" s="360"/>
      <c r="AG158" s="360"/>
      <c r="AH158" s="360"/>
      <c r="AI158" s="360"/>
      <c r="AJ158" s="360"/>
      <c r="AK158" s="360"/>
      <c r="AL158" s="360"/>
      <c r="AM158" s="360"/>
      <c r="AN158" s="360"/>
      <c r="AO158" s="360"/>
      <c r="AP158" s="360"/>
      <c r="AQ158" s="360"/>
      <c r="AR158" s="360"/>
      <c r="AS158" s="360"/>
      <c r="AT158" s="360"/>
      <c r="AV158" s="542"/>
      <c r="AW158" s="551"/>
      <c r="AX158" s="551"/>
      <c r="AY158" s="9"/>
      <c r="AZ158" s="48"/>
      <c r="BA158" s="360"/>
      <c r="BB158" s="360"/>
      <c r="BC158" s="360"/>
      <c r="BD158" s="360"/>
      <c r="BE158" s="360"/>
    </row>
    <row r="159" spans="8:57" x14ac:dyDescent="0.25">
      <c r="H159" s="548"/>
      <c r="I159" s="4"/>
      <c r="J159" s="4"/>
      <c r="L159" s="4"/>
      <c r="R159" s="360"/>
      <c r="S159" s="360"/>
      <c r="T159" s="360"/>
      <c r="U159" s="360"/>
      <c r="W159" s="360"/>
      <c r="X159" s="360"/>
      <c r="Y159" s="360"/>
      <c r="Z159" s="360"/>
      <c r="AA159" s="541"/>
      <c r="AB159" s="360"/>
      <c r="AC159" s="360"/>
      <c r="AD159" s="360"/>
      <c r="AE159" s="360"/>
      <c r="AG159" s="360"/>
      <c r="AH159" s="360"/>
      <c r="AI159" s="360"/>
      <c r="AJ159" s="360"/>
      <c r="AK159" s="360"/>
      <c r="AL159" s="360"/>
      <c r="AM159" s="360"/>
      <c r="AN159" s="360"/>
      <c r="AO159" s="360"/>
      <c r="AP159" s="360"/>
      <c r="AQ159" s="360"/>
      <c r="AR159" s="360"/>
      <c r="AS159" s="360"/>
      <c r="AT159" s="360"/>
      <c r="AV159" s="542"/>
      <c r="AW159" s="551"/>
      <c r="AX159" s="551"/>
      <c r="AY159" s="9"/>
      <c r="AZ159" s="48"/>
      <c r="BA159" s="360"/>
      <c r="BB159" s="360"/>
      <c r="BC159" s="360"/>
      <c r="BD159" s="360"/>
      <c r="BE159" s="360"/>
    </row>
    <row r="160" spans="8:57" x14ac:dyDescent="0.25">
      <c r="H160" s="548"/>
      <c r="I160" s="4"/>
      <c r="J160" s="4"/>
      <c r="L160" s="4"/>
      <c r="R160" s="360"/>
      <c r="S160" s="360"/>
      <c r="T160" s="360"/>
      <c r="U160" s="360"/>
      <c r="W160" s="360"/>
      <c r="X160" s="360"/>
      <c r="Y160" s="360"/>
      <c r="Z160" s="360"/>
      <c r="AA160" s="541"/>
      <c r="AB160" s="360"/>
      <c r="AC160" s="360"/>
      <c r="AD160" s="360"/>
      <c r="AE160" s="360"/>
      <c r="AG160" s="360"/>
      <c r="AH160" s="360"/>
      <c r="AI160" s="360"/>
      <c r="AJ160" s="360"/>
      <c r="AK160" s="360"/>
      <c r="AL160" s="360"/>
      <c r="AM160" s="360"/>
      <c r="AN160" s="360"/>
      <c r="AO160" s="360"/>
      <c r="AP160" s="360"/>
      <c r="AQ160" s="360"/>
      <c r="AR160" s="360"/>
      <c r="AS160" s="360"/>
      <c r="AT160" s="360"/>
      <c r="AV160" s="542"/>
      <c r="AW160" s="551"/>
      <c r="AX160" s="551"/>
      <c r="AY160" s="9"/>
      <c r="AZ160" s="48"/>
      <c r="BA160" s="360"/>
      <c r="BB160" s="360"/>
      <c r="BC160" s="360"/>
      <c r="BD160" s="360"/>
      <c r="BE160" s="360"/>
    </row>
    <row r="161" spans="8:57" x14ac:dyDescent="0.25">
      <c r="H161" s="548"/>
      <c r="I161" s="4"/>
      <c r="J161" s="4"/>
      <c r="L161" s="4"/>
      <c r="R161" s="360"/>
      <c r="S161" s="360"/>
      <c r="T161" s="360"/>
      <c r="U161" s="360"/>
      <c r="W161" s="360"/>
      <c r="X161" s="360"/>
      <c r="Y161" s="360"/>
      <c r="Z161" s="360"/>
      <c r="AA161" s="541"/>
      <c r="AB161" s="360"/>
      <c r="AC161" s="360"/>
      <c r="AD161" s="360"/>
      <c r="AE161" s="360"/>
      <c r="AG161" s="360"/>
      <c r="AH161" s="360"/>
      <c r="AI161" s="360"/>
      <c r="AJ161" s="360"/>
      <c r="AK161" s="360"/>
      <c r="AL161" s="360"/>
      <c r="AM161" s="360"/>
      <c r="AN161" s="360"/>
      <c r="AO161" s="360"/>
      <c r="AP161" s="360"/>
      <c r="AQ161" s="360"/>
      <c r="AR161" s="360"/>
      <c r="AS161" s="360"/>
      <c r="AT161" s="360"/>
      <c r="AV161" s="542"/>
      <c r="AW161" s="551"/>
      <c r="AX161" s="551"/>
      <c r="AY161" s="9"/>
      <c r="AZ161" s="48"/>
      <c r="BA161" s="360"/>
      <c r="BB161" s="360"/>
      <c r="BC161" s="360"/>
      <c r="BD161" s="360"/>
      <c r="BE161" s="360"/>
    </row>
    <row r="162" spans="8:57" x14ac:dyDescent="0.25">
      <c r="H162" s="548"/>
      <c r="I162" s="4"/>
      <c r="J162" s="4"/>
      <c r="L162" s="4"/>
      <c r="R162" s="360"/>
      <c r="S162" s="360"/>
      <c r="T162" s="360"/>
      <c r="U162" s="360"/>
      <c r="W162" s="360"/>
      <c r="X162" s="360"/>
      <c r="Y162" s="360"/>
      <c r="Z162" s="360"/>
      <c r="AA162" s="541"/>
      <c r="AB162" s="360"/>
      <c r="AC162" s="360"/>
      <c r="AD162" s="360"/>
      <c r="AE162" s="360"/>
      <c r="AG162" s="360"/>
      <c r="AH162" s="360"/>
      <c r="AI162" s="360"/>
      <c r="AJ162" s="360"/>
      <c r="AK162" s="360"/>
      <c r="AL162" s="360"/>
      <c r="AM162" s="360"/>
      <c r="AN162" s="360"/>
      <c r="AO162" s="360"/>
      <c r="AP162" s="360"/>
      <c r="AQ162" s="360"/>
      <c r="AR162" s="360"/>
      <c r="AS162" s="360"/>
      <c r="AT162" s="360"/>
      <c r="AV162" s="542"/>
      <c r="AW162" s="551"/>
      <c r="AX162" s="551"/>
      <c r="AY162" s="9"/>
      <c r="AZ162" s="48"/>
      <c r="BA162" s="360"/>
      <c r="BB162" s="360"/>
      <c r="BC162" s="360"/>
      <c r="BD162" s="360"/>
      <c r="BE162" s="360"/>
    </row>
    <row r="163" spans="8:57" x14ac:dyDescent="0.25">
      <c r="H163" s="548"/>
      <c r="I163" s="4"/>
      <c r="J163" s="4"/>
      <c r="L163" s="4"/>
      <c r="R163" s="360"/>
      <c r="S163" s="360"/>
      <c r="T163" s="360"/>
      <c r="U163" s="360"/>
      <c r="W163" s="360"/>
      <c r="X163" s="360"/>
      <c r="Y163" s="360"/>
      <c r="Z163" s="360"/>
      <c r="AA163" s="541"/>
      <c r="AB163" s="360"/>
      <c r="AC163" s="360"/>
      <c r="AD163" s="360"/>
      <c r="AE163" s="360"/>
      <c r="AG163" s="360"/>
      <c r="AH163" s="360"/>
      <c r="AI163" s="360"/>
      <c r="AJ163" s="360"/>
      <c r="AK163" s="360"/>
      <c r="AL163" s="360"/>
      <c r="AM163" s="360"/>
      <c r="AN163" s="360"/>
      <c r="AO163" s="360"/>
      <c r="AP163" s="360"/>
      <c r="AQ163" s="360"/>
      <c r="AR163" s="360"/>
      <c r="AS163" s="360"/>
      <c r="AT163" s="360"/>
      <c r="AV163" s="542"/>
      <c r="AW163" s="551"/>
      <c r="AX163" s="551"/>
      <c r="AY163" s="9"/>
      <c r="AZ163" s="48"/>
      <c r="BA163" s="360"/>
      <c r="BB163" s="360"/>
      <c r="BC163" s="360"/>
      <c r="BD163" s="360"/>
      <c r="BE163" s="360"/>
    </row>
    <row r="164" spans="8:57" x14ac:dyDescent="0.25">
      <c r="H164" s="548"/>
      <c r="I164" s="4"/>
      <c r="J164" s="4"/>
      <c r="L164" s="4"/>
      <c r="R164" s="360"/>
      <c r="S164" s="360"/>
      <c r="T164" s="360"/>
      <c r="U164" s="360"/>
      <c r="W164" s="360"/>
      <c r="X164" s="360"/>
      <c r="Y164" s="360"/>
      <c r="Z164" s="360"/>
      <c r="AA164" s="541"/>
      <c r="AB164" s="360"/>
      <c r="AC164" s="360"/>
      <c r="AD164" s="360"/>
      <c r="AE164" s="360"/>
      <c r="AG164" s="360"/>
      <c r="AH164" s="360"/>
      <c r="AI164" s="360"/>
      <c r="AJ164" s="360"/>
      <c r="AK164" s="360"/>
      <c r="AL164" s="360"/>
      <c r="AM164" s="360"/>
      <c r="AN164" s="360"/>
      <c r="AO164" s="360"/>
      <c r="AP164" s="360"/>
      <c r="AQ164" s="360"/>
      <c r="AR164" s="360"/>
      <c r="AS164" s="360"/>
      <c r="AT164" s="360"/>
      <c r="AV164" s="542"/>
      <c r="AW164" s="551"/>
      <c r="AX164" s="551"/>
      <c r="AY164" s="9"/>
      <c r="AZ164" s="48"/>
      <c r="BA164" s="360"/>
      <c r="BB164" s="360"/>
      <c r="BC164" s="360"/>
      <c r="BD164" s="360"/>
      <c r="BE164" s="360"/>
    </row>
    <row r="165" spans="8:57" x14ac:dyDescent="0.25">
      <c r="H165" s="548"/>
      <c r="I165" s="4"/>
      <c r="J165" s="4"/>
      <c r="L165" s="4"/>
      <c r="R165" s="360"/>
      <c r="S165" s="360"/>
      <c r="T165" s="360"/>
      <c r="U165" s="360"/>
      <c r="W165" s="360"/>
      <c r="X165" s="360"/>
      <c r="Y165" s="360"/>
      <c r="Z165" s="360"/>
      <c r="AA165" s="541"/>
      <c r="AB165" s="360"/>
      <c r="AC165" s="360"/>
      <c r="AD165" s="360"/>
      <c r="AE165" s="360"/>
      <c r="AG165" s="360"/>
      <c r="AH165" s="360"/>
      <c r="AI165" s="360"/>
      <c r="AJ165" s="360"/>
      <c r="AK165" s="360"/>
      <c r="AL165" s="360"/>
      <c r="AM165" s="360"/>
      <c r="AN165" s="360"/>
      <c r="AO165" s="360"/>
      <c r="AP165" s="360"/>
      <c r="AQ165" s="360"/>
      <c r="AR165" s="360"/>
      <c r="AS165" s="360"/>
      <c r="AT165" s="360"/>
      <c r="AV165" s="542"/>
      <c r="AW165" s="551"/>
      <c r="AX165" s="551"/>
      <c r="AY165" s="9"/>
      <c r="AZ165" s="48"/>
      <c r="BA165" s="360"/>
      <c r="BB165" s="360"/>
      <c r="BC165" s="360"/>
      <c r="BD165" s="360"/>
      <c r="BE165" s="360"/>
    </row>
    <row r="166" spans="8:57" x14ac:dyDescent="0.25">
      <c r="H166" s="548"/>
      <c r="I166" s="4"/>
      <c r="J166" s="4"/>
      <c r="L166" s="4"/>
      <c r="R166" s="360"/>
      <c r="S166" s="360"/>
      <c r="T166" s="360"/>
      <c r="U166" s="360"/>
      <c r="W166" s="360"/>
      <c r="X166" s="360"/>
      <c r="Y166" s="360"/>
      <c r="Z166" s="360"/>
      <c r="AA166" s="541"/>
      <c r="AB166" s="360"/>
      <c r="AC166" s="360"/>
      <c r="AD166" s="360"/>
      <c r="AE166" s="360"/>
      <c r="AG166" s="360"/>
      <c r="AH166" s="360"/>
      <c r="AI166" s="360"/>
      <c r="AJ166" s="360"/>
      <c r="AK166" s="360"/>
      <c r="AL166" s="360"/>
      <c r="AM166" s="360"/>
      <c r="AN166" s="360"/>
      <c r="AO166" s="360"/>
      <c r="AP166" s="360"/>
      <c r="AQ166" s="360"/>
      <c r="AR166" s="360"/>
      <c r="AS166" s="360"/>
      <c r="AT166" s="360"/>
      <c r="AV166" s="542"/>
      <c r="AW166" s="551"/>
      <c r="AX166" s="551"/>
      <c r="AY166" s="9"/>
      <c r="AZ166" s="48"/>
      <c r="BA166" s="360"/>
      <c r="BB166" s="360"/>
      <c r="BC166" s="360"/>
      <c r="BD166" s="360"/>
      <c r="BE166" s="360"/>
    </row>
    <row r="167" spans="8:57" x14ac:dyDescent="0.25">
      <c r="H167" s="548"/>
      <c r="I167" s="4"/>
      <c r="J167" s="4"/>
      <c r="L167" s="4"/>
      <c r="R167" s="360"/>
      <c r="S167" s="360"/>
      <c r="T167" s="360"/>
      <c r="U167" s="360"/>
      <c r="W167" s="360"/>
      <c r="X167" s="360"/>
      <c r="Y167" s="360"/>
      <c r="Z167" s="360"/>
      <c r="AA167" s="541"/>
      <c r="AB167" s="360"/>
      <c r="AC167" s="360"/>
      <c r="AD167" s="360"/>
      <c r="AE167" s="360"/>
      <c r="AG167" s="360"/>
      <c r="AH167" s="360"/>
      <c r="AI167" s="360"/>
      <c r="AJ167" s="360"/>
      <c r="AK167" s="360"/>
      <c r="AL167" s="360"/>
      <c r="AM167" s="360"/>
      <c r="AN167" s="360"/>
      <c r="AO167" s="360"/>
      <c r="AP167" s="360"/>
      <c r="AQ167" s="360"/>
      <c r="AR167" s="360"/>
      <c r="AS167" s="360"/>
      <c r="AT167" s="360"/>
      <c r="AV167" s="542"/>
      <c r="AW167" s="551"/>
      <c r="AX167" s="551"/>
      <c r="AY167" s="9"/>
      <c r="AZ167" s="48"/>
      <c r="BA167" s="360"/>
      <c r="BB167" s="360"/>
      <c r="BC167" s="360"/>
      <c r="BD167" s="360"/>
      <c r="BE167" s="360"/>
    </row>
    <row r="168" spans="8:57" x14ac:dyDescent="0.25">
      <c r="H168" s="548"/>
      <c r="I168" s="4"/>
      <c r="J168" s="4"/>
      <c r="L168" s="4"/>
      <c r="R168" s="360"/>
      <c r="S168" s="360"/>
      <c r="T168" s="360"/>
      <c r="U168" s="360"/>
      <c r="W168" s="360"/>
      <c r="X168" s="360"/>
      <c r="Y168" s="360"/>
      <c r="Z168" s="360"/>
      <c r="AA168" s="541"/>
      <c r="AB168" s="360"/>
      <c r="AC168" s="360"/>
      <c r="AD168" s="360"/>
      <c r="AE168" s="360"/>
      <c r="AG168" s="360"/>
      <c r="AH168" s="360"/>
      <c r="AI168" s="360"/>
      <c r="AJ168" s="360"/>
      <c r="AK168" s="360"/>
      <c r="AL168" s="360"/>
      <c r="AM168" s="360"/>
      <c r="AN168" s="360"/>
      <c r="AO168" s="360"/>
      <c r="AP168" s="360"/>
      <c r="AQ168" s="360"/>
      <c r="AR168" s="360"/>
      <c r="AS168" s="360"/>
      <c r="AT168" s="360"/>
      <c r="AV168" s="542"/>
      <c r="AW168" s="551"/>
      <c r="AX168" s="551"/>
      <c r="AY168" s="9"/>
      <c r="AZ168" s="48"/>
      <c r="BA168" s="360"/>
      <c r="BB168" s="360"/>
      <c r="BC168" s="360"/>
      <c r="BD168" s="360"/>
      <c r="BE168" s="360"/>
    </row>
    <row r="169" spans="8:57" x14ac:dyDescent="0.25">
      <c r="H169" s="548"/>
      <c r="I169" s="4"/>
      <c r="J169" s="4"/>
      <c r="L169" s="4"/>
      <c r="R169" s="360"/>
      <c r="S169" s="360"/>
      <c r="T169" s="360"/>
      <c r="U169" s="360"/>
      <c r="W169" s="360"/>
      <c r="X169" s="360"/>
      <c r="Y169" s="360"/>
      <c r="Z169" s="360"/>
      <c r="AA169" s="541"/>
      <c r="AB169" s="360"/>
      <c r="AC169" s="360"/>
      <c r="AD169" s="360"/>
      <c r="AE169" s="360"/>
      <c r="AG169" s="360"/>
      <c r="AH169" s="360"/>
      <c r="AI169" s="360"/>
      <c r="AJ169" s="360"/>
      <c r="AK169" s="360"/>
      <c r="AL169" s="360"/>
      <c r="AM169" s="360"/>
      <c r="AN169" s="360"/>
      <c r="AO169" s="360"/>
      <c r="AP169" s="360"/>
      <c r="AQ169" s="360"/>
      <c r="AR169" s="360"/>
      <c r="AS169" s="360"/>
      <c r="AT169" s="360"/>
      <c r="AV169" s="542"/>
      <c r="AW169" s="551"/>
      <c r="AX169" s="551"/>
      <c r="AY169" s="9"/>
      <c r="AZ169" s="48"/>
      <c r="BA169" s="360"/>
      <c r="BB169" s="360"/>
      <c r="BC169" s="360"/>
      <c r="BD169" s="360"/>
      <c r="BE169" s="360"/>
    </row>
    <row r="170" spans="8:57" x14ac:dyDescent="0.25">
      <c r="H170" s="548"/>
      <c r="I170" s="4"/>
      <c r="J170" s="4"/>
      <c r="L170" s="4"/>
      <c r="R170" s="360"/>
      <c r="S170" s="360"/>
      <c r="T170" s="360"/>
      <c r="U170" s="360"/>
      <c r="W170" s="360"/>
      <c r="X170" s="360"/>
      <c r="Y170" s="360"/>
      <c r="Z170" s="360"/>
      <c r="AA170" s="541"/>
      <c r="AB170" s="360"/>
      <c r="AC170" s="360"/>
      <c r="AD170" s="360"/>
      <c r="AE170" s="360"/>
      <c r="AG170" s="360"/>
      <c r="AH170" s="360"/>
      <c r="AI170" s="360"/>
      <c r="AJ170" s="360"/>
      <c r="AK170" s="360"/>
      <c r="AL170" s="360"/>
      <c r="AM170" s="360"/>
      <c r="AN170" s="360"/>
      <c r="AO170" s="360"/>
      <c r="AP170" s="360"/>
      <c r="AQ170" s="360"/>
      <c r="AR170" s="360"/>
      <c r="AS170" s="360"/>
      <c r="AT170" s="360"/>
      <c r="AV170" s="542"/>
      <c r="AW170" s="551"/>
      <c r="AX170" s="551"/>
      <c r="AY170" s="9"/>
      <c r="AZ170" s="48"/>
      <c r="BA170" s="360"/>
      <c r="BB170" s="360"/>
      <c r="BC170" s="360"/>
      <c r="BD170" s="360"/>
      <c r="BE170" s="360"/>
    </row>
    <row r="171" spans="8:57" x14ac:dyDescent="0.25">
      <c r="H171" s="548"/>
      <c r="I171" s="4"/>
      <c r="J171" s="4"/>
      <c r="L171" s="4"/>
      <c r="R171" s="360"/>
      <c r="S171" s="360"/>
      <c r="T171" s="360"/>
      <c r="U171" s="360"/>
      <c r="W171" s="360"/>
      <c r="X171" s="360"/>
      <c r="Y171" s="360"/>
      <c r="Z171" s="360"/>
      <c r="AA171" s="541"/>
      <c r="AB171" s="360"/>
      <c r="AC171" s="360"/>
      <c r="AD171" s="360"/>
      <c r="AE171" s="360"/>
      <c r="AG171" s="360"/>
      <c r="AH171" s="360"/>
      <c r="AI171" s="360"/>
      <c r="AJ171" s="360"/>
      <c r="AK171" s="360"/>
      <c r="AL171" s="360"/>
      <c r="AM171" s="360"/>
      <c r="AN171" s="360"/>
      <c r="AO171" s="360"/>
      <c r="AP171" s="360"/>
      <c r="AQ171" s="360"/>
      <c r="AR171" s="360"/>
      <c r="AS171" s="360"/>
      <c r="AT171" s="360"/>
      <c r="AV171" s="542"/>
      <c r="AW171" s="551"/>
      <c r="AX171" s="551"/>
      <c r="AY171" s="9"/>
      <c r="AZ171" s="48"/>
      <c r="BA171" s="360"/>
      <c r="BB171" s="360"/>
      <c r="BC171" s="360"/>
      <c r="BD171" s="360"/>
      <c r="BE171" s="360"/>
    </row>
    <row r="172" spans="8:57" x14ac:dyDescent="0.25">
      <c r="H172" s="548"/>
      <c r="I172" s="4"/>
      <c r="J172" s="4"/>
      <c r="L172" s="4"/>
      <c r="R172" s="360"/>
      <c r="S172" s="360"/>
      <c r="T172" s="360"/>
      <c r="U172" s="360"/>
      <c r="W172" s="360"/>
      <c r="X172" s="360"/>
      <c r="Y172" s="360"/>
      <c r="Z172" s="360"/>
      <c r="AA172" s="541"/>
      <c r="AB172" s="360"/>
      <c r="AC172" s="360"/>
      <c r="AD172" s="360"/>
      <c r="AE172" s="360"/>
      <c r="AG172" s="360"/>
      <c r="AH172" s="360"/>
      <c r="AI172" s="360"/>
      <c r="AJ172" s="360"/>
      <c r="AK172" s="360"/>
      <c r="AL172" s="360"/>
      <c r="AM172" s="360"/>
      <c r="AN172" s="360"/>
      <c r="AO172" s="360"/>
      <c r="AP172" s="360"/>
      <c r="AQ172" s="360"/>
      <c r="AR172" s="360"/>
      <c r="AS172" s="360"/>
      <c r="AT172" s="360"/>
      <c r="AV172" s="542"/>
      <c r="AW172" s="551"/>
      <c r="AX172" s="551"/>
      <c r="AY172" s="9"/>
      <c r="AZ172" s="48"/>
      <c r="BA172" s="360"/>
      <c r="BB172" s="360"/>
      <c r="BC172" s="360"/>
      <c r="BD172" s="360"/>
      <c r="BE172" s="360"/>
    </row>
    <row r="173" spans="8:57" x14ac:dyDescent="0.25">
      <c r="H173" s="548"/>
      <c r="I173" s="4"/>
      <c r="J173" s="4"/>
      <c r="L173" s="4"/>
      <c r="R173" s="360"/>
      <c r="S173" s="360"/>
      <c r="T173" s="360"/>
      <c r="U173" s="360"/>
      <c r="W173" s="360"/>
      <c r="X173" s="360"/>
      <c r="Y173" s="360"/>
      <c r="Z173" s="360"/>
      <c r="AA173" s="541"/>
      <c r="AB173" s="360"/>
      <c r="AC173" s="360"/>
      <c r="AD173" s="360"/>
      <c r="AE173" s="360"/>
      <c r="AG173" s="360"/>
      <c r="AH173" s="360"/>
      <c r="AI173" s="360"/>
      <c r="AJ173" s="360"/>
      <c r="AK173" s="360"/>
      <c r="AL173" s="360"/>
      <c r="AM173" s="360"/>
      <c r="AN173" s="360"/>
      <c r="AO173" s="360"/>
      <c r="AP173" s="360"/>
      <c r="AQ173" s="360"/>
      <c r="AR173" s="360"/>
      <c r="AS173" s="360"/>
      <c r="AT173" s="360"/>
      <c r="AV173" s="542"/>
      <c r="AW173" s="551"/>
      <c r="AX173" s="551"/>
      <c r="AY173" s="9"/>
      <c r="AZ173" s="48"/>
      <c r="BA173" s="360"/>
      <c r="BB173" s="360"/>
      <c r="BC173" s="360"/>
      <c r="BD173" s="360"/>
      <c r="BE173" s="360"/>
    </row>
    <row r="174" spans="8:57" x14ac:dyDescent="0.25">
      <c r="H174" s="548"/>
      <c r="I174" s="4"/>
      <c r="J174" s="4"/>
      <c r="L174" s="4"/>
      <c r="R174" s="360"/>
      <c r="S174" s="360"/>
      <c r="T174" s="360"/>
      <c r="U174" s="360"/>
      <c r="W174" s="360"/>
      <c r="X174" s="360"/>
      <c r="Y174" s="360"/>
      <c r="Z174" s="360"/>
      <c r="AA174" s="541"/>
      <c r="AB174" s="360"/>
      <c r="AC174" s="360"/>
      <c r="AD174" s="360"/>
      <c r="AE174" s="360"/>
      <c r="AG174" s="360"/>
      <c r="AH174" s="360"/>
      <c r="AI174" s="360"/>
      <c r="AJ174" s="360"/>
      <c r="AK174" s="360"/>
      <c r="AL174" s="360"/>
      <c r="AM174" s="360"/>
      <c r="AN174" s="360"/>
      <c r="AO174" s="360"/>
      <c r="AP174" s="360"/>
      <c r="AQ174" s="360"/>
      <c r="AR174" s="360"/>
      <c r="AS174" s="360"/>
      <c r="AT174" s="360"/>
      <c r="AV174" s="542"/>
      <c r="AW174" s="551"/>
      <c r="AX174" s="551"/>
      <c r="AY174" s="9"/>
      <c r="AZ174" s="48"/>
      <c r="BA174" s="360"/>
      <c r="BB174" s="360"/>
      <c r="BC174" s="360"/>
      <c r="BD174" s="360"/>
      <c r="BE174" s="360"/>
    </row>
    <row r="175" spans="8:57" x14ac:dyDescent="0.25">
      <c r="H175" s="548"/>
      <c r="I175" s="4"/>
      <c r="J175" s="4"/>
      <c r="L175" s="4"/>
      <c r="R175" s="360"/>
      <c r="S175" s="360"/>
      <c r="T175" s="360"/>
      <c r="U175" s="360"/>
      <c r="W175" s="360"/>
      <c r="X175" s="360"/>
      <c r="Y175" s="360"/>
      <c r="Z175" s="360"/>
      <c r="AA175" s="541"/>
      <c r="AB175" s="360"/>
      <c r="AC175" s="360"/>
      <c r="AD175" s="360"/>
      <c r="AE175" s="360"/>
      <c r="AG175" s="360"/>
      <c r="AH175" s="360"/>
      <c r="AI175" s="360"/>
      <c r="AJ175" s="360"/>
      <c r="AK175" s="360"/>
      <c r="AL175" s="360"/>
      <c r="AM175" s="360"/>
      <c r="AN175" s="360"/>
      <c r="AO175" s="360"/>
      <c r="AP175" s="360"/>
      <c r="AQ175" s="360"/>
      <c r="AR175" s="360"/>
      <c r="AS175" s="360"/>
      <c r="AT175" s="360"/>
      <c r="AV175" s="542"/>
      <c r="AW175" s="551"/>
      <c r="AX175" s="551"/>
      <c r="AY175" s="9"/>
      <c r="AZ175" s="48"/>
      <c r="BA175" s="360"/>
      <c r="BB175" s="360"/>
      <c r="BC175" s="360"/>
      <c r="BD175" s="360"/>
      <c r="BE175" s="360"/>
    </row>
    <row r="176" spans="8:57" x14ac:dyDescent="0.25">
      <c r="H176" s="548"/>
      <c r="I176" s="4"/>
      <c r="J176" s="4"/>
      <c r="L176" s="4"/>
      <c r="R176" s="360"/>
      <c r="S176" s="360"/>
      <c r="T176" s="360"/>
      <c r="U176" s="360"/>
      <c r="W176" s="360"/>
      <c r="X176" s="360"/>
      <c r="Y176" s="360"/>
      <c r="Z176" s="360"/>
      <c r="AA176" s="541"/>
      <c r="AB176" s="360"/>
      <c r="AC176" s="360"/>
      <c r="AD176" s="360"/>
      <c r="AE176" s="360"/>
      <c r="AG176" s="360"/>
      <c r="AH176" s="360"/>
      <c r="AI176" s="360"/>
      <c r="AJ176" s="360"/>
      <c r="AK176" s="360"/>
      <c r="AL176" s="360"/>
      <c r="AM176" s="360"/>
      <c r="AN176" s="360"/>
      <c r="AO176" s="360"/>
      <c r="AP176" s="360"/>
      <c r="AQ176" s="360"/>
      <c r="AR176" s="360"/>
      <c r="AS176" s="360"/>
      <c r="AT176" s="360"/>
      <c r="AV176" s="542"/>
      <c r="AW176" s="551"/>
      <c r="AX176" s="551"/>
      <c r="AY176" s="9"/>
      <c r="AZ176" s="48"/>
      <c r="BA176" s="360"/>
      <c r="BB176" s="360"/>
      <c r="BC176" s="360"/>
      <c r="BD176" s="360"/>
      <c r="BE176" s="360"/>
    </row>
    <row r="177" spans="8:57" x14ac:dyDescent="0.25">
      <c r="H177" s="548"/>
      <c r="I177" s="4"/>
      <c r="J177" s="4"/>
      <c r="L177" s="4"/>
      <c r="R177" s="360"/>
      <c r="S177" s="360"/>
      <c r="T177" s="360"/>
      <c r="U177" s="360"/>
      <c r="W177" s="360"/>
      <c r="X177" s="360"/>
      <c r="Y177" s="360"/>
      <c r="Z177" s="360"/>
      <c r="AA177" s="541"/>
      <c r="AB177" s="360"/>
      <c r="AC177" s="360"/>
      <c r="AD177" s="360"/>
      <c r="AE177" s="360"/>
      <c r="AG177" s="360"/>
      <c r="AH177" s="360"/>
      <c r="AI177" s="360"/>
      <c r="AJ177" s="360"/>
      <c r="AK177" s="360"/>
      <c r="AL177" s="360"/>
      <c r="AM177" s="360"/>
      <c r="AN177" s="360"/>
      <c r="AO177" s="360"/>
      <c r="AP177" s="360"/>
      <c r="AQ177" s="360"/>
      <c r="AR177" s="360"/>
      <c r="AS177" s="360"/>
      <c r="AT177" s="360"/>
      <c r="AV177" s="542"/>
      <c r="AW177" s="551"/>
      <c r="AX177" s="551"/>
      <c r="AY177" s="9"/>
      <c r="AZ177" s="48"/>
      <c r="BA177" s="360"/>
      <c r="BB177" s="360"/>
      <c r="BC177" s="360"/>
      <c r="BD177" s="360"/>
      <c r="BE177" s="360"/>
    </row>
    <row r="178" spans="8:57" x14ac:dyDescent="0.25">
      <c r="H178" s="548"/>
      <c r="I178" s="4"/>
      <c r="J178" s="4"/>
      <c r="L178" s="4"/>
      <c r="R178" s="360"/>
      <c r="S178" s="360"/>
      <c r="T178" s="360"/>
      <c r="U178" s="360"/>
      <c r="W178" s="360"/>
      <c r="X178" s="360"/>
      <c r="Y178" s="360"/>
      <c r="Z178" s="360"/>
      <c r="AA178" s="541"/>
      <c r="AB178" s="360"/>
      <c r="AC178" s="360"/>
      <c r="AD178" s="360"/>
      <c r="AE178" s="360"/>
      <c r="AG178" s="360"/>
      <c r="AH178" s="360"/>
      <c r="AI178" s="360"/>
      <c r="AJ178" s="360"/>
      <c r="AK178" s="360"/>
      <c r="AL178" s="360"/>
      <c r="AM178" s="360"/>
      <c r="AN178" s="360"/>
      <c r="AO178" s="360"/>
      <c r="AP178" s="360"/>
      <c r="AQ178" s="360"/>
      <c r="AR178" s="360"/>
      <c r="AS178" s="360"/>
      <c r="AT178" s="360"/>
      <c r="AV178" s="542"/>
      <c r="AW178" s="551"/>
      <c r="AX178" s="551"/>
      <c r="AY178" s="9"/>
      <c r="AZ178" s="48"/>
      <c r="BA178" s="360"/>
      <c r="BB178" s="360"/>
      <c r="BC178" s="360"/>
      <c r="BD178" s="360"/>
      <c r="BE178" s="360"/>
    </row>
    <row r="179" spans="8:57" x14ac:dyDescent="0.25">
      <c r="H179" s="548"/>
      <c r="I179" s="4"/>
      <c r="J179" s="4"/>
      <c r="L179" s="4"/>
      <c r="R179" s="360"/>
      <c r="S179" s="360"/>
      <c r="T179" s="360"/>
      <c r="U179" s="360"/>
      <c r="W179" s="360"/>
      <c r="X179" s="360"/>
      <c r="Y179" s="360"/>
      <c r="Z179" s="360"/>
      <c r="AA179" s="541"/>
      <c r="AB179" s="360"/>
      <c r="AC179" s="360"/>
      <c r="AD179" s="360"/>
      <c r="AE179" s="360"/>
      <c r="AG179" s="360"/>
      <c r="AH179" s="360"/>
      <c r="AI179" s="360"/>
      <c r="AJ179" s="360"/>
      <c r="AK179" s="360"/>
      <c r="AL179" s="360"/>
      <c r="AM179" s="360"/>
      <c r="AN179" s="360"/>
      <c r="AO179" s="360"/>
      <c r="AP179" s="360"/>
      <c r="AQ179" s="360"/>
      <c r="AR179" s="360"/>
      <c r="AS179" s="360"/>
      <c r="AT179" s="360"/>
      <c r="AV179" s="542"/>
      <c r="AW179" s="551"/>
      <c r="AX179" s="551"/>
      <c r="AY179" s="9"/>
      <c r="AZ179" s="48"/>
      <c r="BA179" s="360"/>
      <c r="BB179" s="360"/>
      <c r="BC179" s="360"/>
      <c r="BD179" s="360"/>
      <c r="BE179" s="360"/>
    </row>
    <row r="180" spans="8:57" x14ac:dyDescent="0.25">
      <c r="H180" s="548"/>
      <c r="I180" s="4"/>
      <c r="J180" s="4"/>
      <c r="L180" s="4"/>
      <c r="R180" s="360"/>
      <c r="S180" s="360"/>
      <c r="T180" s="360"/>
      <c r="U180" s="360"/>
      <c r="W180" s="360"/>
      <c r="X180" s="360"/>
      <c r="Y180" s="360"/>
      <c r="Z180" s="360"/>
      <c r="AA180" s="541"/>
      <c r="AB180" s="360"/>
      <c r="AC180" s="360"/>
      <c r="AD180" s="360"/>
      <c r="AE180" s="360"/>
      <c r="AG180" s="360"/>
      <c r="AH180" s="360"/>
      <c r="AI180" s="360"/>
      <c r="AJ180" s="360"/>
      <c r="AK180" s="360"/>
      <c r="AL180" s="360"/>
      <c r="AM180" s="360"/>
      <c r="AN180" s="360"/>
      <c r="AO180" s="360"/>
      <c r="AP180" s="360"/>
      <c r="AQ180" s="360"/>
      <c r="AR180" s="360"/>
      <c r="AS180" s="360"/>
      <c r="AT180" s="360"/>
      <c r="AV180" s="542"/>
      <c r="AW180" s="551"/>
      <c r="AX180" s="551"/>
      <c r="AY180" s="9"/>
      <c r="AZ180" s="48"/>
      <c r="BA180" s="360"/>
      <c r="BB180" s="360"/>
      <c r="BC180" s="360"/>
      <c r="BD180" s="360"/>
      <c r="BE180" s="360"/>
    </row>
    <row r="181" spans="8:57" x14ac:dyDescent="0.25">
      <c r="H181" s="548"/>
      <c r="I181" s="4"/>
      <c r="J181" s="4"/>
      <c r="L181" s="4"/>
      <c r="R181" s="360"/>
      <c r="S181" s="360"/>
      <c r="T181" s="360"/>
      <c r="U181" s="360"/>
      <c r="W181" s="360"/>
      <c r="X181" s="360"/>
      <c r="Y181" s="360"/>
      <c r="Z181" s="360"/>
      <c r="AA181" s="541"/>
      <c r="AB181" s="360"/>
      <c r="AC181" s="360"/>
      <c r="AD181" s="360"/>
      <c r="AE181" s="360"/>
      <c r="AG181" s="360"/>
      <c r="AH181" s="360"/>
      <c r="AI181" s="360"/>
      <c r="AJ181" s="360"/>
      <c r="AK181" s="360"/>
      <c r="AL181" s="360"/>
      <c r="AM181" s="360"/>
      <c r="AN181" s="360"/>
      <c r="AO181" s="360"/>
      <c r="AP181" s="360"/>
      <c r="AQ181" s="360"/>
      <c r="AR181" s="360"/>
      <c r="AS181" s="360"/>
      <c r="AT181" s="360"/>
      <c r="AV181" s="542"/>
      <c r="AW181" s="551"/>
      <c r="AX181" s="551"/>
      <c r="AY181" s="9"/>
      <c r="AZ181" s="48"/>
      <c r="BA181" s="360"/>
      <c r="BB181" s="360"/>
      <c r="BC181" s="360"/>
      <c r="BD181" s="360"/>
      <c r="BE181" s="360"/>
    </row>
    <row r="182" spans="8:57" x14ac:dyDescent="0.25">
      <c r="H182" s="548"/>
      <c r="I182" s="4"/>
      <c r="J182" s="4"/>
      <c r="L182" s="4"/>
      <c r="R182" s="360"/>
      <c r="S182" s="360"/>
      <c r="T182" s="360"/>
      <c r="U182" s="360"/>
      <c r="W182" s="360"/>
      <c r="X182" s="360"/>
      <c r="Y182" s="360"/>
      <c r="Z182" s="360"/>
      <c r="AA182" s="541"/>
      <c r="AB182" s="360"/>
      <c r="AC182" s="360"/>
      <c r="AD182" s="360"/>
      <c r="AE182" s="360"/>
      <c r="AG182" s="360"/>
      <c r="AH182" s="360"/>
      <c r="AI182" s="360"/>
      <c r="AJ182" s="360"/>
      <c r="AK182" s="360"/>
      <c r="AL182" s="360"/>
      <c r="AM182" s="360"/>
      <c r="AN182" s="360"/>
      <c r="AO182" s="360"/>
      <c r="AP182" s="360"/>
      <c r="AQ182" s="360"/>
      <c r="AR182" s="360"/>
      <c r="AS182" s="360"/>
      <c r="AT182" s="360"/>
      <c r="AV182" s="542"/>
      <c r="AW182" s="551"/>
      <c r="AX182" s="551"/>
      <c r="AY182" s="9"/>
      <c r="AZ182" s="48"/>
      <c r="BA182" s="360"/>
      <c r="BB182" s="360"/>
      <c r="BC182" s="360"/>
      <c r="BD182" s="360"/>
      <c r="BE182" s="360"/>
    </row>
    <row r="183" spans="8:57" x14ac:dyDescent="0.25">
      <c r="H183" s="548"/>
      <c r="I183" s="4"/>
      <c r="J183" s="4"/>
      <c r="L183" s="4"/>
      <c r="R183" s="360"/>
      <c r="S183" s="360"/>
      <c r="T183" s="360"/>
      <c r="U183" s="360"/>
      <c r="W183" s="360"/>
      <c r="X183" s="360"/>
      <c r="Y183" s="360"/>
      <c r="Z183" s="360"/>
      <c r="AA183" s="541"/>
      <c r="AB183" s="360"/>
      <c r="AC183" s="360"/>
      <c r="AD183" s="360"/>
      <c r="AE183" s="360"/>
      <c r="AG183" s="360"/>
      <c r="AH183" s="360"/>
      <c r="AI183" s="360"/>
      <c r="AJ183" s="360"/>
      <c r="AK183" s="360"/>
      <c r="AL183" s="360"/>
      <c r="AM183" s="360"/>
      <c r="AN183" s="360"/>
      <c r="AO183" s="360"/>
      <c r="AP183" s="360"/>
      <c r="AQ183" s="360"/>
      <c r="AR183" s="360"/>
      <c r="AS183" s="360"/>
      <c r="AT183" s="360"/>
      <c r="AV183" s="542"/>
      <c r="AW183" s="551"/>
      <c r="AX183" s="551"/>
      <c r="AY183" s="9"/>
      <c r="AZ183" s="48"/>
      <c r="BA183" s="360"/>
      <c r="BB183" s="360"/>
      <c r="BC183" s="360"/>
      <c r="BD183" s="360"/>
      <c r="BE183" s="360"/>
    </row>
    <row r="184" spans="8:57" x14ac:dyDescent="0.25">
      <c r="H184" s="548"/>
      <c r="I184" s="4"/>
      <c r="J184" s="4"/>
      <c r="L184" s="4"/>
      <c r="R184" s="360"/>
      <c r="S184" s="360"/>
      <c r="T184" s="360"/>
      <c r="U184" s="360"/>
      <c r="W184" s="360"/>
      <c r="X184" s="360"/>
      <c r="Y184" s="360"/>
      <c r="Z184" s="360"/>
      <c r="AA184" s="541"/>
      <c r="AB184" s="360"/>
      <c r="AC184" s="360"/>
      <c r="AD184" s="360"/>
      <c r="AE184" s="360"/>
      <c r="AG184" s="360"/>
      <c r="AH184" s="360"/>
      <c r="AI184" s="360"/>
      <c r="AJ184" s="360"/>
      <c r="AK184" s="360"/>
      <c r="AL184" s="360"/>
      <c r="AM184" s="360"/>
      <c r="AN184" s="360"/>
      <c r="AO184" s="360"/>
      <c r="AP184" s="360"/>
      <c r="AQ184" s="360"/>
      <c r="AR184" s="360"/>
      <c r="AS184" s="360"/>
      <c r="AT184" s="360"/>
      <c r="AV184" s="542"/>
      <c r="AW184" s="551"/>
      <c r="AX184" s="551"/>
      <c r="AY184" s="9"/>
      <c r="AZ184" s="48"/>
      <c r="BA184" s="360"/>
      <c r="BB184" s="360"/>
      <c r="BC184" s="360"/>
      <c r="BD184" s="360"/>
      <c r="BE184" s="360"/>
    </row>
    <row r="185" spans="8:57" x14ac:dyDescent="0.25">
      <c r="H185" s="548"/>
      <c r="I185" s="4"/>
      <c r="J185" s="4"/>
      <c r="L185" s="4"/>
      <c r="R185" s="360"/>
      <c r="S185" s="360"/>
      <c r="T185" s="360"/>
      <c r="U185" s="360"/>
      <c r="W185" s="360"/>
      <c r="X185" s="360"/>
      <c r="Y185" s="360"/>
      <c r="Z185" s="360"/>
      <c r="AA185" s="541"/>
      <c r="AB185" s="360"/>
      <c r="AC185" s="360"/>
      <c r="AD185" s="360"/>
      <c r="AE185" s="360"/>
      <c r="AG185" s="360"/>
      <c r="AH185" s="360"/>
      <c r="AI185" s="360"/>
      <c r="AJ185" s="360"/>
      <c r="AK185" s="360"/>
      <c r="AL185" s="360"/>
      <c r="AM185" s="360"/>
      <c r="AN185" s="360"/>
      <c r="AO185" s="360"/>
      <c r="AP185" s="360"/>
      <c r="AQ185" s="360"/>
      <c r="AR185" s="360"/>
      <c r="AS185" s="360"/>
      <c r="AT185" s="360"/>
      <c r="AV185" s="542"/>
      <c r="AW185" s="551"/>
      <c r="AX185" s="551"/>
      <c r="AY185" s="9"/>
      <c r="AZ185" s="48"/>
      <c r="BA185" s="360"/>
      <c r="BB185" s="360"/>
      <c r="BC185" s="360"/>
      <c r="BD185" s="360"/>
      <c r="BE185" s="360"/>
    </row>
    <row r="186" spans="8:57" x14ac:dyDescent="0.25">
      <c r="H186" s="548"/>
      <c r="I186" s="4"/>
      <c r="J186" s="4"/>
      <c r="L186" s="4"/>
      <c r="R186" s="360"/>
      <c r="S186" s="360"/>
      <c r="T186" s="360"/>
      <c r="U186" s="360"/>
      <c r="W186" s="360"/>
      <c r="X186" s="360"/>
      <c r="Y186" s="360"/>
      <c r="Z186" s="360"/>
      <c r="AA186" s="541"/>
      <c r="AB186" s="360"/>
      <c r="AC186" s="360"/>
      <c r="AD186" s="360"/>
      <c r="AE186" s="360"/>
      <c r="AG186" s="360"/>
      <c r="AH186" s="360"/>
      <c r="AI186" s="360"/>
      <c r="AJ186" s="360"/>
      <c r="AK186" s="360"/>
      <c r="AL186" s="360"/>
      <c r="AM186" s="360"/>
      <c r="AN186" s="360"/>
      <c r="AO186" s="360"/>
      <c r="AP186" s="360"/>
      <c r="AQ186" s="360"/>
      <c r="AR186" s="360"/>
      <c r="AS186" s="360"/>
      <c r="AT186" s="360"/>
      <c r="AV186" s="542"/>
      <c r="AW186" s="551"/>
      <c r="AX186" s="551"/>
      <c r="AY186" s="9"/>
      <c r="AZ186" s="48"/>
      <c r="BA186" s="360"/>
      <c r="BB186" s="360"/>
      <c r="BC186" s="360"/>
      <c r="BD186" s="360"/>
      <c r="BE186" s="360"/>
    </row>
    <row r="187" spans="8:57" x14ac:dyDescent="0.25">
      <c r="H187" s="548"/>
      <c r="I187" s="4"/>
      <c r="J187" s="4"/>
      <c r="L187" s="4"/>
      <c r="R187" s="360"/>
      <c r="S187" s="360"/>
      <c r="T187" s="360"/>
      <c r="U187" s="360"/>
      <c r="W187" s="360"/>
      <c r="X187" s="360"/>
      <c r="Y187" s="360"/>
      <c r="Z187" s="360"/>
      <c r="AA187" s="541"/>
      <c r="AB187" s="360"/>
      <c r="AC187" s="360"/>
      <c r="AD187" s="360"/>
      <c r="AE187" s="360"/>
      <c r="AG187" s="360"/>
      <c r="AH187" s="360"/>
      <c r="AI187" s="360"/>
      <c r="AJ187" s="360"/>
      <c r="AK187" s="360"/>
      <c r="AL187" s="360"/>
      <c r="AM187" s="360"/>
      <c r="AN187" s="360"/>
      <c r="AO187" s="360"/>
      <c r="AP187" s="360"/>
      <c r="AQ187" s="360"/>
      <c r="AR187" s="360"/>
      <c r="AS187" s="360"/>
      <c r="AT187" s="360"/>
      <c r="AV187" s="542"/>
      <c r="AW187" s="551"/>
      <c r="AX187" s="551"/>
      <c r="AY187" s="9"/>
      <c r="AZ187" s="48"/>
      <c r="BA187" s="360"/>
      <c r="BB187" s="360"/>
      <c r="BC187" s="360"/>
      <c r="BD187" s="360"/>
      <c r="BE187" s="360"/>
    </row>
    <row r="188" spans="8:57" x14ac:dyDescent="0.25">
      <c r="H188" s="548"/>
      <c r="I188" s="4"/>
      <c r="J188" s="4"/>
      <c r="L188" s="4"/>
      <c r="R188" s="360"/>
      <c r="S188" s="360"/>
      <c r="T188" s="360"/>
      <c r="U188" s="360"/>
      <c r="W188" s="360"/>
      <c r="X188" s="360"/>
      <c r="Y188" s="360"/>
      <c r="Z188" s="360"/>
      <c r="AA188" s="541"/>
      <c r="AB188" s="360"/>
      <c r="AC188" s="360"/>
      <c r="AD188" s="360"/>
      <c r="AE188" s="360"/>
      <c r="AG188" s="360"/>
      <c r="AH188" s="360"/>
      <c r="AI188" s="360"/>
      <c r="AJ188" s="360"/>
      <c r="AK188" s="360"/>
      <c r="AL188" s="360"/>
      <c r="AM188" s="360"/>
      <c r="AN188" s="360"/>
      <c r="AO188" s="360"/>
      <c r="AP188" s="360"/>
      <c r="AQ188" s="360"/>
      <c r="AR188" s="360"/>
      <c r="AS188" s="360"/>
      <c r="AT188" s="360"/>
      <c r="AV188" s="542"/>
      <c r="AW188" s="551"/>
      <c r="AX188" s="551"/>
      <c r="AY188" s="9"/>
      <c r="AZ188" s="48"/>
      <c r="BA188" s="360"/>
      <c r="BB188" s="360"/>
      <c r="BC188" s="360"/>
      <c r="BD188" s="360"/>
      <c r="BE188" s="360"/>
    </row>
    <row r="189" spans="8:57" x14ac:dyDescent="0.25">
      <c r="H189" s="548"/>
      <c r="I189" s="4"/>
      <c r="J189" s="4"/>
      <c r="L189" s="4"/>
      <c r="R189" s="360"/>
      <c r="S189" s="360"/>
      <c r="T189" s="360"/>
      <c r="U189" s="360"/>
      <c r="W189" s="360"/>
      <c r="X189" s="360"/>
      <c r="Y189" s="360"/>
      <c r="Z189" s="360"/>
      <c r="AA189" s="541"/>
      <c r="AB189" s="360"/>
      <c r="AC189" s="360"/>
      <c r="AD189" s="360"/>
      <c r="AE189" s="360"/>
      <c r="AG189" s="360"/>
      <c r="AH189" s="360"/>
      <c r="AI189" s="360"/>
      <c r="AJ189" s="360"/>
      <c r="AK189" s="360"/>
      <c r="AL189" s="360"/>
      <c r="AM189" s="360"/>
      <c r="AN189" s="360"/>
      <c r="AO189" s="360"/>
      <c r="AP189" s="360"/>
      <c r="AQ189" s="360"/>
      <c r="AR189" s="360"/>
      <c r="AS189" s="360"/>
      <c r="AT189" s="360"/>
      <c r="AV189" s="542"/>
      <c r="AW189" s="551"/>
      <c r="AX189" s="551"/>
      <c r="AY189" s="9"/>
      <c r="AZ189" s="48"/>
      <c r="BA189" s="360"/>
      <c r="BB189" s="360"/>
      <c r="BC189" s="360"/>
      <c r="BD189" s="360"/>
      <c r="BE189" s="360"/>
    </row>
    <row r="190" spans="8:57" x14ac:dyDescent="0.25">
      <c r="H190" s="548"/>
      <c r="I190" s="4"/>
      <c r="J190" s="4"/>
      <c r="L190" s="4"/>
      <c r="R190" s="360"/>
      <c r="S190" s="360"/>
      <c r="T190" s="360"/>
      <c r="U190" s="360"/>
      <c r="W190" s="360"/>
      <c r="X190" s="360"/>
      <c r="Y190" s="360"/>
      <c r="Z190" s="360"/>
      <c r="AA190" s="541"/>
      <c r="AB190" s="360"/>
      <c r="AC190" s="360"/>
      <c r="AD190" s="360"/>
      <c r="AE190" s="360"/>
      <c r="AG190" s="360"/>
      <c r="AH190" s="360"/>
      <c r="AI190" s="360"/>
      <c r="AJ190" s="360"/>
      <c r="AK190" s="360"/>
      <c r="AL190" s="360"/>
      <c r="AM190" s="360"/>
      <c r="AN190" s="360"/>
      <c r="AO190" s="360"/>
      <c r="AP190" s="360"/>
      <c r="AQ190" s="360"/>
      <c r="AR190" s="360"/>
      <c r="AS190" s="360"/>
      <c r="AT190" s="360"/>
      <c r="AV190" s="542"/>
      <c r="AW190" s="551"/>
      <c r="AX190" s="551"/>
      <c r="AY190" s="9"/>
      <c r="AZ190" s="48"/>
      <c r="BA190" s="360"/>
      <c r="BB190" s="360"/>
      <c r="BC190" s="360"/>
      <c r="BD190" s="360"/>
      <c r="BE190" s="360"/>
    </row>
    <row r="191" spans="8:57" x14ac:dyDescent="0.25">
      <c r="H191" s="548"/>
      <c r="I191" s="4"/>
      <c r="J191" s="4"/>
      <c r="L191" s="4"/>
      <c r="R191" s="360"/>
      <c r="S191" s="360"/>
      <c r="T191" s="360"/>
      <c r="U191" s="360"/>
      <c r="W191" s="360"/>
      <c r="X191" s="360"/>
      <c r="Y191" s="360"/>
      <c r="Z191" s="360"/>
      <c r="AA191" s="541"/>
      <c r="AB191" s="360"/>
      <c r="AC191" s="360"/>
      <c r="AD191" s="360"/>
      <c r="AE191" s="360"/>
      <c r="AG191" s="360"/>
      <c r="AH191" s="360"/>
      <c r="AI191" s="360"/>
      <c r="AJ191" s="360"/>
      <c r="AK191" s="360"/>
      <c r="AL191" s="360"/>
      <c r="AM191" s="360"/>
      <c r="AN191" s="360"/>
      <c r="AO191" s="360"/>
      <c r="AP191" s="360"/>
      <c r="AQ191" s="360"/>
      <c r="AR191" s="360"/>
      <c r="AS191" s="360"/>
      <c r="AT191" s="360"/>
      <c r="AV191" s="542"/>
      <c r="AW191" s="551"/>
      <c r="AX191" s="551"/>
      <c r="AY191" s="9"/>
      <c r="AZ191" s="48"/>
      <c r="BA191" s="360"/>
      <c r="BB191" s="360"/>
      <c r="BC191" s="360"/>
      <c r="BD191" s="360"/>
      <c r="BE191" s="360"/>
    </row>
    <row r="192" spans="8:57" x14ac:dyDescent="0.25">
      <c r="H192" s="548"/>
      <c r="I192" s="4"/>
      <c r="J192" s="4"/>
      <c r="L192" s="4"/>
      <c r="R192" s="360"/>
      <c r="S192" s="360"/>
      <c r="T192" s="360"/>
      <c r="U192" s="360"/>
      <c r="W192" s="360"/>
      <c r="X192" s="360"/>
      <c r="Y192" s="360"/>
      <c r="Z192" s="360"/>
      <c r="AA192" s="541"/>
      <c r="AB192" s="360"/>
      <c r="AC192" s="360"/>
      <c r="AD192" s="360"/>
      <c r="AE192" s="360"/>
      <c r="AG192" s="360"/>
      <c r="AH192" s="360"/>
      <c r="AI192" s="360"/>
      <c r="AJ192" s="360"/>
      <c r="AK192" s="360"/>
      <c r="AL192" s="360"/>
      <c r="AM192" s="360"/>
      <c r="AN192" s="360"/>
      <c r="AO192" s="360"/>
      <c r="AP192" s="360"/>
      <c r="AQ192" s="360"/>
      <c r="AR192" s="360"/>
      <c r="AS192" s="360"/>
      <c r="AT192" s="360"/>
      <c r="AV192" s="542"/>
      <c r="AW192" s="551"/>
      <c r="AX192" s="551"/>
      <c r="AY192" s="9"/>
      <c r="AZ192" s="48"/>
      <c r="BA192" s="360"/>
      <c r="BB192" s="360"/>
      <c r="BC192" s="360"/>
      <c r="BD192" s="360"/>
      <c r="BE192" s="360"/>
    </row>
    <row r="193" spans="8:57" x14ac:dyDescent="0.25">
      <c r="H193" s="548"/>
      <c r="I193" s="4"/>
      <c r="J193" s="4"/>
      <c r="L193" s="4"/>
      <c r="R193" s="360"/>
      <c r="S193" s="360"/>
      <c r="T193" s="360"/>
      <c r="U193" s="360"/>
      <c r="W193" s="360"/>
      <c r="X193" s="360"/>
      <c r="Y193" s="360"/>
      <c r="Z193" s="360"/>
      <c r="AA193" s="541"/>
      <c r="AB193" s="360"/>
      <c r="AC193" s="360"/>
      <c r="AD193" s="360"/>
      <c r="AE193" s="360"/>
      <c r="AG193" s="360"/>
      <c r="AH193" s="360"/>
      <c r="AI193" s="360"/>
      <c r="AJ193" s="360"/>
      <c r="AK193" s="360"/>
      <c r="AL193" s="360"/>
      <c r="AM193" s="360"/>
      <c r="AN193" s="360"/>
      <c r="AO193" s="360"/>
      <c r="AP193" s="360"/>
      <c r="AQ193" s="360"/>
      <c r="AR193" s="360"/>
      <c r="AS193" s="360"/>
      <c r="AT193" s="360"/>
      <c r="AV193" s="542"/>
      <c r="AW193" s="551"/>
      <c r="AX193" s="551"/>
      <c r="AY193" s="9"/>
      <c r="AZ193" s="48"/>
      <c r="BA193" s="360"/>
      <c r="BB193" s="360"/>
      <c r="BC193" s="360"/>
      <c r="BD193" s="360"/>
      <c r="BE193" s="360"/>
    </row>
    <row r="194" spans="8:57" x14ac:dyDescent="0.25">
      <c r="H194" s="548"/>
      <c r="I194" s="4"/>
      <c r="J194" s="4"/>
      <c r="L194" s="4"/>
      <c r="R194" s="360"/>
      <c r="S194" s="360"/>
      <c r="T194" s="360"/>
      <c r="U194" s="360"/>
      <c r="W194" s="360"/>
      <c r="X194" s="360"/>
      <c r="Y194" s="360"/>
      <c r="Z194" s="360"/>
      <c r="AA194" s="541"/>
      <c r="AB194" s="360"/>
      <c r="AC194" s="360"/>
      <c r="AD194" s="360"/>
      <c r="AE194" s="360"/>
      <c r="AG194" s="360"/>
      <c r="AH194" s="360"/>
      <c r="AI194" s="360"/>
      <c r="AJ194" s="360"/>
      <c r="AK194" s="360"/>
      <c r="AL194" s="360"/>
      <c r="AM194" s="360"/>
      <c r="AN194" s="360"/>
      <c r="AO194" s="360"/>
      <c r="AP194" s="360"/>
      <c r="AQ194" s="360"/>
      <c r="AR194" s="360"/>
      <c r="AS194" s="360"/>
      <c r="AT194" s="360"/>
      <c r="AV194" s="542"/>
      <c r="AW194" s="551"/>
      <c r="AX194" s="551"/>
      <c r="AY194" s="9"/>
      <c r="AZ194" s="48"/>
      <c r="BA194" s="360"/>
      <c r="BB194" s="360"/>
      <c r="BC194" s="360"/>
      <c r="BD194" s="360"/>
      <c r="BE194" s="360"/>
    </row>
    <row r="195" spans="8:57" x14ac:dyDescent="0.25">
      <c r="H195" s="548"/>
      <c r="I195" s="4"/>
      <c r="J195" s="4"/>
      <c r="L195" s="4"/>
      <c r="R195" s="360"/>
      <c r="S195" s="360"/>
      <c r="T195" s="360"/>
      <c r="U195" s="360"/>
      <c r="W195" s="360"/>
      <c r="X195" s="360"/>
      <c r="Y195" s="360"/>
      <c r="Z195" s="360"/>
      <c r="AA195" s="541"/>
      <c r="AB195" s="360"/>
      <c r="AC195" s="360"/>
      <c r="AD195" s="360"/>
      <c r="AE195" s="360"/>
      <c r="AG195" s="360"/>
      <c r="AH195" s="360"/>
      <c r="AI195" s="360"/>
      <c r="AJ195" s="360"/>
      <c r="AK195" s="360"/>
      <c r="AL195" s="360"/>
      <c r="AM195" s="360"/>
      <c r="AN195" s="360"/>
      <c r="AO195" s="360"/>
      <c r="AP195" s="360"/>
      <c r="AQ195" s="360"/>
      <c r="AR195" s="360"/>
      <c r="AS195" s="360"/>
      <c r="AT195" s="360"/>
      <c r="AV195" s="542"/>
      <c r="AW195" s="551"/>
      <c r="AX195" s="551"/>
      <c r="AY195" s="9"/>
      <c r="AZ195" s="48"/>
      <c r="BA195" s="360"/>
      <c r="BB195" s="360"/>
      <c r="BC195" s="360"/>
      <c r="BD195" s="360"/>
      <c r="BE195" s="360"/>
    </row>
    <row r="196" spans="8:57" x14ac:dyDescent="0.25">
      <c r="H196" s="548"/>
      <c r="I196" s="4"/>
      <c r="J196" s="4"/>
      <c r="L196" s="4"/>
      <c r="R196" s="360"/>
      <c r="S196" s="360"/>
      <c r="T196" s="360"/>
      <c r="U196" s="360"/>
      <c r="W196" s="360"/>
      <c r="X196" s="360"/>
      <c r="Y196" s="360"/>
      <c r="Z196" s="360"/>
      <c r="AA196" s="541"/>
      <c r="AB196" s="360"/>
      <c r="AC196" s="360"/>
      <c r="AD196" s="360"/>
      <c r="AE196" s="360"/>
      <c r="AG196" s="360"/>
      <c r="AH196" s="360"/>
      <c r="AI196" s="360"/>
      <c r="AJ196" s="360"/>
      <c r="AK196" s="360"/>
      <c r="AL196" s="360"/>
      <c r="AM196" s="360"/>
      <c r="AN196" s="360"/>
      <c r="AO196" s="360"/>
      <c r="AP196" s="360"/>
      <c r="AQ196" s="360"/>
      <c r="AR196" s="360"/>
      <c r="AS196" s="360"/>
      <c r="AT196" s="360"/>
      <c r="AV196" s="542"/>
      <c r="AW196" s="551"/>
      <c r="AX196" s="551"/>
      <c r="AY196" s="9"/>
      <c r="AZ196" s="48"/>
      <c r="BA196" s="360"/>
      <c r="BB196" s="360"/>
      <c r="BC196" s="360"/>
      <c r="BD196" s="360"/>
      <c r="BE196" s="360"/>
    </row>
    <row r="197" spans="8:57" x14ac:dyDescent="0.25">
      <c r="H197" s="548"/>
      <c r="I197" s="4"/>
      <c r="J197" s="4"/>
      <c r="L197" s="4"/>
      <c r="R197" s="360"/>
      <c r="S197" s="360"/>
      <c r="T197" s="360"/>
      <c r="U197" s="360"/>
      <c r="W197" s="360"/>
      <c r="X197" s="360"/>
      <c r="Y197" s="360"/>
      <c r="Z197" s="360"/>
      <c r="AA197" s="541"/>
      <c r="AB197" s="360"/>
      <c r="AC197" s="360"/>
      <c r="AD197" s="360"/>
      <c r="AE197" s="360"/>
      <c r="AG197" s="360"/>
      <c r="AH197" s="360"/>
      <c r="AI197" s="360"/>
      <c r="AJ197" s="360"/>
      <c r="AK197" s="360"/>
      <c r="AL197" s="360"/>
      <c r="AM197" s="360"/>
      <c r="AN197" s="360"/>
      <c r="AO197" s="360"/>
      <c r="AP197" s="360"/>
      <c r="AQ197" s="360"/>
      <c r="AR197" s="360"/>
      <c r="AS197" s="360"/>
      <c r="AT197" s="360"/>
      <c r="AV197" s="542"/>
      <c r="AW197" s="551"/>
      <c r="AX197" s="551"/>
      <c r="AY197" s="9"/>
      <c r="AZ197" s="48"/>
      <c r="BA197" s="360"/>
      <c r="BB197" s="360"/>
      <c r="BC197" s="360"/>
      <c r="BD197" s="360"/>
      <c r="BE197" s="360"/>
    </row>
    <row r="198" spans="8:57" x14ac:dyDescent="0.25">
      <c r="H198" s="548"/>
      <c r="I198" s="4"/>
      <c r="J198" s="4"/>
      <c r="L198" s="4"/>
      <c r="R198" s="360"/>
      <c r="S198" s="360"/>
      <c r="T198" s="360"/>
      <c r="U198" s="360"/>
      <c r="W198" s="360"/>
      <c r="X198" s="360"/>
      <c r="Y198" s="360"/>
      <c r="Z198" s="360"/>
      <c r="AA198" s="541"/>
      <c r="AB198" s="360"/>
      <c r="AC198" s="360"/>
      <c r="AD198" s="360"/>
      <c r="AE198" s="360"/>
      <c r="AG198" s="360"/>
      <c r="AH198" s="360"/>
      <c r="AI198" s="360"/>
      <c r="AJ198" s="360"/>
      <c r="AK198" s="360"/>
      <c r="AL198" s="360"/>
      <c r="AM198" s="360"/>
      <c r="AN198" s="360"/>
      <c r="AO198" s="360"/>
      <c r="AP198" s="360"/>
      <c r="AQ198" s="360"/>
      <c r="AR198" s="360"/>
      <c r="AS198" s="360"/>
      <c r="AT198" s="360"/>
      <c r="AV198" s="542"/>
      <c r="AW198" s="551"/>
      <c r="AX198" s="551"/>
      <c r="AY198" s="9"/>
      <c r="AZ198" s="48"/>
      <c r="BA198" s="360"/>
      <c r="BB198" s="360"/>
      <c r="BC198" s="360"/>
      <c r="BD198" s="360"/>
      <c r="BE198" s="360"/>
    </row>
    <row r="199" spans="8:57" x14ac:dyDescent="0.25">
      <c r="H199" s="548"/>
      <c r="I199" s="4"/>
      <c r="J199" s="4"/>
      <c r="L199" s="4"/>
      <c r="R199" s="360"/>
      <c r="S199" s="360"/>
      <c r="T199" s="360"/>
      <c r="U199" s="360"/>
      <c r="W199" s="360"/>
      <c r="X199" s="360"/>
      <c r="Y199" s="360"/>
      <c r="Z199" s="360"/>
      <c r="AA199" s="541"/>
      <c r="AB199" s="360"/>
      <c r="AC199" s="360"/>
      <c r="AD199" s="360"/>
      <c r="AE199" s="360"/>
      <c r="AG199" s="360"/>
      <c r="AH199" s="360"/>
      <c r="AI199" s="360"/>
      <c r="AJ199" s="360"/>
      <c r="AK199" s="360"/>
      <c r="AL199" s="360"/>
      <c r="AM199" s="360"/>
      <c r="AN199" s="360"/>
      <c r="AO199" s="360"/>
      <c r="AP199" s="360"/>
      <c r="AQ199" s="360"/>
      <c r="AR199" s="360"/>
      <c r="AS199" s="360"/>
      <c r="AT199" s="360"/>
      <c r="AV199" s="542"/>
      <c r="AW199" s="551"/>
      <c r="AX199" s="551"/>
      <c r="AY199" s="9"/>
      <c r="AZ199" s="48"/>
      <c r="BA199" s="360"/>
      <c r="BB199" s="360"/>
      <c r="BC199" s="360"/>
      <c r="BD199" s="360"/>
      <c r="BE199" s="360"/>
    </row>
    <row r="200" spans="8:57" x14ac:dyDescent="0.25">
      <c r="H200" s="548"/>
      <c r="I200" s="4"/>
      <c r="J200" s="4"/>
      <c r="L200" s="4"/>
      <c r="R200" s="360"/>
      <c r="S200" s="360"/>
      <c r="T200" s="360"/>
      <c r="U200" s="360"/>
      <c r="W200" s="360"/>
      <c r="X200" s="360"/>
      <c r="Y200" s="360"/>
      <c r="Z200" s="360"/>
      <c r="AA200" s="541"/>
      <c r="AB200" s="360"/>
      <c r="AC200" s="360"/>
      <c r="AD200" s="360"/>
      <c r="AE200" s="360"/>
      <c r="AG200" s="360"/>
      <c r="AH200" s="360"/>
      <c r="AI200" s="360"/>
      <c r="AJ200" s="360"/>
      <c r="AK200" s="360"/>
      <c r="AL200" s="360"/>
      <c r="AM200" s="360"/>
      <c r="AN200" s="360"/>
      <c r="AO200" s="360"/>
      <c r="AP200" s="360"/>
      <c r="AQ200" s="360"/>
      <c r="AR200" s="360"/>
      <c r="AS200" s="360"/>
      <c r="AT200" s="360"/>
      <c r="AV200" s="542"/>
      <c r="AW200" s="551"/>
      <c r="AX200" s="551"/>
      <c r="AY200" s="9"/>
      <c r="AZ200" s="48"/>
      <c r="BA200" s="360"/>
      <c r="BB200" s="360"/>
      <c r="BC200" s="360"/>
      <c r="BD200" s="360"/>
      <c r="BE200" s="360"/>
    </row>
    <row r="201" spans="8:57" x14ac:dyDescent="0.25">
      <c r="H201" s="548"/>
      <c r="I201" s="4"/>
      <c r="J201" s="4"/>
      <c r="L201" s="4"/>
      <c r="R201" s="360"/>
      <c r="S201" s="360"/>
      <c r="T201" s="360"/>
      <c r="U201" s="360"/>
      <c r="W201" s="360"/>
      <c r="X201" s="360"/>
      <c r="Y201" s="360"/>
      <c r="Z201" s="360"/>
      <c r="AA201" s="541"/>
      <c r="AB201" s="360"/>
      <c r="AC201" s="360"/>
      <c r="AD201" s="360"/>
      <c r="AE201" s="360"/>
      <c r="AG201" s="360"/>
      <c r="AH201" s="360"/>
      <c r="AI201" s="360"/>
      <c r="AJ201" s="360"/>
      <c r="AK201" s="360"/>
      <c r="AL201" s="360"/>
      <c r="AM201" s="360"/>
      <c r="AN201" s="360"/>
      <c r="AO201" s="360"/>
      <c r="AP201" s="360"/>
      <c r="AQ201" s="360"/>
      <c r="AR201" s="360"/>
      <c r="AS201" s="360"/>
      <c r="AT201" s="360"/>
      <c r="AV201" s="542"/>
      <c r="AW201" s="551"/>
      <c r="AX201" s="551"/>
      <c r="AY201" s="9"/>
      <c r="AZ201" s="48"/>
      <c r="BA201" s="360"/>
      <c r="BB201" s="360"/>
      <c r="BC201" s="360"/>
      <c r="BD201" s="360"/>
      <c r="BE201" s="360"/>
    </row>
    <row r="202" spans="8:57" x14ac:dyDescent="0.25">
      <c r="H202" s="548"/>
      <c r="I202" s="4"/>
      <c r="J202" s="4"/>
      <c r="L202" s="4"/>
      <c r="R202" s="360"/>
      <c r="S202" s="360"/>
      <c r="T202" s="360"/>
      <c r="U202" s="360"/>
      <c r="W202" s="360"/>
      <c r="X202" s="360"/>
      <c r="Y202" s="360"/>
      <c r="Z202" s="360"/>
      <c r="AA202" s="541"/>
      <c r="AB202" s="360"/>
      <c r="AC202" s="360"/>
      <c r="AD202" s="360"/>
      <c r="AE202" s="360"/>
      <c r="AG202" s="360"/>
      <c r="AH202" s="360"/>
      <c r="AI202" s="360"/>
      <c r="AJ202" s="360"/>
      <c r="AK202" s="360"/>
      <c r="AL202" s="360"/>
      <c r="AM202" s="360"/>
      <c r="AN202" s="360"/>
      <c r="AO202" s="360"/>
      <c r="AP202" s="360"/>
      <c r="AQ202" s="360"/>
      <c r="AR202" s="360"/>
      <c r="AS202" s="360"/>
      <c r="AT202" s="360"/>
      <c r="AV202" s="542"/>
      <c r="AW202" s="551"/>
      <c r="AX202" s="551"/>
      <c r="AY202" s="9"/>
      <c r="AZ202" s="48"/>
      <c r="BA202" s="360"/>
      <c r="BB202" s="360"/>
      <c r="BC202" s="360"/>
      <c r="BD202" s="360"/>
      <c r="BE202" s="360"/>
    </row>
    <row r="203" spans="8:57" x14ac:dyDescent="0.25">
      <c r="H203" s="548"/>
      <c r="I203" s="4"/>
      <c r="J203" s="4"/>
      <c r="L203" s="4"/>
      <c r="R203" s="360"/>
      <c r="S203" s="360"/>
      <c r="T203" s="360"/>
      <c r="U203" s="360"/>
      <c r="W203" s="360"/>
      <c r="X203" s="360"/>
      <c r="Y203" s="360"/>
      <c r="Z203" s="360"/>
      <c r="AA203" s="541"/>
      <c r="AB203" s="360"/>
      <c r="AC203" s="360"/>
      <c r="AD203" s="360"/>
      <c r="AE203" s="360"/>
      <c r="AG203" s="360"/>
      <c r="AH203" s="360"/>
      <c r="AI203" s="360"/>
      <c r="AJ203" s="360"/>
      <c r="AK203" s="360"/>
      <c r="AL203" s="360"/>
      <c r="AM203" s="360"/>
      <c r="AN203" s="360"/>
      <c r="AO203" s="360"/>
      <c r="AP203" s="360"/>
      <c r="AQ203" s="360"/>
      <c r="AR203" s="360"/>
      <c r="AS203" s="360"/>
      <c r="AT203" s="360"/>
      <c r="AV203" s="542"/>
      <c r="AW203" s="551"/>
      <c r="AX203" s="551"/>
      <c r="AY203" s="9"/>
      <c r="AZ203" s="48"/>
      <c r="BA203" s="360"/>
      <c r="BB203" s="360"/>
      <c r="BC203" s="360"/>
      <c r="BD203" s="360"/>
      <c r="BE203" s="360"/>
    </row>
    <row r="204" spans="8:57" x14ac:dyDescent="0.25">
      <c r="H204" s="548"/>
      <c r="I204" s="4"/>
      <c r="J204" s="4"/>
      <c r="L204" s="4"/>
      <c r="R204" s="360"/>
      <c r="S204" s="360"/>
      <c r="T204" s="360"/>
      <c r="U204" s="360"/>
      <c r="W204" s="360"/>
      <c r="X204" s="360"/>
      <c r="Y204" s="360"/>
      <c r="Z204" s="360"/>
      <c r="AA204" s="541"/>
      <c r="AB204" s="360"/>
      <c r="AC204" s="360"/>
      <c r="AD204" s="360"/>
      <c r="AE204" s="360"/>
      <c r="AG204" s="360"/>
      <c r="AH204" s="360"/>
      <c r="AI204" s="360"/>
      <c r="AJ204" s="360"/>
      <c r="AK204" s="360"/>
      <c r="AL204" s="360"/>
      <c r="AM204" s="360"/>
      <c r="AN204" s="360"/>
      <c r="AO204" s="360"/>
      <c r="AP204" s="360"/>
      <c r="AQ204" s="360"/>
      <c r="AR204" s="360"/>
      <c r="AS204" s="360"/>
      <c r="AT204" s="360"/>
      <c r="AV204" s="542"/>
      <c r="AW204" s="551"/>
      <c r="AX204" s="551"/>
      <c r="AY204" s="9"/>
      <c r="AZ204" s="48"/>
      <c r="BA204" s="360"/>
      <c r="BB204" s="360"/>
      <c r="BC204" s="360"/>
      <c r="BD204" s="360"/>
      <c r="BE204" s="360"/>
    </row>
    <row r="205" spans="8:57" x14ac:dyDescent="0.25">
      <c r="H205" s="548"/>
      <c r="I205" s="4"/>
      <c r="J205" s="4"/>
      <c r="L205" s="4"/>
      <c r="R205" s="360"/>
      <c r="S205" s="360"/>
      <c r="T205" s="360"/>
      <c r="U205" s="360"/>
      <c r="W205" s="360"/>
      <c r="X205" s="360"/>
      <c r="Y205" s="360"/>
      <c r="Z205" s="360"/>
      <c r="AA205" s="541"/>
      <c r="AB205" s="360"/>
      <c r="AC205" s="360"/>
      <c r="AD205" s="360"/>
      <c r="AE205" s="360"/>
      <c r="AG205" s="360"/>
      <c r="AH205" s="360"/>
      <c r="AI205" s="360"/>
      <c r="AJ205" s="360"/>
      <c r="AK205" s="360"/>
      <c r="AL205" s="360"/>
      <c r="AM205" s="360"/>
      <c r="AN205" s="360"/>
      <c r="AO205" s="360"/>
      <c r="AP205" s="360"/>
      <c r="AQ205" s="360"/>
      <c r="AR205" s="360"/>
      <c r="AS205" s="360"/>
      <c r="AT205" s="360"/>
      <c r="AV205" s="542"/>
      <c r="AW205" s="551"/>
      <c r="AX205" s="551"/>
      <c r="AY205" s="9"/>
      <c r="AZ205" s="48"/>
      <c r="BA205" s="360"/>
      <c r="BB205" s="360"/>
      <c r="BC205" s="360"/>
      <c r="BD205" s="360"/>
      <c r="BE205" s="360"/>
    </row>
    <row r="206" spans="8:57" x14ac:dyDescent="0.25">
      <c r="H206" s="548"/>
      <c r="I206" s="4"/>
      <c r="J206" s="4"/>
      <c r="L206" s="4"/>
      <c r="R206" s="360"/>
      <c r="S206" s="360"/>
      <c r="T206" s="360"/>
      <c r="U206" s="360"/>
      <c r="W206" s="360"/>
      <c r="X206" s="360"/>
      <c r="Y206" s="360"/>
      <c r="Z206" s="360"/>
      <c r="AA206" s="541"/>
      <c r="AB206" s="360"/>
      <c r="AC206" s="360"/>
      <c r="AD206" s="360"/>
      <c r="AE206" s="360"/>
      <c r="AG206" s="360"/>
      <c r="AH206" s="360"/>
      <c r="AI206" s="360"/>
      <c r="AJ206" s="360"/>
      <c r="AK206" s="360"/>
      <c r="AL206" s="360"/>
      <c r="AM206" s="360"/>
      <c r="AN206" s="360"/>
      <c r="AO206" s="360"/>
      <c r="AP206" s="360"/>
      <c r="AQ206" s="360"/>
      <c r="AR206" s="360"/>
      <c r="AS206" s="360"/>
      <c r="AT206" s="360"/>
      <c r="AV206" s="542"/>
      <c r="AW206" s="551"/>
      <c r="AX206" s="551"/>
      <c r="AY206" s="9"/>
      <c r="AZ206" s="48"/>
      <c r="BA206" s="360"/>
      <c r="BB206" s="360"/>
      <c r="BC206" s="360"/>
      <c r="BD206" s="360"/>
      <c r="BE206" s="360"/>
    </row>
    <row r="207" spans="8:57" x14ac:dyDescent="0.25">
      <c r="H207" s="548"/>
      <c r="I207" s="4"/>
      <c r="J207" s="4"/>
      <c r="L207" s="4"/>
      <c r="R207" s="360"/>
      <c r="S207" s="360"/>
      <c r="T207" s="360"/>
      <c r="U207" s="360"/>
      <c r="W207" s="360"/>
      <c r="X207" s="360"/>
      <c r="Y207" s="360"/>
      <c r="Z207" s="360"/>
      <c r="AA207" s="541"/>
      <c r="AB207" s="360"/>
      <c r="AC207" s="360"/>
      <c r="AD207" s="360"/>
      <c r="AE207" s="360"/>
      <c r="AG207" s="360"/>
      <c r="AH207" s="360"/>
      <c r="AI207" s="360"/>
      <c r="AJ207" s="360"/>
      <c r="AK207" s="360"/>
      <c r="AL207" s="360"/>
      <c r="AM207" s="360"/>
      <c r="AN207" s="360"/>
      <c r="AO207" s="360"/>
      <c r="AP207" s="360"/>
      <c r="AQ207" s="360"/>
      <c r="AR207" s="360"/>
      <c r="AS207" s="360"/>
      <c r="AT207" s="360"/>
      <c r="AV207" s="542"/>
      <c r="AW207" s="551"/>
      <c r="AX207" s="551"/>
      <c r="AY207" s="9"/>
      <c r="AZ207" s="48"/>
      <c r="BA207" s="360"/>
      <c r="BB207" s="360"/>
      <c r="BC207" s="360"/>
      <c r="BD207" s="360"/>
      <c r="BE207" s="360"/>
    </row>
    <row r="208" spans="8:57" x14ac:dyDescent="0.25">
      <c r="H208" s="548"/>
      <c r="I208" s="4"/>
      <c r="J208" s="4"/>
      <c r="L208" s="4"/>
      <c r="R208" s="360"/>
      <c r="S208" s="360"/>
      <c r="T208" s="360"/>
      <c r="U208" s="360"/>
      <c r="W208" s="360"/>
      <c r="X208" s="360"/>
      <c r="Y208" s="360"/>
      <c r="Z208" s="360"/>
      <c r="AA208" s="541"/>
      <c r="AB208" s="360"/>
      <c r="AC208" s="360"/>
      <c r="AD208" s="360"/>
      <c r="AE208" s="360"/>
      <c r="AG208" s="360"/>
      <c r="AH208" s="360"/>
      <c r="AI208" s="360"/>
      <c r="AJ208" s="360"/>
      <c r="AK208" s="360"/>
      <c r="AL208" s="360"/>
      <c r="AM208" s="360"/>
      <c r="AN208" s="360"/>
      <c r="AO208" s="360"/>
      <c r="AP208" s="360"/>
      <c r="AQ208" s="360"/>
      <c r="AR208" s="360"/>
      <c r="AS208" s="360"/>
      <c r="AT208" s="360"/>
      <c r="AV208" s="542"/>
      <c r="AW208" s="551"/>
      <c r="AX208" s="551"/>
      <c r="AY208" s="9"/>
      <c r="AZ208" s="48"/>
      <c r="BA208" s="360"/>
      <c r="BB208" s="360"/>
      <c r="BC208" s="360"/>
      <c r="BD208" s="360"/>
      <c r="BE208" s="360"/>
    </row>
    <row r="209" spans="8:57" x14ac:dyDescent="0.25">
      <c r="H209" s="548"/>
      <c r="I209" s="4"/>
      <c r="J209" s="4"/>
      <c r="L209" s="4"/>
      <c r="R209" s="360"/>
      <c r="S209" s="360"/>
      <c r="T209" s="360"/>
      <c r="U209" s="360"/>
      <c r="W209" s="360"/>
      <c r="X209" s="360"/>
      <c r="Y209" s="360"/>
      <c r="Z209" s="360"/>
      <c r="AA209" s="541"/>
      <c r="AB209" s="360"/>
      <c r="AC209" s="360"/>
      <c r="AD209" s="360"/>
      <c r="AE209" s="360"/>
      <c r="AG209" s="360"/>
      <c r="AH209" s="360"/>
      <c r="AI209" s="360"/>
      <c r="AJ209" s="360"/>
      <c r="AK209" s="360"/>
      <c r="AL209" s="360"/>
      <c r="AM209" s="360"/>
      <c r="AN209" s="360"/>
      <c r="AO209" s="360"/>
      <c r="AP209" s="360"/>
      <c r="AQ209" s="360"/>
      <c r="AR209" s="360"/>
      <c r="AS209" s="360"/>
      <c r="AT209" s="360"/>
      <c r="AV209" s="542"/>
      <c r="AW209" s="551"/>
      <c r="AX209" s="551"/>
      <c r="AY209" s="9"/>
      <c r="AZ209" s="48"/>
      <c r="BA209" s="360"/>
      <c r="BB209" s="360"/>
      <c r="BC209" s="360"/>
      <c r="BD209" s="360"/>
      <c r="BE209" s="360"/>
    </row>
  </sheetData>
  <sheetProtection selectLockedCells="1"/>
  <mergeCells count="11">
    <mergeCell ref="Y7:AA7"/>
    <mergeCell ref="A1:D4"/>
    <mergeCell ref="A6:D7"/>
    <mergeCell ref="G7:N7"/>
    <mergeCell ref="R7:U7"/>
    <mergeCell ref="V7:X7"/>
    <mergeCell ref="AZ7:BE7"/>
    <mergeCell ref="AB7:AG7"/>
    <mergeCell ref="AH7:AK7"/>
    <mergeCell ref="AO7:AS7"/>
    <mergeCell ref="AT7:AX7"/>
  </mergeCells>
  <pageMargins left="0.75" right="0.75" top="1" bottom="1" header="0.5" footer="0.5"/>
  <pageSetup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rgb="FF92D050"/>
  </sheetPr>
  <dimension ref="A1:BM209"/>
  <sheetViews>
    <sheetView topLeftCell="AA1" zoomScaleNormal="100" workbookViewId="0">
      <pane ySplit="8" topLeftCell="A95" activePane="bottomLeft" state="frozen"/>
      <selection activeCell="F1" sqref="F1"/>
      <selection pane="bottomLeft" activeCell="AN110" sqref="AN110"/>
    </sheetView>
  </sheetViews>
  <sheetFormatPr defaultRowHeight="12.5" x14ac:dyDescent="0.25"/>
  <cols>
    <col min="1" max="1" width="19.90625" customWidth="1"/>
    <col min="2" max="2" width="13.08984375" bestFit="1" customWidth="1"/>
    <col min="4" max="4" width="74.54296875" customWidth="1"/>
    <col min="6" max="6" width="9.08984375" customWidth="1"/>
    <col min="7" max="7" width="6.90625" customWidth="1"/>
    <col min="8" max="8" width="9.08984375" style="547"/>
    <col min="9" max="9" width="9.90625" customWidth="1"/>
    <col min="10" max="10" width="8.08984375" customWidth="1"/>
    <col min="11" max="12" width="7.453125" customWidth="1"/>
    <col min="13" max="13" width="10.6328125" style="360" customWidth="1"/>
    <col min="14" max="16" width="8.90625" style="4" customWidth="1"/>
    <col min="17" max="17" width="11" style="4" customWidth="1"/>
    <col min="18" max="18" width="8" style="4" customWidth="1"/>
    <col min="19" max="19" width="9.453125" style="311" customWidth="1"/>
    <col min="20" max="20" width="8" customWidth="1"/>
    <col min="21" max="21" width="9.36328125" customWidth="1"/>
    <col min="22" max="22" width="8.90625" style="4" customWidth="1"/>
    <col min="23" max="23" width="9.90625" customWidth="1"/>
    <col min="24" max="24" width="10.6328125" customWidth="1"/>
    <col min="25" max="25" width="9.6328125" style="311" customWidth="1"/>
    <col min="26" max="26" width="10.54296875" customWidth="1"/>
    <col min="28" max="29" width="8.54296875" customWidth="1"/>
    <col min="30" max="30" width="10" customWidth="1"/>
    <col min="31" max="31" width="12.36328125" customWidth="1"/>
    <col min="32" max="32" width="8" customWidth="1"/>
    <col min="33" max="33" width="9.90625" customWidth="1"/>
    <col min="34" max="35" width="8.90625" customWidth="1"/>
    <col min="36" max="36" width="10.54296875" customWidth="1"/>
    <col min="37" max="37" width="10.36328125" customWidth="1"/>
    <col min="38" max="38" width="13.6328125" customWidth="1"/>
    <col min="39" max="39" width="12" style="311" customWidth="1"/>
    <col min="40" max="40" width="11.54296875" customWidth="1"/>
    <col min="41" max="41" width="9.36328125" customWidth="1"/>
    <col min="42" max="44" width="10.453125" customWidth="1"/>
    <col min="46" max="46" width="8.453125" style="4" customWidth="1"/>
    <col min="47" max="47" width="7.36328125" customWidth="1"/>
    <col min="48" max="48" width="10.08984375" style="9" customWidth="1"/>
    <col min="49" max="49" width="12.453125" style="379" customWidth="1"/>
    <col min="50" max="50" width="11.453125" style="379" customWidth="1"/>
    <col min="51" max="51" width="3.36328125" customWidth="1"/>
    <col min="52" max="52" width="7.90625" style="360" customWidth="1"/>
    <col min="53" max="53" width="9.08984375" style="311"/>
    <col min="54" max="54" width="10.36328125" style="311" customWidth="1"/>
    <col min="55" max="55" width="12.08984375" style="311" customWidth="1"/>
    <col min="56" max="56" width="8.90625" style="311" customWidth="1"/>
    <col min="57" max="57" width="7.90625" customWidth="1"/>
    <col min="61" max="61" width="28.453125" customWidth="1"/>
    <col min="64" max="64" width="12.453125" bestFit="1" customWidth="1"/>
  </cols>
  <sheetData>
    <row r="1" spans="1:65" ht="12.75" customHeight="1" x14ac:dyDescent="0.25">
      <c r="A1" s="763" t="s">
        <v>753</v>
      </c>
      <c r="B1" s="763"/>
      <c r="C1" s="763"/>
      <c r="D1" s="763"/>
    </row>
    <row r="2" spans="1:65" ht="12.75" customHeight="1" x14ac:dyDescent="0.25">
      <c r="A2" s="763"/>
      <c r="B2" s="763"/>
      <c r="C2" s="763"/>
      <c r="D2" s="763"/>
      <c r="H2" s="552">
        <f>AV19</f>
        <v>0.86958376530592796</v>
      </c>
      <c r="I2" s="114" t="s">
        <v>602</v>
      </c>
      <c r="AK2" s="114"/>
    </row>
    <row r="3" spans="1:65" ht="12.75" customHeight="1" x14ac:dyDescent="0.25">
      <c r="A3" s="763"/>
      <c r="B3" s="763"/>
      <c r="C3" s="763"/>
      <c r="D3" s="763"/>
      <c r="H3" s="552">
        <f>AV59</f>
        <v>0.94946955506016129</v>
      </c>
      <c r="I3" s="114" t="s">
        <v>604</v>
      </c>
      <c r="AK3" s="114"/>
    </row>
    <row r="4" spans="1:65" ht="12.75" customHeight="1" x14ac:dyDescent="0.25">
      <c r="A4" s="763"/>
      <c r="B4" s="763"/>
      <c r="C4" s="763"/>
      <c r="D4" s="763"/>
      <c r="H4" s="552">
        <f>AV109</f>
        <v>0.94570739368121215</v>
      </c>
      <c r="I4" s="114" t="s">
        <v>603</v>
      </c>
      <c r="AK4" s="114"/>
      <c r="AM4" s="311">
        <f>QrrSky_Q4</f>
        <v>0</v>
      </c>
    </row>
    <row r="5" spans="1:65" ht="13" x14ac:dyDescent="0.3">
      <c r="A5" s="10"/>
      <c r="B5" s="11"/>
      <c r="C5" s="6"/>
      <c r="D5" s="6"/>
    </row>
    <row r="6" spans="1:65" ht="13.5" customHeight="1" thickBot="1" x14ac:dyDescent="0.3">
      <c r="A6" s="764" t="s">
        <v>474</v>
      </c>
      <c r="B6" s="764"/>
      <c r="C6" s="764"/>
      <c r="D6" s="764"/>
    </row>
    <row r="7" spans="1:65" ht="13.5" thickBot="1" x14ac:dyDescent="0.35">
      <c r="A7" s="764"/>
      <c r="B7" s="764"/>
      <c r="C7" s="764"/>
      <c r="D7" s="764"/>
      <c r="G7" s="756" t="s">
        <v>595</v>
      </c>
      <c r="H7" s="757"/>
      <c r="I7" s="757"/>
      <c r="J7" s="757"/>
      <c r="K7" s="757"/>
      <c r="L7" s="768"/>
      <c r="M7" s="757"/>
      <c r="N7" s="758"/>
      <c r="O7" s="661"/>
      <c r="P7" s="661"/>
      <c r="Q7" s="661"/>
      <c r="R7" s="756" t="s">
        <v>485</v>
      </c>
      <c r="S7" s="757"/>
      <c r="T7" s="757"/>
      <c r="U7" s="758"/>
      <c r="V7" s="765" t="s">
        <v>25</v>
      </c>
      <c r="W7" s="766"/>
      <c r="X7" s="767"/>
      <c r="Y7" s="756" t="s">
        <v>57</v>
      </c>
      <c r="Z7" s="757"/>
      <c r="AA7" s="758"/>
      <c r="AB7" s="756" t="s">
        <v>592</v>
      </c>
      <c r="AC7" s="757"/>
      <c r="AD7" s="757"/>
      <c r="AE7" s="768"/>
      <c r="AF7" s="757"/>
      <c r="AG7" s="758"/>
      <c r="AH7" s="756" t="s">
        <v>593</v>
      </c>
      <c r="AI7" s="757"/>
      <c r="AJ7" s="757"/>
      <c r="AK7" s="758"/>
      <c r="AL7" s="466" t="s">
        <v>201</v>
      </c>
      <c r="AM7" s="468" t="s">
        <v>458</v>
      </c>
      <c r="AN7" s="467" t="s">
        <v>503</v>
      </c>
      <c r="AO7" s="759" t="s">
        <v>492</v>
      </c>
      <c r="AP7" s="760"/>
      <c r="AQ7" s="760"/>
      <c r="AR7" s="761"/>
      <c r="AS7" s="762"/>
      <c r="AT7" s="756" t="s">
        <v>500</v>
      </c>
      <c r="AU7" s="757"/>
      <c r="AV7" s="757"/>
      <c r="AW7" s="757"/>
      <c r="AX7" s="757"/>
      <c r="AY7" s="543"/>
      <c r="AZ7" s="755" t="s">
        <v>501</v>
      </c>
      <c r="BA7" s="755"/>
      <c r="BB7" s="755"/>
      <c r="BC7" s="755"/>
      <c r="BD7" s="755"/>
      <c r="BE7" s="755"/>
    </row>
    <row r="8" spans="1:65" ht="78.5" thickBot="1" x14ac:dyDescent="0.65">
      <c r="A8" s="606" t="s">
        <v>108</v>
      </c>
      <c r="B8" s="13"/>
      <c r="C8" s="13"/>
      <c r="D8" s="6"/>
      <c r="G8" s="451" t="s">
        <v>53</v>
      </c>
      <c r="H8" s="546" t="s">
        <v>3</v>
      </c>
      <c r="I8" s="538" t="s">
        <v>594</v>
      </c>
      <c r="J8" s="452" t="s">
        <v>5</v>
      </c>
      <c r="K8" s="452" t="s">
        <v>305</v>
      </c>
      <c r="L8" s="452"/>
      <c r="M8" s="463" t="s">
        <v>596</v>
      </c>
      <c r="N8" s="540" t="s">
        <v>486</v>
      </c>
      <c r="O8" s="662" t="s">
        <v>830</v>
      </c>
      <c r="P8" s="463" t="s">
        <v>843</v>
      </c>
      <c r="Q8" s="662" t="s">
        <v>844</v>
      </c>
      <c r="R8" s="539" t="s">
        <v>591</v>
      </c>
      <c r="S8" s="465" t="s">
        <v>87</v>
      </c>
      <c r="T8" s="452" t="s">
        <v>590</v>
      </c>
      <c r="U8" s="453" t="s">
        <v>521</v>
      </c>
      <c r="V8" s="539" t="s">
        <v>488</v>
      </c>
      <c r="W8" s="454" t="s">
        <v>487</v>
      </c>
      <c r="X8" s="453" t="s">
        <v>520</v>
      </c>
      <c r="Y8" s="464" t="s">
        <v>489</v>
      </c>
      <c r="Z8" s="452" t="s">
        <v>490</v>
      </c>
      <c r="AA8" s="453" t="s">
        <v>518</v>
      </c>
      <c r="AB8" s="451" t="s">
        <v>84</v>
      </c>
      <c r="AC8" s="452" t="s">
        <v>491</v>
      </c>
      <c r="AD8" s="452" t="s">
        <v>587</v>
      </c>
      <c r="AE8" s="653" t="s">
        <v>829</v>
      </c>
      <c r="AF8" s="455" t="s">
        <v>202</v>
      </c>
      <c r="AG8" s="453" t="s">
        <v>588</v>
      </c>
      <c r="AH8" s="451" t="s">
        <v>84</v>
      </c>
      <c r="AI8" s="452" t="s">
        <v>491</v>
      </c>
      <c r="AJ8" s="452" t="s">
        <v>494</v>
      </c>
      <c r="AK8" s="456" t="s">
        <v>589</v>
      </c>
      <c r="AL8" s="453" t="s">
        <v>494</v>
      </c>
      <c r="AM8" s="469" t="s">
        <v>93</v>
      </c>
      <c r="AN8" s="470" t="s">
        <v>502</v>
      </c>
      <c r="AO8" s="457" t="s">
        <v>495</v>
      </c>
      <c r="AP8" s="458" t="s">
        <v>135</v>
      </c>
      <c r="AQ8" s="459" t="s">
        <v>204</v>
      </c>
      <c r="AR8" s="458" t="s">
        <v>816</v>
      </c>
      <c r="AS8" s="460" t="s">
        <v>493</v>
      </c>
      <c r="AT8" s="461" t="s">
        <v>54</v>
      </c>
      <c r="AU8" s="452" t="s">
        <v>295</v>
      </c>
      <c r="AV8" s="462" t="s">
        <v>497</v>
      </c>
      <c r="AW8" s="550" t="str">
        <f>IF(Vin&gt;Vout, "Buck ''CONTROL'' MOSFET Temp Rise", "Boost ''CONTROL'' MOSFET Temp Rise")</f>
        <v>Buck ''CONTROL'' MOSFET Temp Rise</v>
      </c>
      <c r="AX8" s="550" t="str">
        <f>IF(Vin&gt;Vout, "Buck ''SYNC'' MOSFET Temp Rise", "Boost ''SYNC'' MOSFET Temp Rise")</f>
        <v>Buck ''SYNC'' MOSFET Temp Rise</v>
      </c>
      <c r="AZ8" s="544" t="s">
        <v>496</v>
      </c>
      <c r="BA8" s="545" t="s">
        <v>519</v>
      </c>
      <c r="BB8" s="545" t="s">
        <v>597</v>
      </c>
      <c r="BC8" s="545" t="s">
        <v>751</v>
      </c>
      <c r="BD8" s="545" t="s">
        <v>752</v>
      </c>
      <c r="BE8" s="545" t="s">
        <v>571</v>
      </c>
      <c r="BF8" s="545"/>
    </row>
    <row r="9" spans="1:65" ht="13" x14ac:dyDescent="0.3">
      <c r="A9" s="14" t="s">
        <v>55</v>
      </c>
      <c r="B9" s="15" t="s">
        <v>111</v>
      </c>
      <c r="C9" s="16" t="s">
        <v>76</v>
      </c>
      <c r="D9" s="17" t="s">
        <v>107</v>
      </c>
      <c r="G9">
        <v>0</v>
      </c>
      <c r="H9" s="548">
        <f t="shared" ref="H9:H72" si="0">Vin</f>
        <v>45</v>
      </c>
      <c r="I9" s="4">
        <f t="shared" ref="I9:I40" si="1">MODE</f>
        <v>2</v>
      </c>
      <c r="J9">
        <v>0</v>
      </c>
      <c r="K9" s="4">
        <f t="shared" ref="K9:K40" si="2">Vout2*J9/(Vin*Efficiency)</f>
        <v>0</v>
      </c>
      <c r="L9" s="4"/>
      <c r="M9" s="360">
        <f t="shared" ref="M9:M40" si="3">(Vout2+(Rdson4+Rs+Rdcr)*J9)/(Vin+(Rs+Rdson2-Rdson1)*J9)</f>
        <v>0.1111111111111111</v>
      </c>
      <c r="N9" s="4">
        <f t="shared" ref="N9:N40" si="4">(Vin-(Rdson3+Rdcr2)*J9-Vout2)*M9/(Fsw*Lo_2)</f>
        <v>9.1827364554637274</v>
      </c>
      <c r="O9" s="4">
        <f>J9+N9/2</f>
        <v>4.5913682277318637</v>
      </c>
      <c r="P9" s="4">
        <f>J9-N9/2</f>
        <v>-4.5913682277318637</v>
      </c>
      <c r="Q9" s="4">
        <f t="shared" ref="Q9:Q40" si="5">IF(MIN(Vin, -P9/(Coss_Q3+Coss_Q4)*0.00000002)&lt;0, 0, MIN(Vin, -P9/(Coss_Q3+Coss_Q4)*0.00000002))</f>
        <v>45</v>
      </c>
      <c r="R9" s="4">
        <f t="shared" ref="R9:R40" si="6">SQRT(J9^2+(N9^2)/12)</f>
        <v>2.6508276822296866</v>
      </c>
      <c r="S9" s="360">
        <f t="shared" ref="S9:S40" si="7">R9^2*Rdcr2</f>
        <v>3.5134437004376066E-2</v>
      </c>
      <c r="T9" s="360">
        <f t="shared" ref="T9:T40" si="8">Core_Loss_Ch1</f>
        <v>0.3</v>
      </c>
      <c r="U9" s="360">
        <f t="shared" ref="U9:U40" si="9">(T9+S9*(1+Ltc*(Ta-25)))/(1-S9*Ltc*ThetaCa)</f>
        <v>0.33607907292567174</v>
      </c>
      <c r="V9" s="4">
        <f>N9/SQRT(12)</f>
        <v>2.6508276822296866</v>
      </c>
      <c r="W9" s="360">
        <f t="shared" ref="W9:W40" si="10">Cout2_ESR*V9^2</f>
        <v>1.4053774801750425E-2</v>
      </c>
      <c r="X9" s="360">
        <f>W9</f>
        <v>1.4053774801750425E-2</v>
      </c>
      <c r="Y9" s="4">
        <f t="shared" ref="Y9:Y40" si="11">SQRT(M9*(1-M9))*SQRT(J9^2+(N9^2)/12)</f>
        <v>0.83307476882739107</v>
      </c>
      <c r="Z9" s="360">
        <f t="shared" ref="Z9:Z73" si="12">RCinEsr*Y9^2</f>
        <v>1.0410203556852167E-3</v>
      </c>
      <c r="AA9" s="541">
        <f>Z9</f>
        <v>1.0410203556852167E-3</v>
      </c>
      <c r="AB9" s="360">
        <f t="shared" ref="AB9:AB40" si="13">SQRT(M9)*SQRT(J9^2+(N9^2)/12)</f>
        <v>0.88360922740989545</v>
      </c>
      <c r="AC9" s="360">
        <f t="shared" ref="AC9:AC40" si="14">Rdson3*AB9^2</f>
        <v>4.6845916005834737E-3</v>
      </c>
      <c r="AD9" s="360">
        <f t="shared" ref="AD9:AD40" si="15">(Vin*J9/2)*Fsw*(Tr_Ch2+Tf_Ch2)</f>
        <v>0</v>
      </c>
      <c r="AE9" s="360">
        <f t="shared" ref="AE9:AE40" si="16">(0.5*Coss_Q3*(Vin-Q9)^2-0.5*Coss_Q4*(Vin-Q9)^2+(Qoss_Q4*(Vin-Q9)/Vin)*Vin)*Fsw</f>
        <v>0</v>
      </c>
      <c r="AF9" s="360">
        <f t="shared" ref="AF9:AF40" si="17">IF(J9&gt;N9/2,0,ABS(J9-N9/2)*Vsd_Q3*Deadtime*Fsw)</f>
        <v>9.8989898989898968E-3</v>
      </c>
      <c r="AG9" s="360">
        <f t="shared" ref="AG9:AG40" si="18">(AF9+AE9+AD9+AC9*(1+RdsonTopTc*Ta-RdsonTopTc*25))/(1-AC9*RdsonTopTc*ThetaJA_Q2)</f>
        <v>1.4593973253861045E-2</v>
      </c>
      <c r="AH9" s="360">
        <f t="shared" ref="AH9:AH40" si="19">SQRT((1-M9))*SQRT(J9^2+(N9^2)/12)</f>
        <v>2.4992243064821733</v>
      </c>
      <c r="AI9" s="360">
        <f t="shared" ref="AI9:AI40" si="20">Rdson4*AH9^2</f>
        <v>1.5615305335278251E-2</v>
      </c>
      <c r="AJ9" s="360">
        <f t="shared" ref="AJ9:AJ40" si="21">IF(J9&lt;N9/2,Deadtime*Fsw*IF(VfdSky_Q4&gt;0,0,Vsd_Q4)*(J9+N9/2),2*Deadtime*Fsw*IF(VfdSky_Q4&gt;0,0,Vsd_Q4)*J9)</f>
        <v>9.8989898989898985E-3</v>
      </c>
      <c r="AK9" s="360">
        <f t="shared" ref="AK9:AK40" si="22">(AJ9+AI9*(1+RdsonBotTc*Ta-RdsonBotTc*25))/(1-AI9*RdsonBotTc*ThetaJA_Q3)</f>
        <v>2.5594227569933171E-2</v>
      </c>
      <c r="AL9" s="360">
        <f t="shared" ref="AL9:AL40" si="23">2*Deadtime*Fsw*IF(VfdSky_Q4&gt;0,VfdSky_Q4,Vsd_Q4)*J9</f>
        <v>0</v>
      </c>
      <c r="AM9" s="360">
        <f t="shared" ref="AM9:AM40" si="24">IF(QrrSky_Q4&gt;0,QrrSky_Q4,Qrr_Q4*J9/Iout2)*Fsw*Vin</f>
        <v>0</v>
      </c>
      <c r="AN9" s="360">
        <f t="shared" ref="AN9:AN40" si="25">CHOOSE(SENSING_TYPE, Rs_Ch2*R9^2, 0)</f>
        <v>2.8107549603500849E-2</v>
      </c>
      <c r="AO9" s="360">
        <f t="shared" ref="AO9:AO40" si="26">Iq*Vin</f>
        <v>1.5749999999999998E-3</v>
      </c>
      <c r="AP9" s="360">
        <f t="shared" ref="AP9:AP40" si="27">IF(Ext_VCC=1,  (Qg_Q3+Qg_Q4)*Fsw*VCC, (Qg_Q3+Qg_Q4)*Fsw*Vin)</f>
        <v>0.32669999999999993</v>
      </c>
      <c r="AQ9" s="360">
        <f t="shared" ref="AQ9:AQ40" si="28">(Vin-VCC)*Fsw*(Qg_Q3+Qg_Q4)+(RdsonDRT+RdsonDRT2)*Fsw*Qg_Q3*VCC/(RdsonDRT+2*Rgate3+RdsonDRT2)+(RdsonDRB+RdsonDRB2)*Fsw*Qg_Q4*VCC/(RdsonDRB+2*Rgate4+RdsonDRB2)</f>
        <v>0.31218000000000001</v>
      </c>
      <c r="AR9" s="360">
        <f t="shared" ref="AR9:AR40" si="29">(Qg_Q3+Qg_Q4)*Fsw*(Vin-VCC)</f>
        <v>0.29039999999999999</v>
      </c>
      <c r="AS9" s="360">
        <f>SUM(AO9:AP9)</f>
        <v>0.32827499999999993</v>
      </c>
      <c r="AT9" s="360">
        <f>SUM(U9,X9,AA9,AG9,AK9,AL9,AM9,AS9,AN9)</f>
        <v>0.7477446185104023</v>
      </c>
      <c r="AU9">
        <f t="shared" ref="AU9:AU40" si="30">Vout2*J9</f>
        <v>0</v>
      </c>
      <c r="AV9" s="542">
        <f>AU9/(AU9+AT9)</f>
        <v>0</v>
      </c>
      <c r="AW9" s="551">
        <f t="shared" ref="AW9:AW40" si="31">ThetaJA_Q1*BC9</f>
        <v>0.55457098364671975</v>
      </c>
      <c r="AX9" s="551">
        <f t="shared" ref="AX9:AX40" si="32">ThetaJA_Q2*BD9</f>
        <v>0.97258064765746044</v>
      </c>
      <c r="AZ9" s="4">
        <f>AV9*100</f>
        <v>0</v>
      </c>
      <c r="BA9" s="360">
        <f t="shared" ref="BA9:BA40" si="33">U9</f>
        <v>0.33607907292567174</v>
      </c>
      <c r="BB9" s="360">
        <f>AG9+AK9+AM9</f>
        <v>4.0188200823794214E-2</v>
      </c>
      <c r="BC9" s="360">
        <f>AG9+AM9*0.66</f>
        <v>1.4593973253861045E-2</v>
      </c>
      <c r="BD9" s="360">
        <f>AK9+AM9*0.33</f>
        <v>2.5594227569933171E-2</v>
      </c>
      <c r="BE9" s="360">
        <f>AN9</f>
        <v>2.8107549603500849E-2</v>
      </c>
      <c r="BJ9" s="18"/>
      <c r="BK9" s="18"/>
      <c r="BL9" s="18"/>
      <c r="BM9" s="19"/>
    </row>
    <row r="10" spans="1:65" ht="13" x14ac:dyDescent="0.3">
      <c r="A10" s="495"/>
      <c r="B10" s="24"/>
      <c r="C10" s="16"/>
      <c r="D10" s="17"/>
      <c r="G10">
        <v>1</v>
      </c>
      <c r="H10" s="548">
        <f t="shared" si="0"/>
        <v>45</v>
      </c>
      <c r="I10" s="4">
        <f t="shared" si="1"/>
        <v>2</v>
      </c>
      <c r="J10" s="360">
        <f t="shared" ref="J10:J41" si="34">Iout2*G10/100</f>
        <v>0.12</v>
      </c>
      <c r="K10" s="4">
        <f t="shared" si="2"/>
        <v>1.4814814814814814E-2</v>
      </c>
      <c r="L10" s="4"/>
      <c r="M10" s="360">
        <f t="shared" si="3"/>
        <v>0.11112795249378982</v>
      </c>
      <c r="N10" s="4">
        <f t="shared" si="4"/>
        <v>9.1838252290378097</v>
      </c>
      <c r="O10" s="4">
        <f t="shared" ref="O10:O73" si="35">J10+N10/2</f>
        <v>4.711912614518905</v>
      </c>
      <c r="P10" s="4">
        <f t="shared" ref="P10:P73" si="36">J10-N10/2</f>
        <v>-4.4719126145189048</v>
      </c>
      <c r="Q10" s="4">
        <f t="shared" si="5"/>
        <v>45</v>
      </c>
      <c r="R10" s="4">
        <f t="shared" si="6"/>
        <v>2.6538564052700018</v>
      </c>
      <c r="S10" s="360">
        <f t="shared" si="7"/>
        <v>3.5214769098963081E-2</v>
      </c>
      <c r="T10" s="360">
        <f t="shared" si="8"/>
        <v>0.3</v>
      </c>
      <c r="U10" s="360">
        <f t="shared" si="9"/>
        <v>0.33616179790641643</v>
      </c>
      <c r="V10" s="4">
        <f t="shared" ref="V10:V73" si="37">N10/SQRT(12)</f>
        <v>2.6511419840877282</v>
      </c>
      <c r="W10" s="360">
        <f t="shared" si="10"/>
        <v>1.4057107639585231E-2</v>
      </c>
      <c r="X10" s="360">
        <f t="shared" ref="X10:X73" si="38">W10</f>
        <v>1.4057107639585231E-2</v>
      </c>
      <c r="Y10" s="4">
        <f t="shared" si="11"/>
        <v>0.83408190837830876</v>
      </c>
      <c r="Z10" s="360">
        <f t="shared" si="12"/>
        <v>1.0435389448260023E-3</v>
      </c>
      <c r="AA10" s="541">
        <f t="shared" ref="AA10:AA73" si="39">Z10</f>
        <v>1.0435389448260023E-3</v>
      </c>
      <c r="AB10" s="360">
        <f t="shared" si="13"/>
        <v>0.88468584113337623</v>
      </c>
      <c r="AC10" s="360">
        <f t="shared" si="14"/>
        <v>4.6960142250112163E-3</v>
      </c>
      <c r="AD10" s="360">
        <f t="shared" si="15"/>
        <v>2.1722943557989992E-3</v>
      </c>
      <c r="AE10" s="360">
        <f t="shared" si="16"/>
        <v>0</v>
      </c>
      <c r="AF10" s="360">
        <f t="shared" si="17"/>
        <v>9.6414435969027594E-3</v>
      </c>
      <c r="AG10" s="360">
        <f t="shared" si="18"/>
        <v>1.6521545160198877E-2</v>
      </c>
      <c r="AH10" s="360">
        <f t="shared" si="19"/>
        <v>2.5020561109397104</v>
      </c>
      <c r="AI10" s="360">
        <f t="shared" si="20"/>
        <v>1.565071195572687E-2</v>
      </c>
      <c r="AJ10" s="360">
        <f t="shared" si="21"/>
        <v>1.0158883596902759E-2</v>
      </c>
      <c r="AK10" s="360">
        <f t="shared" si="22"/>
        <v>2.5890636932826824E-2</v>
      </c>
      <c r="AL10" s="360">
        <f t="shared" si="23"/>
        <v>5.1743999999999998E-4</v>
      </c>
      <c r="AM10" s="360">
        <f t="shared" si="24"/>
        <v>5.9399999999999991E-3</v>
      </c>
      <c r="AN10" s="360">
        <f t="shared" si="25"/>
        <v>2.8171815279170464E-2</v>
      </c>
      <c r="AO10" s="360">
        <f t="shared" si="26"/>
        <v>1.5749999999999998E-3</v>
      </c>
      <c r="AP10" s="360">
        <f t="shared" si="27"/>
        <v>0.32669999999999993</v>
      </c>
      <c r="AQ10" s="360">
        <f t="shared" si="28"/>
        <v>0.31218000000000001</v>
      </c>
      <c r="AR10" s="360">
        <f t="shared" si="29"/>
        <v>0.29039999999999999</v>
      </c>
      <c r="AS10" s="360">
        <f t="shared" ref="AS10" si="40">SUM(AO10:AP10)</f>
        <v>0.32827499999999993</v>
      </c>
      <c r="AT10" s="360">
        <f t="shared" ref="AT10:AT73" si="41">SUM(U10,X10,AA10,AG10,AK10,AL10,AM10,AS10,AN10)</f>
        <v>0.7565788818630238</v>
      </c>
      <c r="AU10">
        <f t="shared" si="30"/>
        <v>0.6</v>
      </c>
      <c r="AV10" s="542">
        <f t="shared" ref="AV10:AV73" si="42">AU10/(AU10+AT10)</f>
        <v>0.44228906112411609</v>
      </c>
      <c r="AW10" s="551">
        <f t="shared" si="31"/>
        <v>0.77679391608755732</v>
      </c>
      <c r="AX10" s="551">
        <f t="shared" si="32"/>
        <v>1.0583318034474192</v>
      </c>
      <c r="AY10" s="9"/>
      <c r="AZ10" s="4">
        <f t="shared" ref="AZ10:AZ73" si="43">AV10*100</f>
        <v>44.228906112411607</v>
      </c>
      <c r="BA10" s="360">
        <f t="shared" si="33"/>
        <v>0.33616179790641643</v>
      </c>
      <c r="BB10" s="360">
        <f t="shared" ref="BB10:BB73" si="44">AG10+AK10+AM10</f>
        <v>4.8352182093025706E-2</v>
      </c>
      <c r="BC10" s="360">
        <f t="shared" ref="BC10:BC73" si="45">AG10+AM10*0.66</f>
        <v>2.0441945160198878E-2</v>
      </c>
      <c r="BD10" s="360">
        <f t="shared" ref="BD10:BD73" si="46">AK10+AM10*0.33</f>
        <v>2.7850836932826823E-2</v>
      </c>
      <c r="BE10" s="360">
        <f t="shared" ref="BE10:BE73" si="47">AN10</f>
        <v>2.8171815279170464E-2</v>
      </c>
      <c r="BJ10" s="18"/>
      <c r="BK10" s="18"/>
      <c r="BL10" s="18"/>
      <c r="BM10" s="19"/>
    </row>
    <row r="11" spans="1:65" x14ac:dyDescent="0.25">
      <c r="A11" s="20" t="s">
        <v>3</v>
      </c>
      <c r="B11" s="5">
        <f>Vin</f>
        <v>45</v>
      </c>
      <c r="C11" s="440" t="s">
        <v>0</v>
      </c>
      <c r="D11" s="21" t="s">
        <v>3</v>
      </c>
      <c r="G11">
        <v>2</v>
      </c>
      <c r="H11" s="548">
        <f t="shared" si="0"/>
        <v>45</v>
      </c>
      <c r="I11" s="4">
        <f t="shared" si="1"/>
        <v>2</v>
      </c>
      <c r="J11" s="360">
        <f t="shared" si="34"/>
        <v>0.24</v>
      </c>
      <c r="K11" s="4">
        <f t="shared" si="2"/>
        <v>2.9629629629629627E-2</v>
      </c>
      <c r="L11" s="4"/>
      <c r="M11" s="360">
        <f t="shared" si="3"/>
        <v>0.11114479367886528</v>
      </c>
      <c r="N11" s="4">
        <f t="shared" si="4"/>
        <v>9.1849138944200384</v>
      </c>
      <c r="O11" s="4">
        <f t="shared" si="35"/>
        <v>4.8324569472100194</v>
      </c>
      <c r="P11" s="4">
        <f t="shared" si="36"/>
        <v>-4.352456947210019</v>
      </c>
      <c r="Q11" s="4">
        <f t="shared" si="5"/>
        <v>45</v>
      </c>
      <c r="R11" s="4">
        <f t="shared" si="6"/>
        <v>2.6622960524064916</v>
      </c>
      <c r="S11" s="360">
        <f t="shared" si="7"/>
        <v>3.5439101353295942E-2</v>
      </c>
      <c r="T11" s="360">
        <f t="shared" si="8"/>
        <v>0.3</v>
      </c>
      <c r="U11" s="360">
        <f t="shared" si="9"/>
        <v>0.33639281808727317</v>
      </c>
      <c r="V11" s="4">
        <f t="shared" si="37"/>
        <v>2.6514562547134717</v>
      </c>
      <c r="W11" s="360">
        <f t="shared" si="10"/>
        <v>1.4060440541318381E-2</v>
      </c>
      <c r="X11" s="360">
        <f t="shared" si="38"/>
        <v>1.4060440541318381E-2</v>
      </c>
      <c r="Y11" s="4">
        <f t="shared" si="11"/>
        <v>0.83678988233238971</v>
      </c>
      <c r="Z11" s="360">
        <f t="shared" si="12"/>
        <v>1.0503259607607821E-3</v>
      </c>
      <c r="AA11" s="541">
        <f t="shared" si="39"/>
        <v>1.0503259607607821E-3</v>
      </c>
      <c r="AB11" s="360">
        <f t="shared" si="13"/>
        <v>0.88756651672722231</v>
      </c>
      <c r="AC11" s="360">
        <f t="shared" si="14"/>
        <v>4.7266459296917678E-3</v>
      </c>
      <c r="AD11" s="360">
        <f t="shared" si="15"/>
        <v>4.3445887115979983E-3</v>
      </c>
      <c r="AE11" s="360">
        <f t="shared" si="16"/>
        <v>0</v>
      </c>
      <c r="AF11" s="360">
        <f t="shared" si="17"/>
        <v>9.3838971781847989E-3</v>
      </c>
      <c r="AG11" s="360">
        <f t="shared" si="18"/>
        <v>1.8468400445122928E-2</v>
      </c>
      <c r="AH11" s="360">
        <f t="shared" si="19"/>
        <v>2.5099892328541755</v>
      </c>
      <c r="AI11" s="360">
        <f t="shared" si="20"/>
        <v>1.575011487260973E-2</v>
      </c>
      <c r="AJ11" s="360">
        <f t="shared" si="21"/>
        <v>1.0418777178184801E-2</v>
      </c>
      <c r="AK11" s="360">
        <f t="shared" si="22"/>
        <v>2.6251585147125594E-2</v>
      </c>
      <c r="AL11" s="360">
        <f t="shared" si="23"/>
        <v>1.03488E-3</v>
      </c>
      <c r="AM11" s="360">
        <f t="shared" si="24"/>
        <v>1.1879999999999998E-2</v>
      </c>
      <c r="AN11" s="360">
        <f t="shared" si="25"/>
        <v>2.8351281082636754E-2</v>
      </c>
      <c r="AO11" s="360">
        <f t="shared" si="26"/>
        <v>1.5749999999999998E-3</v>
      </c>
      <c r="AP11" s="360">
        <f t="shared" si="27"/>
        <v>0.32669999999999993</v>
      </c>
      <c r="AQ11" s="360">
        <f t="shared" si="28"/>
        <v>0.31218000000000001</v>
      </c>
      <c r="AR11" s="360">
        <f t="shared" si="29"/>
        <v>0.29039999999999999</v>
      </c>
      <c r="AS11" s="360">
        <f t="shared" ref="AS11:AS74" si="48">SUM(AO11:AP11)</f>
        <v>0.32827499999999993</v>
      </c>
      <c r="AT11" s="360">
        <f t="shared" si="41"/>
        <v>0.7657647312642375</v>
      </c>
      <c r="AU11">
        <f t="shared" si="30"/>
        <v>1.2</v>
      </c>
      <c r="AV11" s="542">
        <f t="shared" si="42"/>
        <v>0.61044945049362387</v>
      </c>
      <c r="AW11" s="551">
        <f t="shared" si="31"/>
        <v>0.99974961691467124</v>
      </c>
      <c r="AX11" s="551">
        <f t="shared" si="32"/>
        <v>1.1465354355907726</v>
      </c>
      <c r="AY11" s="9"/>
      <c r="AZ11" s="4">
        <f t="shared" si="43"/>
        <v>61.04494504936239</v>
      </c>
      <c r="BA11" s="360">
        <f t="shared" si="33"/>
        <v>0.33639281808727317</v>
      </c>
      <c r="BB11" s="360">
        <f t="shared" si="44"/>
        <v>5.659998559224852E-2</v>
      </c>
      <c r="BC11" s="360">
        <f t="shared" si="45"/>
        <v>2.6309200445122926E-2</v>
      </c>
      <c r="BD11" s="360">
        <f t="shared" si="46"/>
        <v>3.0171985147125595E-2</v>
      </c>
      <c r="BE11" s="360">
        <f t="shared" si="47"/>
        <v>2.8351281082636754E-2</v>
      </c>
      <c r="BJ11" s="18"/>
      <c r="BK11" s="18"/>
      <c r="BL11" s="18"/>
      <c r="BM11" s="19"/>
    </row>
    <row r="12" spans="1:65" x14ac:dyDescent="0.25">
      <c r="A12" s="22" t="s">
        <v>4</v>
      </c>
      <c r="B12" s="5">
        <f>Vout2</f>
        <v>5</v>
      </c>
      <c r="C12" s="440" t="s">
        <v>0</v>
      </c>
      <c r="D12" s="21" t="s">
        <v>4</v>
      </c>
      <c r="G12">
        <v>3</v>
      </c>
      <c r="H12" s="548">
        <f t="shared" si="0"/>
        <v>45</v>
      </c>
      <c r="I12" s="4">
        <f t="shared" si="1"/>
        <v>2</v>
      </c>
      <c r="J12" s="360">
        <f t="shared" si="34"/>
        <v>0.36</v>
      </c>
      <c r="K12" s="4">
        <f t="shared" si="2"/>
        <v>4.4444444444444439E-2</v>
      </c>
      <c r="L12" s="4"/>
      <c r="M12" s="360">
        <f t="shared" si="3"/>
        <v>0.11116163466634101</v>
      </c>
      <c r="N12" s="4">
        <f t="shared" si="4"/>
        <v>9.1860024516123158</v>
      </c>
      <c r="O12" s="4">
        <f t="shared" si="35"/>
        <v>4.9530012258061582</v>
      </c>
      <c r="P12" s="4">
        <f t="shared" si="36"/>
        <v>-4.2330012258061576</v>
      </c>
      <c r="Q12" s="4">
        <f t="shared" si="5"/>
        <v>44.25510952228079</v>
      </c>
      <c r="R12" s="4">
        <f t="shared" si="6"/>
        <v>2.676095430551563</v>
      </c>
      <c r="S12" s="360">
        <f t="shared" si="7"/>
        <v>3.5807433767094776E-2</v>
      </c>
      <c r="T12" s="360">
        <f t="shared" si="8"/>
        <v>0.3</v>
      </c>
      <c r="U12" s="360">
        <f t="shared" si="9"/>
        <v>0.33677214948206929</v>
      </c>
      <c r="V12" s="4">
        <f t="shared" si="37"/>
        <v>2.6517704941074665</v>
      </c>
      <c r="W12" s="360">
        <f t="shared" si="10"/>
        <v>1.4063773506837914E-2</v>
      </c>
      <c r="X12" s="360">
        <f t="shared" si="38"/>
        <v>1.4063773506837914E-2</v>
      </c>
      <c r="Y12" s="4">
        <f t="shared" si="11"/>
        <v>0.84118293722551229</v>
      </c>
      <c r="Z12" s="360">
        <f t="shared" si="12"/>
        <v>1.0613831008190102E-3</v>
      </c>
      <c r="AA12" s="541">
        <f t="shared" si="39"/>
        <v>1.0613831008190102E-3</v>
      </c>
      <c r="AB12" s="360">
        <f t="shared" si="13"/>
        <v>0.89223459591712684</v>
      </c>
      <c r="AC12" s="360">
        <f t="shared" si="14"/>
        <v>4.7764954449083918E-3</v>
      </c>
      <c r="AD12" s="360">
        <f t="shared" si="15"/>
        <v>6.5168830673969988E-3</v>
      </c>
      <c r="AE12" s="360">
        <f t="shared" si="16"/>
        <v>4.8255184044283493E-3</v>
      </c>
      <c r="AF12" s="360">
        <f t="shared" si="17"/>
        <v>9.1263506428380745E-3</v>
      </c>
      <c r="AG12" s="360">
        <f t="shared" si="18"/>
        <v>2.5263589615521345E-2</v>
      </c>
      <c r="AH12" s="360">
        <f t="shared" si="19"/>
        <v>2.5229752633086906</v>
      </c>
      <c r="AI12" s="360">
        <f t="shared" si="20"/>
        <v>1.5913510448168893E-2</v>
      </c>
      <c r="AJ12" s="360">
        <f t="shared" si="21"/>
        <v>1.0678670642838077E-2</v>
      </c>
      <c r="AK12" s="360">
        <f t="shared" si="22"/>
        <v>2.6677086309349077E-2</v>
      </c>
      <c r="AL12" s="360">
        <f t="shared" si="23"/>
        <v>1.5523199999999998E-3</v>
      </c>
      <c r="AM12" s="360">
        <f t="shared" si="24"/>
        <v>1.7819999999999999E-2</v>
      </c>
      <c r="AN12" s="360">
        <f t="shared" si="25"/>
        <v>2.8645947013675819E-2</v>
      </c>
      <c r="AO12" s="360">
        <f t="shared" si="26"/>
        <v>1.5749999999999998E-3</v>
      </c>
      <c r="AP12" s="360">
        <f t="shared" si="27"/>
        <v>0.32669999999999993</v>
      </c>
      <c r="AQ12" s="360">
        <f t="shared" si="28"/>
        <v>0.31218000000000001</v>
      </c>
      <c r="AR12" s="360">
        <f t="shared" si="29"/>
        <v>0.29039999999999999</v>
      </c>
      <c r="AS12" s="360">
        <f t="shared" si="48"/>
        <v>0.32827499999999993</v>
      </c>
      <c r="AT12" s="360">
        <f t="shared" si="41"/>
        <v>0.78013124902827236</v>
      </c>
      <c r="AU12">
        <f t="shared" si="30"/>
        <v>1.7999999999999998</v>
      </c>
      <c r="AV12" s="542">
        <f t="shared" si="42"/>
        <v>0.6976389285149408</v>
      </c>
      <c r="AW12" s="551">
        <f t="shared" si="31"/>
        <v>1.4069420053898112</v>
      </c>
      <c r="AX12" s="551">
        <f t="shared" si="32"/>
        <v>1.2371920797552649</v>
      </c>
      <c r="AY12" s="9"/>
      <c r="AZ12" s="4">
        <f t="shared" si="43"/>
        <v>69.763892851494077</v>
      </c>
      <c r="BA12" s="360">
        <f t="shared" si="33"/>
        <v>0.33677214948206929</v>
      </c>
      <c r="BB12" s="360">
        <f t="shared" si="44"/>
        <v>6.9760675924870424E-2</v>
      </c>
      <c r="BC12" s="360">
        <f t="shared" si="45"/>
        <v>3.7024789615521345E-2</v>
      </c>
      <c r="BD12" s="360">
        <f t="shared" si="46"/>
        <v>3.2557686309349076E-2</v>
      </c>
      <c r="BE12" s="360">
        <f t="shared" si="47"/>
        <v>2.8645947013675819E-2</v>
      </c>
      <c r="BJ12" s="18"/>
      <c r="BK12" s="18"/>
      <c r="BL12" s="18"/>
      <c r="BM12" s="19"/>
    </row>
    <row r="13" spans="1:65" x14ac:dyDescent="0.25">
      <c r="A13" s="22" t="s">
        <v>6</v>
      </c>
      <c r="B13" s="5">
        <f>Fsw/1000</f>
        <v>220</v>
      </c>
      <c r="C13" s="440" t="s">
        <v>2</v>
      </c>
      <c r="D13" s="21" t="s">
        <v>94</v>
      </c>
      <c r="G13">
        <v>4</v>
      </c>
      <c r="H13" s="548">
        <f t="shared" si="0"/>
        <v>45</v>
      </c>
      <c r="I13" s="4">
        <f t="shared" si="1"/>
        <v>2</v>
      </c>
      <c r="J13" s="360">
        <f t="shared" si="34"/>
        <v>0.48</v>
      </c>
      <c r="K13" s="4">
        <f t="shared" si="2"/>
        <v>5.9259259259259255E-2</v>
      </c>
      <c r="L13" s="4"/>
      <c r="M13" s="360">
        <f t="shared" si="3"/>
        <v>0.11117847545622041</v>
      </c>
      <c r="N13" s="4">
        <f t="shared" si="4"/>
        <v>9.1870909006165444</v>
      </c>
      <c r="O13" s="4">
        <f t="shared" si="35"/>
        <v>5.0735454503082718</v>
      </c>
      <c r="P13" s="4">
        <f t="shared" si="36"/>
        <v>-4.1135454503082727</v>
      </c>
      <c r="Q13" s="4">
        <f t="shared" si="5"/>
        <v>43.00622530379794</v>
      </c>
      <c r="R13" s="4">
        <f t="shared" si="6"/>
        <v>2.6951722149087138</v>
      </c>
      <c r="S13" s="360">
        <f t="shared" si="7"/>
        <v>3.6319766340079711E-2</v>
      </c>
      <c r="T13" s="360">
        <f t="shared" si="8"/>
        <v>0.3</v>
      </c>
      <c r="U13" s="360">
        <f t="shared" si="9"/>
        <v>0.33729981838730999</v>
      </c>
      <c r="V13" s="4">
        <f t="shared" si="37"/>
        <v>2.6520847022702618</v>
      </c>
      <c r="W13" s="360">
        <f t="shared" si="10"/>
        <v>1.4067106536031887E-2</v>
      </c>
      <c r="X13" s="360">
        <f t="shared" si="38"/>
        <v>1.4067106536031887E-2</v>
      </c>
      <c r="Y13" s="4">
        <f t="shared" si="11"/>
        <v>0.84723552889905152</v>
      </c>
      <c r="Z13" s="360">
        <f t="shared" si="12"/>
        <v>1.0767120621432834E-3</v>
      </c>
      <c r="AA13" s="541">
        <f t="shared" si="39"/>
        <v>1.0767120621432834E-3</v>
      </c>
      <c r="AB13" s="360">
        <f t="shared" si="13"/>
        <v>0.89866303480405951</v>
      </c>
      <c r="AC13" s="360">
        <f t="shared" si="14"/>
        <v>4.8455715007394541E-3</v>
      </c>
      <c r="AD13" s="360">
        <f t="shared" si="15"/>
        <v>8.6891774231959967E-3</v>
      </c>
      <c r="AE13" s="360">
        <f t="shared" si="16"/>
        <v>1.2508699747644094E-2</v>
      </c>
      <c r="AF13" s="360">
        <f t="shared" si="17"/>
        <v>8.8688039908646349E-3</v>
      </c>
      <c r="AG13" s="360">
        <f t="shared" si="18"/>
        <v>3.4937985427429201E-2</v>
      </c>
      <c r="AH13" s="360">
        <f t="shared" si="19"/>
        <v>2.5409364450715213</v>
      </c>
      <c r="AI13" s="360">
        <f t="shared" si="20"/>
        <v>1.6140895044731752E-2</v>
      </c>
      <c r="AJ13" s="360">
        <f t="shared" si="21"/>
        <v>1.0938563990864634E-2</v>
      </c>
      <c r="AK13" s="360">
        <f t="shared" si="22"/>
        <v>2.716715948959339E-2</v>
      </c>
      <c r="AL13" s="360">
        <f t="shared" si="23"/>
        <v>2.0697599999999999E-3</v>
      </c>
      <c r="AM13" s="360">
        <f t="shared" si="24"/>
        <v>2.3759999999999996E-2</v>
      </c>
      <c r="AN13" s="360">
        <f t="shared" si="25"/>
        <v>2.9055813072063771E-2</v>
      </c>
      <c r="AO13" s="360">
        <f t="shared" si="26"/>
        <v>1.5749999999999998E-3</v>
      </c>
      <c r="AP13" s="360">
        <f t="shared" si="27"/>
        <v>0.32669999999999993</v>
      </c>
      <c r="AQ13" s="360">
        <f t="shared" si="28"/>
        <v>0.31218000000000001</v>
      </c>
      <c r="AR13" s="360">
        <f t="shared" si="29"/>
        <v>0.29039999999999999</v>
      </c>
      <c r="AS13" s="360">
        <f t="shared" si="48"/>
        <v>0.32827499999999993</v>
      </c>
      <c r="AT13" s="360">
        <f t="shared" si="41"/>
        <v>0.79770935497457141</v>
      </c>
      <c r="AU13">
        <f t="shared" si="30"/>
        <v>2.4</v>
      </c>
      <c r="AV13" s="542">
        <f t="shared" si="42"/>
        <v>0.75053725450888742</v>
      </c>
      <c r="AW13" s="551">
        <f t="shared" si="31"/>
        <v>1.9235442462423096</v>
      </c>
      <c r="AX13" s="551">
        <f t="shared" si="32"/>
        <v>1.3303024606045486</v>
      </c>
      <c r="AY13" s="9"/>
      <c r="AZ13" s="4">
        <f t="shared" si="43"/>
        <v>75.053725450888749</v>
      </c>
      <c r="BA13" s="360">
        <f t="shared" si="33"/>
        <v>0.33729981838730999</v>
      </c>
      <c r="BB13" s="360">
        <f t="shared" si="44"/>
        <v>8.5865144917022587E-2</v>
      </c>
      <c r="BC13" s="360">
        <f t="shared" si="45"/>
        <v>5.0619585427429198E-2</v>
      </c>
      <c r="BD13" s="360">
        <f t="shared" si="46"/>
        <v>3.5007959489593385E-2</v>
      </c>
      <c r="BE13" s="360">
        <f t="shared" si="47"/>
        <v>2.9055813072063771E-2</v>
      </c>
      <c r="BJ13" s="18"/>
      <c r="BK13" s="18"/>
      <c r="BL13" s="18"/>
      <c r="BM13" s="19"/>
    </row>
    <row r="14" spans="1:65" x14ac:dyDescent="0.25">
      <c r="A14" s="22" t="s">
        <v>5</v>
      </c>
      <c r="B14" s="5">
        <f>Iout2</f>
        <v>12</v>
      </c>
      <c r="C14" s="440" t="s">
        <v>1</v>
      </c>
      <c r="D14" s="21" t="s">
        <v>95</v>
      </c>
      <c r="G14">
        <v>5</v>
      </c>
      <c r="H14" s="548">
        <f t="shared" si="0"/>
        <v>45</v>
      </c>
      <c r="I14" s="4">
        <f t="shared" si="1"/>
        <v>2</v>
      </c>
      <c r="J14" s="360">
        <f t="shared" si="34"/>
        <v>0.6</v>
      </c>
      <c r="K14" s="4">
        <f t="shared" si="2"/>
        <v>7.407407407407407E-2</v>
      </c>
      <c r="L14" s="4"/>
      <c r="M14" s="360">
        <f t="shared" si="3"/>
        <v>0.11119531604850703</v>
      </c>
      <c r="N14" s="4">
        <f t="shared" si="4"/>
        <v>9.1881792414346304</v>
      </c>
      <c r="O14" s="4">
        <f t="shared" si="35"/>
        <v>5.1940896207173148</v>
      </c>
      <c r="P14" s="4">
        <f t="shared" si="36"/>
        <v>-3.9940896207173151</v>
      </c>
      <c r="Q14" s="4">
        <f t="shared" si="5"/>
        <v>41.757340519783746</v>
      </c>
      <c r="R14" s="4">
        <f t="shared" si="6"/>
        <v>2.7194153442227593</v>
      </c>
      <c r="S14" s="360">
        <f t="shared" si="7"/>
        <v>3.6976099071970941E-2</v>
      </c>
      <c r="T14" s="360">
        <f t="shared" si="8"/>
        <v>0.3</v>
      </c>
      <c r="U14" s="360">
        <f t="shared" si="9"/>
        <v>0.33797586138673658</v>
      </c>
      <c r="V14" s="4">
        <f t="shared" si="37"/>
        <v>2.652398879202408</v>
      </c>
      <c r="W14" s="360">
        <f t="shared" si="10"/>
        <v>1.407043962878838E-2</v>
      </c>
      <c r="X14" s="360">
        <f t="shared" si="38"/>
        <v>1.407043962878838E-2</v>
      </c>
      <c r="Y14" s="4">
        <f t="shared" si="11"/>
        <v>0.85491307226304136</v>
      </c>
      <c r="Z14" s="360">
        <f t="shared" si="12"/>
        <v>1.0963145416893483E-3</v>
      </c>
      <c r="AA14" s="541">
        <f t="shared" si="39"/>
        <v>1.0963145416893483E-3</v>
      </c>
      <c r="AB14" s="360">
        <f t="shared" si="13"/>
        <v>0.90681519865391713</v>
      </c>
      <c r="AC14" s="360">
        <f t="shared" si="14"/>
        <v>4.9338828270584596E-3</v>
      </c>
      <c r="AD14" s="360">
        <f t="shared" si="15"/>
        <v>1.0861471778994998E-2</v>
      </c>
      <c r="AE14" s="360">
        <f t="shared" si="16"/>
        <v>1.9681640108083907E-2</v>
      </c>
      <c r="AF14" s="360">
        <f t="shared" si="17"/>
        <v>8.6112572222665305E-3</v>
      </c>
      <c r="AG14" s="360">
        <f t="shared" si="18"/>
        <v>4.4121340744265443E-2</v>
      </c>
      <c r="AH14" s="360">
        <f t="shared" si="19"/>
        <v>2.5637679321429321</v>
      </c>
      <c r="AI14" s="360">
        <f t="shared" si="20"/>
        <v>1.6432265024711117E-2</v>
      </c>
      <c r="AJ14" s="360">
        <f t="shared" si="21"/>
        <v>1.119845722226653E-2</v>
      </c>
      <c r="AK14" s="360">
        <f t="shared" si="22"/>
        <v>2.772182873432406E-2</v>
      </c>
      <c r="AL14" s="360">
        <f t="shared" si="23"/>
        <v>2.5872E-3</v>
      </c>
      <c r="AM14" s="360">
        <f t="shared" si="24"/>
        <v>2.9700000000000001E-2</v>
      </c>
      <c r="AN14" s="360">
        <f t="shared" si="25"/>
        <v>2.9580879257576756E-2</v>
      </c>
      <c r="AO14" s="360">
        <f t="shared" si="26"/>
        <v>1.5749999999999998E-3</v>
      </c>
      <c r="AP14" s="360">
        <f t="shared" si="27"/>
        <v>0.32669999999999993</v>
      </c>
      <c r="AQ14" s="360">
        <f t="shared" si="28"/>
        <v>0.31218000000000001</v>
      </c>
      <c r="AR14" s="360">
        <f t="shared" si="29"/>
        <v>0.29039999999999999</v>
      </c>
      <c r="AS14" s="360">
        <f t="shared" si="48"/>
        <v>0.32827499999999993</v>
      </c>
      <c r="AT14" s="360">
        <f t="shared" si="41"/>
        <v>0.81512886429338061</v>
      </c>
      <c r="AU14">
        <f t="shared" si="30"/>
        <v>3</v>
      </c>
      <c r="AV14" s="542">
        <f t="shared" si="42"/>
        <v>0.78634303236193448</v>
      </c>
      <c r="AW14" s="551">
        <f t="shared" si="31"/>
        <v>2.4214869482820869</v>
      </c>
      <c r="AX14" s="551">
        <f t="shared" si="32"/>
        <v>1.4258674919043144</v>
      </c>
      <c r="AY14" s="9"/>
      <c r="AZ14" s="4">
        <f t="shared" si="43"/>
        <v>78.634303236193446</v>
      </c>
      <c r="BA14" s="360">
        <f t="shared" si="33"/>
        <v>0.33797586138673658</v>
      </c>
      <c r="BB14" s="360">
        <f t="shared" si="44"/>
        <v>0.1015431694785895</v>
      </c>
      <c r="BC14" s="360">
        <f t="shared" si="45"/>
        <v>6.3723340744265444E-2</v>
      </c>
      <c r="BD14" s="360">
        <f t="shared" si="46"/>
        <v>3.7522828734324061E-2</v>
      </c>
      <c r="BE14" s="360">
        <f t="shared" si="47"/>
        <v>2.9580879257576756E-2</v>
      </c>
      <c r="BJ14" s="18"/>
      <c r="BK14" s="18"/>
      <c r="BL14" s="18"/>
      <c r="BM14" s="19"/>
    </row>
    <row r="15" spans="1:65" x14ac:dyDescent="0.25">
      <c r="A15" s="23" t="s">
        <v>83</v>
      </c>
      <c r="B15" s="5">
        <f>Ta</f>
        <v>25</v>
      </c>
      <c r="C15" s="440" t="s">
        <v>465</v>
      </c>
      <c r="D15" s="21" t="s">
        <v>96</v>
      </c>
      <c r="G15">
        <v>6</v>
      </c>
      <c r="H15" s="548">
        <f t="shared" si="0"/>
        <v>45</v>
      </c>
      <c r="I15" s="4">
        <f t="shared" si="1"/>
        <v>2</v>
      </c>
      <c r="J15" s="360">
        <f t="shared" si="34"/>
        <v>0.72</v>
      </c>
      <c r="K15" s="4">
        <f t="shared" si="2"/>
        <v>8.8888888888888878E-2</v>
      </c>
      <c r="L15" s="4"/>
      <c r="M15" s="360">
        <f t="shared" si="3"/>
        <v>0.1112121564432043</v>
      </c>
      <c r="N15" s="4">
        <f t="shared" si="4"/>
        <v>9.1892674740684743</v>
      </c>
      <c r="O15" s="4">
        <f t="shared" si="35"/>
        <v>5.3146337370342369</v>
      </c>
      <c r="P15" s="4">
        <f t="shared" si="36"/>
        <v>-3.8746337370342374</v>
      </c>
      <c r="Q15" s="4">
        <f t="shared" si="5"/>
        <v>40.508455170248169</v>
      </c>
      <c r="R15" s="4">
        <f t="shared" si="6"/>
        <v>2.748688122086195</v>
      </c>
      <c r="S15" s="360">
        <f t="shared" si="7"/>
        <v>3.7776431962488664E-2</v>
      </c>
      <c r="T15" s="360">
        <f t="shared" si="8"/>
        <v>0.3</v>
      </c>
      <c r="U15" s="360">
        <f t="shared" si="9"/>
        <v>0.33880032535766808</v>
      </c>
      <c r="V15" s="4">
        <f t="shared" si="37"/>
        <v>2.652713024904453</v>
      </c>
      <c r="W15" s="360">
        <f t="shared" si="10"/>
        <v>1.4073772784995466E-2</v>
      </c>
      <c r="X15" s="360">
        <f t="shared" si="38"/>
        <v>1.4073772784995466E-2</v>
      </c>
      <c r="Y15" s="4">
        <f t="shared" si="11"/>
        <v>0.8641729133401157</v>
      </c>
      <c r="Z15" s="360">
        <f t="shared" si="12"/>
        <v>1.1201922362261147E-3</v>
      </c>
      <c r="AA15" s="541">
        <f t="shared" si="39"/>
        <v>1.1201922362261147E-3</v>
      </c>
      <c r="AB15" s="360">
        <f t="shared" si="13"/>
        <v>0.91664589251011785</v>
      </c>
      <c r="AC15" s="360">
        <f t="shared" si="14"/>
        <v>5.0414381535340228E-3</v>
      </c>
      <c r="AD15" s="360">
        <f t="shared" si="15"/>
        <v>1.3033766134793998E-2</v>
      </c>
      <c r="AE15" s="360">
        <f t="shared" si="16"/>
        <v>2.6344338792535935E-2</v>
      </c>
      <c r="AF15" s="360">
        <f t="shared" si="17"/>
        <v>8.3537103370458152E-3</v>
      </c>
      <c r="AG15" s="360">
        <f t="shared" si="18"/>
        <v>5.2813724501020683E-2</v>
      </c>
      <c r="AH15" s="360">
        <f t="shared" si="19"/>
        <v>2.5913407148119414</v>
      </c>
      <c r="AI15" s="360">
        <f t="shared" si="20"/>
        <v>1.678761675060516E-2</v>
      </c>
      <c r="AJ15" s="360">
        <f t="shared" si="21"/>
        <v>1.1458350337045814E-2</v>
      </c>
      <c r="AK15" s="360">
        <f t="shared" si="22"/>
        <v>2.8341123070127584E-2</v>
      </c>
      <c r="AL15" s="360">
        <f t="shared" si="23"/>
        <v>3.1046399999999997E-3</v>
      </c>
      <c r="AM15" s="360">
        <f t="shared" si="24"/>
        <v>3.5639999999999998E-2</v>
      </c>
      <c r="AN15" s="360">
        <f t="shared" si="25"/>
        <v>3.0221145569990931E-2</v>
      </c>
      <c r="AO15" s="360">
        <f t="shared" si="26"/>
        <v>1.5749999999999998E-3</v>
      </c>
      <c r="AP15" s="360">
        <f t="shared" si="27"/>
        <v>0.32669999999999993</v>
      </c>
      <c r="AQ15" s="360">
        <f t="shared" si="28"/>
        <v>0.31218000000000001</v>
      </c>
      <c r="AR15" s="360">
        <f t="shared" si="29"/>
        <v>0.29039999999999999</v>
      </c>
      <c r="AS15" s="360">
        <f t="shared" si="48"/>
        <v>0.32827499999999993</v>
      </c>
      <c r="AT15" s="360">
        <f t="shared" si="41"/>
        <v>0.83238992352002872</v>
      </c>
      <c r="AU15">
        <f t="shared" si="30"/>
        <v>3.5999999999999996</v>
      </c>
      <c r="AV15" s="542">
        <f t="shared" si="42"/>
        <v>0.81220291132261724</v>
      </c>
      <c r="AW15" s="551">
        <f t="shared" si="31"/>
        <v>2.9007727310387859</v>
      </c>
      <c r="AX15" s="551">
        <f t="shared" si="32"/>
        <v>1.5238882766648481</v>
      </c>
      <c r="AY15" s="9"/>
      <c r="AZ15" s="4">
        <f t="shared" si="43"/>
        <v>81.220291132261721</v>
      </c>
      <c r="BA15" s="360">
        <f t="shared" si="33"/>
        <v>0.33880032535766808</v>
      </c>
      <c r="BB15" s="360">
        <f t="shared" si="44"/>
        <v>0.11679484757114827</v>
      </c>
      <c r="BC15" s="360">
        <f t="shared" si="45"/>
        <v>7.6336124501020675E-2</v>
      </c>
      <c r="BD15" s="360">
        <f t="shared" si="46"/>
        <v>4.010232307012758E-2</v>
      </c>
      <c r="BE15" s="360">
        <f t="shared" si="47"/>
        <v>3.0221145569990931E-2</v>
      </c>
      <c r="BJ15" s="18"/>
      <c r="BK15" s="18"/>
      <c r="BL15" s="18"/>
      <c r="BM15" s="19"/>
    </row>
    <row r="16" spans="1:65" x14ac:dyDescent="0.25">
      <c r="A16" s="448" t="s">
        <v>476</v>
      </c>
      <c r="B16" s="5">
        <f>VCC</f>
        <v>5</v>
      </c>
      <c r="C16" s="440" t="s">
        <v>0</v>
      </c>
      <c r="D16" s="440" t="s">
        <v>475</v>
      </c>
      <c r="G16">
        <v>7</v>
      </c>
      <c r="H16" s="548">
        <f t="shared" si="0"/>
        <v>45</v>
      </c>
      <c r="I16" s="4">
        <f t="shared" si="1"/>
        <v>2</v>
      </c>
      <c r="J16" s="360">
        <f t="shared" si="34"/>
        <v>0.84</v>
      </c>
      <c r="K16" s="4">
        <f t="shared" si="2"/>
        <v>0.10370370370370371</v>
      </c>
      <c r="L16" s="4"/>
      <c r="M16" s="360">
        <f t="shared" si="3"/>
        <v>0.11122899664031576</v>
      </c>
      <c r="N16" s="4">
        <f t="shared" si="4"/>
        <v>9.1903555985199858</v>
      </c>
      <c r="O16" s="4">
        <f t="shared" si="35"/>
        <v>5.4351777992599928</v>
      </c>
      <c r="P16" s="4">
        <f t="shared" si="36"/>
        <v>-3.7551777992599931</v>
      </c>
      <c r="Q16" s="4">
        <f t="shared" si="5"/>
        <v>39.259569255201185</v>
      </c>
      <c r="R16" s="4">
        <f t="shared" si="6"/>
        <v>2.7828318314750238</v>
      </c>
      <c r="S16" s="360">
        <f t="shared" si="7"/>
        <v>3.872076501135318E-2</v>
      </c>
      <c r="T16" s="360">
        <f t="shared" si="8"/>
        <v>0.3</v>
      </c>
      <c r="U16" s="360">
        <f t="shared" si="9"/>
        <v>0.33977326747912912</v>
      </c>
      <c r="V16" s="4">
        <f t="shared" si="37"/>
        <v>2.6530271393769493</v>
      </c>
      <c r="W16" s="360">
        <f t="shared" si="10"/>
        <v>1.4077106004541278E-2</v>
      </c>
      <c r="X16" s="360">
        <f t="shared" si="38"/>
        <v>1.4077106004541278E-2</v>
      </c>
      <c r="Y16" s="4">
        <f t="shared" si="11"/>
        <v>0.87496546306532008</v>
      </c>
      <c r="Z16" s="360">
        <f t="shared" si="12"/>
        <v>1.1483468423356649E-3</v>
      </c>
      <c r="AA16" s="541">
        <f t="shared" si="39"/>
        <v>1.1483468423356649E-3</v>
      </c>
      <c r="AB16" s="360">
        <f t="shared" si="13"/>
        <v>0.92810256344417652</v>
      </c>
      <c r="AC16" s="360">
        <f t="shared" si="14"/>
        <v>5.1682462096299103E-3</v>
      </c>
      <c r="AD16" s="360">
        <f t="shared" si="15"/>
        <v>1.5206060490592995E-2</v>
      </c>
      <c r="AE16" s="360">
        <f t="shared" si="16"/>
        <v>3.2496795107804212E-2</v>
      </c>
      <c r="AF16" s="360">
        <f t="shared" si="17"/>
        <v>8.0961633352045429E-3</v>
      </c>
      <c r="AG16" s="360">
        <f t="shared" si="18"/>
        <v>6.10151970604942E-2</v>
      </c>
      <c r="AH16" s="360">
        <f t="shared" si="19"/>
        <v>2.6235050283921666</v>
      </c>
      <c r="AI16" s="360">
        <f t="shared" si="20"/>
        <v>1.7206946584997457E-2</v>
      </c>
      <c r="AJ16" s="360">
        <f t="shared" si="21"/>
        <v>1.1718243335204544E-2</v>
      </c>
      <c r="AK16" s="360">
        <f t="shared" si="22"/>
        <v>2.9025076508423182E-2</v>
      </c>
      <c r="AL16" s="360">
        <f t="shared" si="23"/>
        <v>3.6220799999999997E-3</v>
      </c>
      <c r="AM16" s="360">
        <f t="shared" si="24"/>
        <v>4.1579999999999999E-2</v>
      </c>
      <c r="AN16" s="360">
        <f t="shared" si="25"/>
        <v>3.0976612009082541E-2</v>
      </c>
      <c r="AO16" s="360">
        <f t="shared" si="26"/>
        <v>1.5749999999999998E-3</v>
      </c>
      <c r="AP16" s="360">
        <f t="shared" si="27"/>
        <v>0.32669999999999993</v>
      </c>
      <c r="AQ16" s="360">
        <f t="shared" si="28"/>
        <v>0.31218000000000001</v>
      </c>
      <c r="AR16" s="360">
        <f t="shared" si="29"/>
        <v>0.29039999999999999</v>
      </c>
      <c r="AS16" s="360">
        <f t="shared" si="48"/>
        <v>0.32827499999999993</v>
      </c>
      <c r="AT16" s="360">
        <f t="shared" si="41"/>
        <v>0.84949268590400584</v>
      </c>
      <c r="AU16">
        <f t="shared" si="30"/>
        <v>4.2</v>
      </c>
      <c r="AV16" s="542">
        <f t="shared" si="42"/>
        <v>0.83176672613559355</v>
      </c>
      <c r="AW16" s="551">
        <f t="shared" si="31"/>
        <v>3.3614038882987796</v>
      </c>
      <c r="AX16" s="551">
        <f t="shared" si="32"/>
        <v>1.624366107320081</v>
      </c>
      <c r="AY16" s="9"/>
      <c r="AZ16" s="4">
        <f t="shared" si="43"/>
        <v>83.176672613559361</v>
      </c>
      <c r="BA16" s="360">
        <f t="shared" si="33"/>
        <v>0.33977326747912912</v>
      </c>
      <c r="BB16" s="360">
        <f t="shared" si="44"/>
        <v>0.1316202735689174</v>
      </c>
      <c r="BC16" s="360">
        <f t="shared" si="45"/>
        <v>8.8457997060494203E-2</v>
      </c>
      <c r="BD16" s="360">
        <f t="shared" si="46"/>
        <v>4.2746476508423184E-2</v>
      </c>
      <c r="BE16" s="360">
        <f t="shared" si="47"/>
        <v>3.0976612009082541E-2</v>
      </c>
      <c r="BJ16" s="18"/>
      <c r="BK16" s="18"/>
      <c r="BL16" s="18"/>
      <c r="BM16" s="19"/>
    </row>
    <row r="17" spans="1:65" ht="13" x14ac:dyDescent="0.3">
      <c r="A17" s="24" t="s">
        <v>58</v>
      </c>
      <c r="B17" s="16" t="s">
        <v>111</v>
      </c>
      <c r="C17" s="24" t="s">
        <v>76</v>
      </c>
      <c r="D17" s="17" t="s">
        <v>107</v>
      </c>
      <c r="G17">
        <v>8</v>
      </c>
      <c r="H17" s="548">
        <f t="shared" si="0"/>
        <v>45</v>
      </c>
      <c r="I17" s="4">
        <f t="shared" si="1"/>
        <v>2</v>
      </c>
      <c r="J17" s="360">
        <f t="shared" si="34"/>
        <v>0.96</v>
      </c>
      <c r="K17" s="4">
        <f t="shared" si="2"/>
        <v>0.11851851851851851</v>
      </c>
      <c r="L17" s="4"/>
      <c r="M17" s="360">
        <f t="shared" si="3"/>
        <v>0.11124583663984482</v>
      </c>
      <c r="N17" s="4">
        <f t="shared" si="4"/>
        <v>9.1914436147910656</v>
      </c>
      <c r="O17" s="4">
        <f t="shared" si="35"/>
        <v>5.5557218073955328</v>
      </c>
      <c r="P17" s="4">
        <f t="shared" si="36"/>
        <v>-3.6357218073955329</v>
      </c>
      <c r="Q17" s="4">
        <f t="shared" si="5"/>
        <v>38.010682774652722</v>
      </c>
      <c r="R17" s="4">
        <f t="shared" si="6"/>
        <v>2.8216696553028586</v>
      </c>
      <c r="S17" s="360">
        <f t="shared" si="7"/>
        <v>3.9809098218284766E-2</v>
      </c>
      <c r="T17" s="360">
        <f t="shared" si="8"/>
        <v>0.3</v>
      </c>
      <c r="U17" s="360">
        <f t="shared" si="9"/>
        <v>0.34089475524176616</v>
      </c>
      <c r="V17" s="4">
        <f t="shared" si="37"/>
        <v>2.6533412226204445</v>
      </c>
      <c r="W17" s="360">
        <f t="shared" si="10"/>
        <v>1.4080439287313911E-2</v>
      </c>
      <c r="X17" s="360">
        <f t="shared" si="38"/>
        <v>1.4080439287313911E-2</v>
      </c>
      <c r="Y17" s="4">
        <f t="shared" si="11"/>
        <v>0.88723542776171183</v>
      </c>
      <c r="Z17" s="360">
        <f t="shared" si="12"/>
        <v>1.1807800564132616E-3</v>
      </c>
      <c r="AA17" s="541">
        <f t="shared" si="39"/>
        <v>1.1807800564132616E-3</v>
      </c>
      <c r="AB17" s="360">
        <f t="shared" si="13"/>
        <v>0.94112660542254822</v>
      </c>
      <c r="AC17" s="360">
        <f t="shared" si="14"/>
        <v>5.3143157246050123E-3</v>
      </c>
      <c r="AD17" s="360">
        <f t="shared" si="15"/>
        <v>1.7378354846391993E-2</v>
      </c>
      <c r="AE17" s="360">
        <f t="shared" si="16"/>
        <v>3.8139008360708999E-2</v>
      </c>
      <c r="AF17" s="360">
        <f t="shared" si="17"/>
        <v>7.8386162167447676E-3</v>
      </c>
      <c r="AG17" s="360">
        <f t="shared" si="18"/>
        <v>6.8725810207839577E-2</v>
      </c>
      <c r="AH17" s="360">
        <f t="shared" si="19"/>
        <v>2.6600940502588974</v>
      </c>
      <c r="AI17" s="360">
        <f t="shared" si="20"/>
        <v>1.7690250890556966E-2</v>
      </c>
      <c r="AJ17" s="360">
        <f t="shared" si="21"/>
        <v>1.1978136216744768E-2</v>
      </c>
      <c r="AK17" s="360">
        <f t="shared" si="22"/>
        <v>2.9773728051136095E-2</v>
      </c>
      <c r="AL17" s="360">
        <f t="shared" si="23"/>
        <v>4.1395199999999998E-3</v>
      </c>
      <c r="AM17" s="360">
        <f t="shared" si="24"/>
        <v>4.7519999999999993E-2</v>
      </c>
      <c r="AN17" s="360">
        <f t="shared" si="25"/>
        <v>3.184727857462781E-2</v>
      </c>
      <c r="AO17" s="360">
        <f t="shared" si="26"/>
        <v>1.5749999999999998E-3</v>
      </c>
      <c r="AP17" s="360">
        <f t="shared" si="27"/>
        <v>0.32669999999999993</v>
      </c>
      <c r="AQ17" s="360">
        <f t="shared" si="28"/>
        <v>0.31218000000000001</v>
      </c>
      <c r="AR17" s="360">
        <f t="shared" si="29"/>
        <v>0.29039999999999999</v>
      </c>
      <c r="AS17" s="360">
        <f t="shared" si="48"/>
        <v>0.32827499999999993</v>
      </c>
      <c r="AT17" s="360">
        <f t="shared" si="41"/>
        <v>0.86643731141909663</v>
      </c>
      <c r="AU17">
        <f t="shared" si="30"/>
        <v>4.8</v>
      </c>
      <c r="AV17" s="542">
        <f t="shared" si="42"/>
        <v>0.84709310916172342</v>
      </c>
      <c r="AW17" s="551">
        <f t="shared" si="31"/>
        <v>3.8033823878979036</v>
      </c>
      <c r="AX17" s="551">
        <f t="shared" si="32"/>
        <v>1.7273024659431715</v>
      </c>
      <c r="AY17" s="9"/>
      <c r="AZ17" s="4">
        <f t="shared" si="43"/>
        <v>84.709310916172342</v>
      </c>
      <c r="BA17" s="360">
        <f t="shared" si="33"/>
        <v>0.34089475524176616</v>
      </c>
      <c r="BB17" s="360">
        <f t="shared" si="44"/>
        <v>0.14601953825897568</v>
      </c>
      <c r="BC17" s="360">
        <f t="shared" si="45"/>
        <v>0.10008901020783957</v>
      </c>
      <c r="BD17" s="360">
        <f t="shared" si="46"/>
        <v>4.5455328051136092E-2</v>
      </c>
      <c r="BE17" s="360">
        <f t="shared" si="47"/>
        <v>3.184727857462781E-2</v>
      </c>
      <c r="BJ17" s="18"/>
      <c r="BK17" s="18"/>
      <c r="BL17" s="18"/>
      <c r="BM17" s="19"/>
    </row>
    <row r="18" spans="1:65" x14ac:dyDescent="0.25">
      <c r="A18" s="35" t="s">
        <v>56</v>
      </c>
      <c r="B18" s="38">
        <f>Lo_2*1000000</f>
        <v>2.2000000000000002</v>
      </c>
      <c r="C18" s="441" t="s">
        <v>10</v>
      </c>
      <c r="D18" s="440" t="s">
        <v>468</v>
      </c>
      <c r="G18">
        <v>9</v>
      </c>
      <c r="H18" s="548">
        <f t="shared" si="0"/>
        <v>45</v>
      </c>
      <c r="I18" s="4">
        <f t="shared" si="1"/>
        <v>2</v>
      </c>
      <c r="J18" s="360">
        <f t="shared" si="34"/>
        <v>1.08</v>
      </c>
      <c r="K18" s="4">
        <f t="shared" si="2"/>
        <v>0.13333333333333333</v>
      </c>
      <c r="L18" s="4"/>
      <c r="M18" s="360">
        <f t="shared" si="3"/>
        <v>0.11126267644179499</v>
      </c>
      <c r="N18" s="4">
        <f t="shared" si="4"/>
        <v>9.192531522883618</v>
      </c>
      <c r="O18" s="4">
        <f t="shared" si="35"/>
        <v>5.6762657614418091</v>
      </c>
      <c r="P18" s="4">
        <f t="shared" si="36"/>
        <v>-3.5162657614418089</v>
      </c>
      <c r="Q18" s="4">
        <f t="shared" si="5"/>
        <v>36.761795728612746</v>
      </c>
      <c r="R18" s="4">
        <f t="shared" si="6"/>
        <v>2.865010700957459</v>
      </c>
      <c r="S18" s="360">
        <f t="shared" si="7"/>
        <v>4.1041431583003753E-2</v>
      </c>
      <c r="T18" s="360">
        <f t="shared" si="8"/>
        <v>0.3</v>
      </c>
      <c r="U18" s="360">
        <f t="shared" si="9"/>
        <v>0.34216486645955635</v>
      </c>
      <c r="V18" s="4">
        <f t="shared" si="37"/>
        <v>2.6536552746354887</v>
      </c>
      <c r="W18" s="360">
        <f t="shared" si="10"/>
        <v>1.4083772633201501E-2</v>
      </c>
      <c r="X18" s="360">
        <f t="shared" si="38"/>
        <v>1.4083772633201501E-2</v>
      </c>
      <c r="Y18" s="4">
        <f t="shared" si="11"/>
        <v>0.90092307280453843</v>
      </c>
      <c r="Z18" s="360">
        <f t="shared" si="12"/>
        <v>1.2174935746673576E-3</v>
      </c>
      <c r="AA18" s="541">
        <f t="shared" si="39"/>
        <v>1.2174935746673576E-3</v>
      </c>
      <c r="AB18" s="360">
        <f t="shared" si="13"/>
        <v>0.95565469945245518</v>
      </c>
      <c r="AC18" s="360">
        <f t="shared" si="14"/>
        <v>5.4796554275133745E-3</v>
      </c>
      <c r="AD18" s="360">
        <f t="shared" si="15"/>
        <v>1.9550649202190996E-2</v>
      </c>
      <c r="AE18" s="360">
        <f t="shared" si="16"/>
        <v>4.3270977858086299E-2</v>
      </c>
      <c r="AF18" s="360">
        <f t="shared" si="17"/>
        <v>7.5810689816685388E-3</v>
      </c>
      <c r="AG18" s="360">
        <f t="shared" si="18"/>
        <v>7.5945607144733945E-2</v>
      </c>
      <c r="AH18" s="360">
        <f t="shared" si="19"/>
        <v>2.7009276947032825</v>
      </c>
      <c r="AI18" s="360">
        <f t="shared" si="20"/>
        <v>1.8237526030037969E-2</v>
      </c>
      <c r="AJ18" s="360">
        <f t="shared" si="21"/>
        <v>1.223802898166854E-2</v>
      </c>
      <c r="AK18" s="360">
        <f t="shared" si="22"/>
        <v>3.0587121697334321E-2</v>
      </c>
      <c r="AL18" s="360">
        <f t="shared" si="23"/>
        <v>4.6569599999999999E-3</v>
      </c>
      <c r="AM18" s="360">
        <f t="shared" si="24"/>
        <v>5.3459999999999994E-2</v>
      </c>
      <c r="AN18" s="360">
        <f t="shared" si="25"/>
        <v>3.2833145266403005E-2</v>
      </c>
      <c r="AO18" s="360">
        <f t="shared" si="26"/>
        <v>1.5749999999999998E-3</v>
      </c>
      <c r="AP18" s="360">
        <f t="shared" si="27"/>
        <v>0.32669999999999993</v>
      </c>
      <c r="AQ18" s="360">
        <f t="shared" si="28"/>
        <v>0.31218000000000001</v>
      </c>
      <c r="AR18" s="360">
        <f t="shared" si="29"/>
        <v>0.29039999999999999</v>
      </c>
      <c r="AS18" s="360">
        <f t="shared" si="48"/>
        <v>0.32827499999999993</v>
      </c>
      <c r="AT18" s="360">
        <f t="shared" si="41"/>
        <v>0.88322396677589632</v>
      </c>
      <c r="AU18">
        <f t="shared" si="30"/>
        <v>5.4</v>
      </c>
      <c r="AV18" s="542">
        <f t="shared" si="42"/>
        <v>0.85943140473009372</v>
      </c>
      <c r="AW18" s="551">
        <f t="shared" si="31"/>
        <v>4.2267098714998896</v>
      </c>
      <c r="AX18" s="551">
        <f t="shared" si="32"/>
        <v>1.8326990244987043</v>
      </c>
      <c r="AY18" s="9"/>
      <c r="AZ18" s="4">
        <f t="shared" si="43"/>
        <v>85.943140473009379</v>
      </c>
      <c r="BA18" s="360">
        <f t="shared" si="33"/>
        <v>0.34216486645955635</v>
      </c>
      <c r="BB18" s="360">
        <f t="shared" si="44"/>
        <v>0.15999272884206828</v>
      </c>
      <c r="BC18" s="360">
        <f t="shared" si="45"/>
        <v>0.11122920714473394</v>
      </c>
      <c r="BD18" s="360">
        <f t="shared" si="46"/>
        <v>4.8228921697334323E-2</v>
      </c>
      <c r="BE18" s="360">
        <f t="shared" si="47"/>
        <v>3.2833145266403005E-2</v>
      </c>
      <c r="BK18" s="18"/>
      <c r="BL18" s="19"/>
    </row>
    <row r="19" spans="1:65" x14ac:dyDescent="0.25">
      <c r="A19" s="35" t="s">
        <v>11</v>
      </c>
      <c r="B19" s="39">
        <f>Rdcr2*1000</f>
        <v>5</v>
      </c>
      <c r="C19" s="442" t="s">
        <v>466</v>
      </c>
      <c r="D19" s="440" t="s">
        <v>469</v>
      </c>
      <c r="G19">
        <v>10</v>
      </c>
      <c r="H19" s="548">
        <f t="shared" si="0"/>
        <v>45</v>
      </c>
      <c r="I19" s="4">
        <f t="shared" si="1"/>
        <v>2</v>
      </c>
      <c r="J19" s="360">
        <f t="shared" si="34"/>
        <v>1.2</v>
      </c>
      <c r="K19" s="4">
        <f t="shared" si="2"/>
        <v>0.14814814814814814</v>
      </c>
      <c r="L19" s="4"/>
      <c r="M19" s="360">
        <f t="shared" si="3"/>
        <v>0.11127951604616973</v>
      </c>
      <c r="N19" s="4">
        <f t="shared" si="4"/>
        <v>9.1936193227995435</v>
      </c>
      <c r="O19" s="4">
        <f t="shared" si="35"/>
        <v>5.7968096613997719</v>
      </c>
      <c r="P19" s="4">
        <f t="shared" si="36"/>
        <v>-3.3968096613997716</v>
      </c>
      <c r="Q19" s="4">
        <f t="shared" si="5"/>
        <v>35.512908117091186</v>
      </c>
      <c r="R19" s="4">
        <f t="shared" si="6"/>
        <v>2.912653948042248</v>
      </c>
      <c r="S19" s="360">
        <f t="shared" si="7"/>
        <v>4.2417765105230466E-2</v>
      </c>
      <c r="T19" s="360">
        <f t="shared" si="8"/>
        <v>0.3</v>
      </c>
      <c r="U19" s="360">
        <f t="shared" si="9"/>
        <v>0.34358368928331112</v>
      </c>
      <c r="V19" s="4">
        <f t="shared" si="37"/>
        <v>2.6539692954226308</v>
      </c>
      <c r="W19" s="360">
        <f t="shared" si="10"/>
        <v>1.4087106042092191E-2</v>
      </c>
      <c r="X19" s="360">
        <f t="shared" si="38"/>
        <v>1.4087106042092191E-2</v>
      </c>
      <c r="Y19" s="4">
        <f t="shared" si="11"/>
        <v>0.91596546263841405</v>
      </c>
      <c r="Z19" s="360">
        <f t="shared" si="12"/>
        <v>1.2584890931196058E-3</v>
      </c>
      <c r="AA19" s="541">
        <f t="shared" si="39"/>
        <v>1.2584890931196058E-3</v>
      </c>
      <c r="AB19" s="360">
        <f t="shared" si="13"/>
        <v>0.97162012872008297</v>
      </c>
      <c r="AC19" s="360">
        <f t="shared" si="14"/>
        <v>5.6642740472041837E-3</v>
      </c>
      <c r="AD19" s="360">
        <f t="shared" si="15"/>
        <v>2.1722943557989996E-2</v>
      </c>
      <c r="AE19" s="360">
        <f t="shared" si="16"/>
        <v>4.7892702906788202E-2</v>
      </c>
      <c r="AF19" s="360">
        <f t="shared" si="17"/>
        <v>7.323521629977907E-3</v>
      </c>
      <c r="AG19" s="360">
        <f t="shared" si="18"/>
        <v>8.2674622483171353E-2</v>
      </c>
      <c r="AH19" s="360">
        <f t="shared" si="19"/>
        <v>2.7458163351746716</v>
      </c>
      <c r="AI19" s="360">
        <f t="shared" si="20"/>
        <v>1.8848768366280161E-2</v>
      </c>
      <c r="AJ19" s="360">
        <f t="shared" si="21"/>
        <v>1.2497921629977909E-2</v>
      </c>
      <c r="AK19" s="360">
        <f t="shared" si="22"/>
        <v>3.1465306450831218E-2</v>
      </c>
      <c r="AL19" s="360">
        <f t="shared" si="23"/>
        <v>5.1744E-3</v>
      </c>
      <c r="AM19" s="360">
        <f t="shared" si="24"/>
        <v>5.9400000000000001E-2</v>
      </c>
      <c r="AN19" s="360">
        <f t="shared" si="25"/>
        <v>3.3934212084184373E-2</v>
      </c>
      <c r="AO19" s="360">
        <f t="shared" si="26"/>
        <v>1.5749999999999998E-3</v>
      </c>
      <c r="AP19" s="360">
        <f t="shared" si="27"/>
        <v>0.32669999999999993</v>
      </c>
      <c r="AQ19" s="360">
        <f t="shared" si="28"/>
        <v>0.31218000000000001</v>
      </c>
      <c r="AR19" s="360">
        <f t="shared" si="29"/>
        <v>0.29039999999999999</v>
      </c>
      <c r="AS19" s="360">
        <f t="shared" si="48"/>
        <v>0.32827499999999993</v>
      </c>
      <c r="AT19" s="360">
        <f t="shared" si="41"/>
        <v>0.89985282543670975</v>
      </c>
      <c r="AU19">
        <f t="shared" si="30"/>
        <v>6</v>
      </c>
      <c r="AV19" s="542">
        <f t="shared" si="42"/>
        <v>0.86958376530592796</v>
      </c>
      <c r="AW19" s="551">
        <f t="shared" si="31"/>
        <v>4.6313876543605117</v>
      </c>
      <c r="AX19" s="551">
        <f t="shared" si="32"/>
        <v>1.9405576451315862</v>
      </c>
      <c r="AY19" s="9"/>
      <c r="AZ19" s="4">
        <f t="shared" si="43"/>
        <v>86.958376530592801</v>
      </c>
      <c r="BA19" s="360">
        <f t="shared" si="33"/>
        <v>0.34358368928331112</v>
      </c>
      <c r="BB19" s="360">
        <f t="shared" si="44"/>
        <v>0.17353992893400258</v>
      </c>
      <c r="BC19" s="360">
        <f t="shared" si="45"/>
        <v>0.12187862248317136</v>
      </c>
      <c r="BD19" s="360">
        <f t="shared" si="46"/>
        <v>5.1067306450831219E-2</v>
      </c>
      <c r="BE19" s="360">
        <f t="shared" si="47"/>
        <v>3.3934212084184373E-2</v>
      </c>
      <c r="BK19" s="18"/>
      <c r="BL19" s="19"/>
    </row>
    <row r="20" spans="1:65" x14ac:dyDescent="0.25">
      <c r="A20" s="35" t="s">
        <v>82</v>
      </c>
      <c r="B20" s="39">
        <f>Ltc*1000000</f>
        <v>4000</v>
      </c>
      <c r="C20" s="441" t="s">
        <v>81</v>
      </c>
      <c r="D20" s="21" t="s">
        <v>97</v>
      </c>
      <c r="G20">
        <v>11</v>
      </c>
      <c r="H20" s="548">
        <f t="shared" si="0"/>
        <v>45</v>
      </c>
      <c r="I20" s="4">
        <f t="shared" si="1"/>
        <v>2</v>
      </c>
      <c r="J20" s="360">
        <f t="shared" si="34"/>
        <v>1.32</v>
      </c>
      <c r="K20" s="4">
        <f t="shared" si="2"/>
        <v>0.16296296296296298</v>
      </c>
      <c r="L20" s="4"/>
      <c r="M20" s="360">
        <f t="shared" si="3"/>
        <v>0.11129635545297255</v>
      </c>
      <c r="N20" s="4">
        <f t="shared" si="4"/>
        <v>9.1947070145407537</v>
      </c>
      <c r="O20" s="4">
        <f t="shared" si="35"/>
        <v>5.9173535072703771</v>
      </c>
      <c r="P20" s="4">
        <f t="shared" si="36"/>
        <v>-3.2773535072703766</v>
      </c>
      <c r="Q20" s="4">
        <f t="shared" si="5"/>
        <v>34.264019940098031</v>
      </c>
      <c r="R20" s="4">
        <f t="shared" si="6"/>
        <v>2.9643919708663833</v>
      </c>
      <c r="S20" s="360">
        <f t="shared" si="7"/>
        <v>4.3938098784685402E-2</v>
      </c>
      <c r="T20" s="360">
        <f t="shared" si="8"/>
        <v>0.3</v>
      </c>
      <c r="U20" s="360">
        <f t="shared" si="9"/>
        <v>0.3451513222159806</v>
      </c>
      <c r="V20" s="4">
        <f t="shared" si="37"/>
        <v>2.6542832849824225</v>
      </c>
      <c r="W20" s="360">
        <f t="shared" si="10"/>
        <v>1.409043951387416E-2</v>
      </c>
      <c r="X20" s="360">
        <f t="shared" si="38"/>
        <v>1.409043951387416E-2</v>
      </c>
      <c r="Y20" s="4">
        <f t="shared" si="11"/>
        <v>0.93229763044672753</v>
      </c>
      <c r="Z20" s="360">
        <f t="shared" si="12"/>
        <v>1.3037683076048744E-3</v>
      </c>
      <c r="AA20" s="541">
        <f t="shared" si="39"/>
        <v>1.3037683076048744E-3</v>
      </c>
      <c r="AB20" s="360">
        <f t="shared" si="13"/>
        <v>0.98895401918068648</v>
      </c>
      <c r="AC20" s="360">
        <f t="shared" si="14"/>
        <v>5.8681803123218019E-3</v>
      </c>
      <c r="AD20" s="360">
        <f t="shared" si="15"/>
        <v>2.3895237913788999E-2</v>
      </c>
      <c r="AE20" s="360">
        <f t="shared" si="16"/>
        <v>5.2004182813682548E-2</v>
      </c>
      <c r="AF20" s="360">
        <f t="shared" si="17"/>
        <v>7.0659741616749313E-3</v>
      </c>
      <c r="AG20" s="360">
        <f t="shared" si="18"/>
        <v>8.8912882238878305E-2</v>
      </c>
      <c r="AH20" s="360">
        <f t="shared" si="19"/>
        <v>2.7945643139644232</v>
      </c>
      <c r="AI20" s="360">
        <f t="shared" si="20"/>
        <v>1.9523974262208619E-2</v>
      </c>
      <c r="AJ20" s="360">
        <f t="shared" si="21"/>
        <v>1.2757814161674933E-2</v>
      </c>
      <c r="AK20" s="360">
        <f t="shared" si="22"/>
        <v>3.2408336328756282E-2</v>
      </c>
      <c r="AL20" s="360">
        <f t="shared" si="23"/>
        <v>5.6918400000000001E-3</v>
      </c>
      <c r="AM20" s="360">
        <f t="shared" si="24"/>
        <v>6.5339999999999995E-2</v>
      </c>
      <c r="AN20" s="360">
        <f t="shared" si="25"/>
        <v>3.5150479027748316E-2</v>
      </c>
      <c r="AO20" s="360">
        <f t="shared" si="26"/>
        <v>1.5749999999999998E-3</v>
      </c>
      <c r="AP20" s="360">
        <f t="shared" si="27"/>
        <v>0.32669999999999993</v>
      </c>
      <c r="AQ20" s="360">
        <f t="shared" si="28"/>
        <v>0.31218000000000001</v>
      </c>
      <c r="AR20" s="360">
        <f t="shared" si="29"/>
        <v>0.29039999999999999</v>
      </c>
      <c r="AS20" s="360">
        <f t="shared" si="48"/>
        <v>0.32827499999999993</v>
      </c>
      <c r="AT20" s="360">
        <f t="shared" si="41"/>
        <v>0.91632406763284258</v>
      </c>
      <c r="AU20">
        <f t="shared" si="30"/>
        <v>6.6000000000000005</v>
      </c>
      <c r="AV20" s="542">
        <f t="shared" si="42"/>
        <v>0.87808880253330723</v>
      </c>
      <c r="AW20" s="551">
        <f t="shared" si="31"/>
        <v>5.0174167250773758</v>
      </c>
      <c r="AX20" s="551">
        <f t="shared" si="32"/>
        <v>2.0508803804927389</v>
      </c>
      <c r="AY20" s="9"/>
      <c r="AZ20" s="4">
        <f t="shared" si="43"/>
        <v>87.808880253330727</v>
      </c>
      <c r="BA20" s="360">
        <f t="shared" si="33"/>
        <v>0.3451513222159806</v>
      </c>
      <c r="BB20" s="360">
        <f t="shared" si="44"/>
        <v>0.18666121856763457</v>
      </c>
      <c r="BC20" s="360">
        <f t="shared" si="45"/>
        <v>0.13203728223887831</v>
      </c>
      <c r="BD20" s="360">
        <f t="shared" si="46"/>
        <v>5.3970536328756286E-2</v>
      </c>
      <c r="BE20" s="360">
        <f t="shared" si="47"/>
        <v>3.5150479027748316E-2</v>
      </c>
      <c r="BK20" s="18"/>
      <c r="BL20" s="19"/>
    </row>
    <row r="21" spans="1:65" x14ac:dyDescent="0.25">
      <c r="A21" s="25" t="s">
        <v>129</v>
      </c>
      <c r="B21" s="39">
        <f>ThetaCa</f>
        <v>20</v>
      </c>
      <c r="C21" s="441" t="s">
        <v>205</v>
      </c>
      <c r="D21" s="26" t="s">
        <v>130</v>
      </c>
      <c r="G21">
        <v>12</v>
      </c>
      <c r="H21" s="548">
        <f t="shared" si="0"/>
        <v>45</v>
      </c>
      <c r="I21" s="4">
        <f t="shared" si="1"/>
        <v>2</v>
      </c>
      <c r="J21" s="360">
        <f t="shared" si="34"/>
        <v>1.44</v>
      </c>
      <c r="K21" s="4">
        <f t="shared" si="2"/>
        <v>0.17777777777777776</v>
      </c>
      <c r="L21" s="4"/>
      <c r="M21" s="360">
        <f t="shared" si="3"/>
        <v>0.11131319466220688</v>
      </c>
      <c r="N21" s="4">
        <f t="shared" si="4"/>
        <v>9.1957945981091438</v>
      </c>
      <c r="O21" s="4">
        <f t="shared" si="35"/>
        <v>6.0378972990545723</v>
      </c>
      <c r="P21" s="4">
        <f t="shared" si="36"/>
        <v>-3.1578972990545719</v>
      </c>
      <c r="Q21" s="4">
        <f t="shared" si="5"/>
        <v>33.0151311976432</v>
      </c>
      <c r="R21" s="4">
        <f t="shared" si="6"/>
        <v>3.0200143251676432</v>
      </c>
      <c r="S21" s="360">
        <f t="shared" si="7"/>
        <v>4.560243262108888E-2</v>
      </c>
      <c r="T21" s="360">
        <f t="shared" si="8"/>
        <v>0.3</v>
      </c>
      <c r="U21" s="360">
        <f t="shared" si="9"/>
        <v>0.34686787412976272</v>
      </c>
      <c r="V21" s="4">
        <f t="shared" si="37"/>
        <v>2.6545972433154104</v>
      </c>
      <c r="W21" s="360">
        <f t="shared" si="10"/>
        <v>1.4093773048435551E-2</v>
      </c>
      <c r="X21" s="360">
        <f t="shared" si="38"/>
        <v>1.4093773048435551E-2</v>
      </c>
      <c r="Y21" s="4">
        <f t="shared" si="11"/>
        <v>0.94985364268089423</v>
      </c>
      <c r="Z21" s="360">
        <f t="shared" si="12"/>
        <v>1.3533329137712458E-3</v>
      </c>
      <c r="AA21" s="541">
        <f t="shared" si="39"/>
        <v>1.3533329137712458E-3</v>
      </c>
      <c r="AB21" s="360">
        <f t="shared" si="13"/>
        <v>1.0075864686885625</v>
      </c>
      <c r="AC21" s="360">
        <f t="shared" si="14"/>
        <v>6.0913829513057254E-3</v>
      </c>
      <c r="AD21" s="360">
        <f t="shared" si="15"/>
        <v>2.6067532269587995E-2</v>
      </c>
      <c r="AE21" s="360">
        <f t="shared" si="16"/>
        <v>5.5605416885653375E-2</v>
      </c>
      <c r="AF21" s="360">
        <f t="shared" si="17"/>
        <v>6.8084265767616569E-3</v>
      </c>
      <c r="AG21" s="360">
        <f t="shared" si="18"/>
        <v>9.4660403824351688E-2</v>
      </c>
      <c r="AH21" s="360">
        <f t="shared" si="19"/>
        <v>2.8469731351618841</v>
      </c>
      <c r="AI21" s="360">
        <f t="shared" si="20"/>
        <v>2.0263140080833721E-2</v>
      </c>
      <c r="AJ21" s="360">
        <f t="shared" si="21"/>
        <v>1.3017706576761658E-2</v>
      </c>
      <c r="AK21" s="360">
        <f t="shared" si="22"/>
        <v>3.3416270371097088E-2</v>
      </c>
      <c r="AL21" s="360">
        <f t="shared" si="23"/>
        <v>6.2092799999999993E-3</v>
      </c>
      <c r="AM21" s="360">
        <f t="shared" si="24"/>
        <v>7.1279999999999996E-2</v>
      </c>
      <c r="AN21" s="360">
        <f t="shared" si="25"/>
        <v>3.648194609687111E-2</v>
      </c>
      <c r="AO21" s="360">
        <f t="shared" si="26"/>
        <v>1.5749999999999998E-3</v>
      </c>
      <c r="AP21" s="360">
        <f t="shared" si="27"/>
        <v>0.32669999999999993</v>
      </c>
      <c r="AQ21" s="360">
        <f t="shared" si="28"/>
        <v>0.31218000000000001</v>
      </c>
      <c r="AR21" s="360">
        <f t="shared" si="29"/>
        <v>0.29039999999999999</v>
      </c>
      <c r="AS21" s="360">
        <f t="shared" si="48"/>
        <v>0.32827499999999993</v>
      </c>
      <c r="AT21" s="360">
        <f t="shared" si="41"/>
        <v>0.93263788038428919</v>
      </c>
      <c r="AU21">
        <f t="shared" si="30"/>
        <v>7.1999999999999993</v>
      </c>
      <c r="AV21" s="542">
        <f t="shared" si="42"/>
        <v>0.88532160239990665</v>
      </c>
      <c r="AW21" s="551">
        <f t="shared" si="31"/>
        <v>5.3847977453253648</v>
      </c>
      <c r="AX21" s="551">
        <f t="shared" si="32"/>
        <v>2.1636694741016895</v>
      </c>
      <c r="AY21" s="9"/>
      <c r="AZ21" s="4">
        <f t="shared" si="43"/>
        <v>88.53216023999066</v>
      </c>
      <c r="BA21" s="360">
        <f t="shared" si="33"/>
        <v>0.34686787412976272</v>
      </c>
      <c r="BB21" s="360">
        <f t="shared" si="44"/>
        <v>0.19935667419544878</v>
      </c>
      <c r="BC21" s="360">
        <f t="shared" si="45"/>
        <v>0.1417052038243517</v>
      </c>
      <c r="BD21" s="360">
        <f t="shared" si="46"/>
        <v>5.6938670371097087E-2</v>
      </c>
      <c r="BE21" s="360">
        <f t="shared" si="47"/>
        <v>3.648194609687111E-2</v>
      </c>
      <c r="BK21" s="18"/>
      <c r="BL21" s="19"/>
    </row>
    <row r="22" spans="1:65" x14ac:dyDescent="0.25">
      <c r="A22" s="36" t="s">
        <v>57</v>
      </c>
      <c r="B22" s="39">
        <f>Cin*1000000</f>
        <v>1328</v>
      </c>
      <c r="C22" s="443" t="s">
        <v>467</v>
      </c>
      <c r="D22" s="440" t="s">
        <v>484</v>
      </c>
      <c r="G22">
        <v>13</v>
      </c>
      <c r="H22" s="548">
        <f t="shared" si="0"/>
        <v>45</v>
      </c>
      <c r="I22" s="4">
        <f t="shared" si="1"/>
        <v>2</v>
      </c>
      <c r="J22" s="360">
        <f t="shared" si="34"/>
        <v>1.56</v>
      </c>
      <c r="K22" s="4">
        <f t="shared" si="2"/>
        <v>0.19259259259259262</v>
      </c>
      <c r="L22" s="4"/>
      <c r="M22" s="360">
        <f t="shared" si="3"/>
        <v>0.11133003367387627</v>
      </c>
      <c r="N22" s="4">
        <f t="shared" si="4"/>
        <v>9.196882073506627</v>
      </c>
      <c r="O22" s="4">
        <f t="shared" si="35"/>
        <v>6.1584410367533131</v>
      </c>
      <c r="P22" s="4">
        <f t="shared" si="36"/>
        <v>-3.0384410367533135</v>
      </c>
      <c r="Q22" s="4">
        <f t="shared" si="5"/>
        <v>31.766241889736683</v>
      </c>
      <c r="R22" s="4">
        <f t="shared" si="6"/>
        <v>3.0793105271849894</v>
      </c>
      <c r="S22" s="360">
        <f t="shared" si="7"/>
        <v>4.7410766614161493E-2</v>
      </c>
      <c r="T22" s="360">
        <f t="shared" si="8"/>
        <v>0.3</v>
      </c>
      <c r="U22" s="360">
        <f t="shared" si="9"/>
        <v>0.34873346428502272</v>
      </c>
      <c r="V22" s="4">
        <f t="shared" si="37"/>
        <v>2.6549111704221473</v>
      </c>
      <c r="W22" s="360">
        <f t="shared" si="10"/>
        <v>1.4097106645664593E-2</v>
      </c>
      <c r="X22" s="360">
        <f t="shared" si="38"/>
        <v>1.4097106645664593E-2</v>
      </c>
      <c r="Y22" s="4">
        <f t="shared" si="11"/>
        <v>0.9685675357901965</v>
      </c>
      <c r="Z22" s="360">
        <f t="shared" si="12"/>
        <v>1.4071846070800404E-3</v>
      </c>
      <c r="AA22" s="541">
        <f t="shared" si="39"/>
        <v>1.4071846070800404E-3</v>
      </c>
      <c r="AB22" s="360">
        <f t="shared" si="13"/>
        <v>1.0274475406227694</v>
      </c>
      <c r="AC22" s="360">
        <f t="shared" si="14"/>
        <v>6.3338906923906648E-3</v>
      </c>
      <c r="AD22" s="360">
        <f t="shared" si="15"/>
        <v>2.8239826625386995E-2</v>
      </c>
      <c r="AE22" s="360">
        <f t="shared" si="16"/>
        <v>5.8696404429600446E-2</v>
      </c>
      <c r="AF22" s="360">
        <f t="shared" si="17"/>
        <v>6.5508788752401438E-3</v>
      </c>
      <c r="AG22" s="360">
        <f t="shared" si="18"/>
        <v>9.9917196041516845E-2</v>
      </c>
      <c r="AH22" s="360">
        <f t="shared" si="19"/>
        <v>2.9028442731397974</v>
      </c>
      <c r="AI22" s="360">
        <f t="shared" si="20"/>
        <v>2.1066262185251299E-2</v>
      </c>
      <c r="AJ22" s="360">
        <f t="shared" si="21"/>
        <v>1.3277598875240142E-2</v>
      </c>
      <c r="AK22" s="360">
        <f t="shared" si="22"/>
        <v>3.4489172651216024E-2</v>
      </c>
      <c r="AL22" s="360">
        <f t="shared" si="23"/>
        <v>6.7267200000000003E-3</v>
      </c>
      <c r="AM22" s="360">
        <f t="shared" si="24"/>
        <v>7.7219999999999983E-2</v>
      </c>
      <c r="AN22" s="360">
        <f t="shared" si="25"/>
        <v>3.792861329132919E-2</v>
      </c>
      <c r="AO22" s="360">
        <f t="shared" si="26"/>
        <v>1.5749999999999998E-3</v>
      </c>
      <c r="AP22" s="360">
        <f t="shared" si="27"/>
        <v>0.32669999999999993</v>
      </c>
      <c r="AQ22" s="360">
        <f t="shared" si="28"/>
        <v>0.31218000000000001</v>
      </c>
      <c r="AR22" s="360">
        <f t="shared" si="29"/>
        <v>0.29039999999999999</v>
      </c>
      <c r="AS22" s="360">
        <f t="shared" si="48"/>
        <v>0.32827499999999993</v>
      </c>
      <c r="AT22" s="360">
        <f t="shared" si="41"/>
        <v>0.94879445752182945</v>
      </c>
      <c r="AU22">
        <f t="shared" si="30"/>
        <v>7.8000000000000007</v>
      </c>
      <c r="AV22" s="542">
        <f t="shared" si="42"/>
        <v>0.89155140606759853</v>
      </c>
      <c r="AW22" s="551">
        <f t="shared" si="31"/>
        <v>5.733531049577639</v>
      </c>
      <c r="AX22" s="551">
        <f t="shared" si="32"/>
        <v>2.2789273607462088</v>
      </c>
      <c r="AY22" s="9"/>
      <c r="AZ22" s="4">
        <f t="shared" si="43"/>
        <v>89.155140606759858</v>
      </c>
      <c r="BA22" s="360">
        <f t="shared" si="33"/>
        <v>0.34873346428502272</v>
      </c>
      <c r="BB22" s="360">
        <f t="shared" si="44"/>
        <v>0.21162636869273285</v>
      </c>
      <c r="BC22" s="360">
        <f t="shared" si="45"/>
        <v>0.15088239604151682</v>
      </c>
      <c r="BD22" s="360">
        <f t="shared" si="46"/>
        <v>5.9971772651216018E-2</v>
      </c>
      <c r="BE22" s="360">
        <f t="shared" si="47"/>
        <v>3.792861329132919E-2</v>
      </c>
      <c r="BK22" s="18"/>
      <c r="BL22" s="19"/>
    </row>
    <row r="23" spans="1:65" x14ac:dyDescent="0.25">
      <c r="A23" s="36" t="s">
        <v>86</v>
      </c>
      <c r="B23" s="39">
        <f>RCinEsr*1000</f>
        <v>1.5</v>
      </c>
      <c r="C23" s="442" t="s">
        <v>466</v>
      </c>
      <c r="D23" s="440" t="s">
        <v>480</v>
      </c>
      <c r="G23">
        <v>14</v>
      </c>
      <c r="H23" s="548">
        <f t="shared" si="0"/>
        <v>45</v>
      </c>
      <c r="I23" s="4">
        <f t="shared" si="1"/>
        <v>2</v>
      </c>
      <c r="J23" s="360">
        <f t="shared" si="34"/>
        <v>1.68</v>
      </c>
      <c r="K23" s="4">
        <f t="shared" si="2"/>
        <v>0.20740740740740743</v>
      </c>
      <c r="L23" s="4"/>
      <c r="M23" s="360">
        <f t="shared" si="3"/>
        <v>0.1113468724879841</v>
      </c>
      <c r="N23" s="4">
        <f t="shared" si="4"/>
        <v>9.1979694407350951</v>
      </c>
      <c r="O23" s="4">
        <f t="shared" si="35"/>
        <v>6.2789847203675473</v>
      </c>
      <c r="P23" s="4">
        <f t="shared" si="36"/>
        <v>-2.9189847203675479</v>
      </c>
      <c r="Q23" s="4">
        <f t="shared" si="5"/>
        <v>30.517352016388372</v>
      </c>
      <c r="R23" s="4">
        <f t="shared" si="6"/>
        <v>3.1420725887103123</v>
      </c>
      <c r="S23" s="360">
        <f t="shared" si="7"/>
        <v>4.9363100763623616E-2</v>
      </c>
      <c r="T23" s="360">
        <f t="shared" si="8"/>
        <v>0.3</v>
      </c>
      <c r="U23" s="360">
        <f t="shared" si="9"/>
        <v>0.35074822235102965</v>
      </c>
      <c r="V23" s="4">
        <f t="shared" si="37"/>
        <v>2.6552250663031796</v>
      </c>
      <c r="W23" s="360">
        <f t="shared" si="10"/>
        <v>1.4100440305449448E-2</v>
      </c>
      <c r="X23" s="360">
        <f t="shared" si="38"/>
        <v>1.4100440305449448E-2</v>
      </c>
      <c r="Y23" s="4">
        <f t="shared" si="11"/>
        <v>0.98837411365191319</v>
      </c>
      <c r="Z23" s="360">
        <f t="shared" si="12"/>
        <v>1.4653250828058075E-3</v>
      </c>
      <c r="AA23" s="541">
        <f t="shared" si="39"/>
        <v>1.4653250828058075E-3</v>
      </c>
      <c r="AB23" s="360">
        <f t="shared" si="13"/>
        <v>1.0484681098000748</v>
      </c>
      <c r="AC23" s="360">
        <f t="shared" si="14"/>
        <v>6.5957122636064493E-3</v>
      </c>
      <c r="AD23" s="360">
        <f t="shared" si="15"/>
        <v>3.0412120981185991E-2</v>
      </c>
      <c r="AE23" s="360">
        <f t="shared" si="16"/>
        <v>6.1277144752439706E-2</v>
      </c>
      <c r="AF23" s="360">
        <f t="shared" si="17"/>
        <v>6.2933310571124329E-3</v>
      </c>
      <c r="AG23" s="360">
        <f t="shared" si="18"/>
        <v>0.10468325907400623</v>
      </c>
      <c r="AH23" s="360">
        <f t="shared" si="19"/>
        <v>2.9619815623087495</v>
      </c>
      <c r="AI23" s="360">
        <f t="shared" si="20"/>
        <v>2.1933336938642453E-2</v>
      </c>
      <c r="AJ23" s="360">
        <f t="shared" si="21"/>
        <v>1.3537491057112432E-2</v>
      </c>
      <c r="AK23" s="360">
        <f t="shared" si="22"/>
        <v>3.562711228734472E-2</v>
      </c>
      <c r="AL23" s="360">
        <f t="shared" si="23"/>
        <v>7.2441599999999995E-3</v>
      </c>
      <c r="AM23" s="360">
        <f t="shared" si="24"/>
        <v>8.3159999999999998E-2</v>
      </c>
      <c r="AN23" s="360">
        <f t="shared" si="25"/>
        <v>3.9490480610898895E-2</v>
      </c>
      <c r="AO23" s="360">
        <f t="shared" si="26"/>
        <v>1.5749999999999998E-3</v>
      </c>
      <c r="AP23" s="360">
        <f t="shared" si="27"/>
        <v>0.32669999999999993</v>
      </c>
      <c r="AQ23" s="360">
        <f t="shared" si="28"/>
        <v>0.31218000000000001</v>
      </c>
      <c r="AR23" s="360">
        <f t="shared" si="29"/>
        <v>0.29039999999999999</v>
      </c>
      <c r="AS23" s="360">
        <f t="shared" si="48"/>
        <v>0.32827499999999993</v>
      </c>
      <c r="AT23" s="360">
        <f t="shared" si="41"/>
        <v>0.96479399971153468</v>
      </c>
      <c r="AU23">
        <f t="shared" si="30"/>
        <v>8.4</v>
      </c>
      <c r="AV23" s="542">
        <f t="shared" si="42"/>
        <v>0.89697648450769407</v>
      </c>
      <c r="AW23" s="551">
        <f t="shared" si="31"/>
        <v>6.0636166448122362</v>
      </c>
      <c r="AX23" s="551">
        <f t="shared" si="32"/>
        <v>2.3966566669190996</v>
      </c>
      <c r="AY23" s="9"/>
      <c r="AZ23" s="4">
        <f t="shared" si="43"/>
        <v>89.697648450769407</v>
      </c>
      <c r="BA23" s="360">
        <f t="shared" si="33"/>
        <v>0.35074822235102965</v>
      </c>
      <c r="BB23" s="360">
        <f t="shared" si="44"/>
        <v>0.22347037136135095</v>
      </c>
      <c r="BC23" s="360">
        <f t="shared" si="45"/>
        <v>0.15956885907400623</v>
      </c>
      <c r="BD23" s="360">
        <f t="shared" si="46"/>
        <v>6.3069912287344723E-2</v>
      </c>
      <c r="BE23" s="360">
        <f t="shared" si="47"/>
        <v>3.9490480610898895E-2</v>
      </c>
      <c r="BK23" s="18"/>
      <c r="BL23" s="19"/>
    </row>
    <row r="24" spans="1:65" x14ac:dyDescent="0.25">
      <c r="A24" s="35" t="s">
        <v>25</v>
      </c>
      <c r="B24" s="39">
        <f>Cout2*1000000</f>
        <v>120</v>
      </c>
      <c r="C24" s="441" t="s">
        <v>467</v>
      </c>
      <c r="D24" s="440" t="s">
        <v>483</v>
      </c>
      <c r="G24">
        <v>15</v>
      </c>
      <c r="H24" s="548">
        <f t="shared" si="0"/>
        <v>45</v>
      </c>
      <c r="I24" s="4">
        <f t="shared" si="1"/>
        <v>2</v>
      </c>
      <c r="J24" s="360">
        <f t="shared" si="34"/>
        <v>1.8</v>
      </c>
      <c r="K24" s="4">
        <f t="shared" si="2"/>
        <v>0.22222222222222221</v>
      </c>
      <c r="L24" s="4"/>
      <c r="M24" s="360">
        <f t="shared" si="3"/>
        <v>0.11136371110453391</v>
      </c>
      <c r="N24" s="4">
        <f t="shared" si="4"/>
        <v>9.1990566997964596</v>
      </c>
      <c r="O24" s="4">
        <f t="shared" si="35"/>
        <v>6.3995283498982296</v>
      </c>
      <c r="P24" s="4">
        <f t="shared" si="36"/>
        <v>-2.79952834989823</v>
      </c>
      <c r="Q24" s="4">
        <f t="shared" si="5"/>
        <v>29.26846157760826</v>
      </c>
      <c r="R24" s="4">
        <f t="shared" si="6"/>
        <v>3.2080971016849191</v>
      </c>
      <c r="S24" s="360">
        <f t="shared" si="7"/>
        <v>5.145943506919589E-2</v>
      </c>
      <c r="T24" s="360">
        <f t="shared" si="8"/>
        <v>0.3</v>
      </c>
      <c r="U24" s="360">
        <f t="shared" si="9"/>
        <v>0.35291228842851652</v>
      </c>
      <c r="V24" s="4">
        <f t="shared" si="37"/>
        <v>2.6555389309590582</v>
      </c>
      <c r="W24" s="360">
        <f t="shared" si="10"/>
        <v>1.4103774027678356E-2</v>
      </c>
      <c r="X24" s="360">
        <f t="shared" si="38"/>
        <v>1.4103774027678356E-2</v>
      </c>
      <c r="Y24" s="4">
        <f t="shared" si="11"/>
        <v>1.0092096036127671</v>
      </c>
      <c r="Z24" s="360">
        <f t="shared" si="12"/>
        <v>1.5277560360363576E-3</v>
      </c>
      <c r="AA24" s="541">
        <f t="shared" si="39"/>
        <v>1.5277560360363576E-3</v>
      </c>
      <c r="AB24" s="360">
        <f t="shared" si="13"/>
        <v>1.0705805584493351</v>
      </c>
      <c r="AC24" s="360">
        <f t="shared" si="14"/>
        <v>6.8768563927781414E-3</v>
      </c>
      <c r="AD24" s="360">
        <f t="shared" si="15"/>
        <v>3.2584415336984994E-2</v>
      </c>
      <c r="AE24" s="360">
        <f t="shared" si="16"/>
        <v>6.3347637161102852E-2</v>
      </c>
      <c r="AF24" s="360">
        <f t="shared" si="17"/>
        <v>6.0357831223805834E-3</v>
      </c>
      <c r="AG24" s="360">
        <f t="shared" si="18"/>
        <v>0.10895858447905646</v>
      </c>
      <c r="AH24" s="360">
        <f t="shared" si="19"/>
        <v>3.0241931621028257</v>
      </c>
      <c r="AI24" s="360">
        <f t="shared" si="20"/>
        <v>2.2864360704273719E-2</v>
      </c>
      <c r="AJ24" s="360">
        <f t="shared" si="21"/>
        <v>1.3797383122380583E-2</v>
      </c>
      <c r="AK24" s="360">
        <f t="shared" si="22"/>
        <v>3.6830163455061078E-2</v>
      </c>
      <c r="AL24" s="360">
        <f t="shared" si="23"/>
        <v>7.7615999999999996E-3</v>
      </c>
      <c r="AM24" s="360">
        <f t="shared" si="24"/>
        <v>8.9099999999999999E-2</v>
      </c>
      <c r="AN24" s="360">
        <f t="shared" si="25"/>
        <v>4.1167548055356711E-2</v>
      </c>
      <c r="AO24" s="360">
        <f t="shared" si="26"/>
        <v>1.5749999999999998E-3</v>
      </c>
      <c r="AP24" s="360">
        <f t="shared" si="27"/>
        <v>0.32669999999999993</v>
      </c>
      <c r="AQ24" s="360">
        <f t="shared" si="28"/>
        <v>0.31218000000000001</v>
      </c>
      <c r="AR24" s="360">
        <f t="shared" si="29"/>
        <v>0.29039999999999999</v>
      </c>
      <c r="AS24" s="360">
        <f t="shared" si="48"/>
        <v>0.32827499999999993</v>
      </c>
      <c r="AT24" s="360">
        <f t="shared" si="41"/>
        <v>0.98063671448170531</v>
      </c>
      <c r="AU24">
        <f t="shared" si="30"/>
        <v>9</v>
      </c>
      <c r="AV24" s="542">
        <f t="shared" si="42"/>
        <v>0.90174607667476558</v>
      </c>
      <c r="AW24" s="551">
        <f t="shared" si="31"/>
        <v>6.3750542102041452</v>
      </c>
      <c r="AX24" s="551">
        <f t="shared" si="32"/>
        <v>2.5168602112923213</v>
      </c>
      <c r="AY24" s="9"/>
      <c r="AZ24" s="4">
        <f t="shared" si="43"/>
        <v>90.174607667476565</v>
      </c>
      <c r="BA24" s="360">
        <f t="shared" si="33"/>
        <v>0.35291228842851652</v>
      </c>
      <c r="BB24" s="360">
        <f t="shared" si="44"/>
        <v>0.23488874793411751</v>
      </c>
      <c r="BC24" s="360">
        <f t="shared" si="45"/>
        <v>0.16776458447905646</v>
      </c>
      <c r="BD24" s="360">
        <f t="shared" si="46"/>
        <v>6.6233163455061084E-2</v>
      </c>
      <c r="BE24" s="360">
        <f t="shared" si="47"/>
        <v>4.1167548055356711E-2</v>
      </c>
      <c r="BK24" s="18"/>
      <c r="BL24" s="19"/>
    </row>
    <row r="25" spans="1:65" x14ac:dyDescent="0.25">
      <c r="A25" s="35" t="s">
        <v>85</v>
      </c>
      <c r="B25" s="40">
        <f>Cout2_ESR*1000</f>
        <v>2</v>
      </c>
      <c r="C25" s="442" t="s">
        <v>466</v>
      </c>
      <c r="D25" s="440" t="s">
        <v>482</v>
      </c>
      <c r="G25">
        <v>16</v>
      </c>
      <c r="H25" s="548">
        <f t="shared" si="0"/>
        <v>45</v>
      </c>
      <c r="I25" s="4">
        <f t="shared" si="1"/>
        <v>2</v>
      </c>
      <c r="J25" s="360">
        <f t="shared" si="34"/>
        <v>1.92</v>
      </c>
      <c r="K25" s="4">
        <f t="shared" si="2"/>
        <v>0.23703703703703702</v>
      </c>
      <c r="L25" s="4"/>
      <c r="M25" s="360">
        <f t="shared" si="3"/>
        <v>0.11138054952352916</v>
      </c>
      <c r="N25" s="4">
        <f t="shared" si="4"/>
        <v>9.2001438506926227</v>
      </c>
      <c r="O25" s="4">
        <f t="shared" si="35"/>
        <v>6.5200719253463113</v>
      </c>
      <c r="P25" s="4">
        <f t="shared" si="36"/>
        <v>-2.6800719253463114</v>
      </c>
      <c r="Q25" s="4">
        <f t="shared" si="5"/>
        <v>28.019570573406291</v>
      </c>
      <c r="R25" s="4">
        <f t="shared" si="6"/>
        <v>3.2771868891047049</v>
      </c>
      <c r="S25" s="360">
        <f t="shared" si="7"/>
        <v>5.3699769530598865E-2</v>
      </c>
      <c r="T25" s="360">
        <f t="shared" si="8"/>
        <v>0.3</v>
      </c>
      <c r="U25" s="360">
        <f t="shared" si="9"/>
        <v>0.35522581307407064</v>
      </c>
      <c r="V25" s="4">
        <f t="shared" si="37"/>
        <v>2.6558527643903331</v>
      </c>
      <c r="W25" s="360">
        <f t="shared" si="10"/>
        <v>1.4107107812239551E-2</v>
      </c>
      <c r="X25" s="360">
        <f t="shared" si="38"/>
        <v>1.4107107812239551E-2</v>
      </c>
      <c r="Y25" s="4">
        <f t="shared" si="11"/>
        <v>1.0310121763499382</v>
      </c>
      <c r="Z25" s="360">
        <f t="shared" si="12"/>
        <v>1.5944791616727542E-3</v>
      </c>
      <c r="AA25" s="541">
        <f t="shared" si="39"/>
        <v>1.5944791616727542E-3</v>
      </c>
      <c r="AB25" s="360">
        <f t="shared" si="13"/>
        <v>1.0937193277623807</v>
      </c>
      <c r="AC25" s="360">
        <f t="shared" si="14"/>
        <v>7.177331807525964E-3</v>
      </c>
      <c r="AD25" s="360">
        <f t="shared" si="15"/>
        <v>3.4756709692783987E-2</v>
      </c>
      <c r="AE25" s="360">
        <f t="shared" si="16"/>
        <v>6.4907880962537565E-2</v>
      </c>
      <c r="AF25" s="360">
        <f t="shared" si="17"/>
        <v>5.7782350710466474E-3</v>
      </c>
      <c r="AG25" s="360">
        <f t="shared" si="18"/>
        <v>0.11274315517902374</v>
      </c>
      <c r="AH25" s="360">
        <f t="shared" si="19"/>
        <v>3.0892931130274413</v>
      </c>
      <c r="AI25" s="360">
        <f t="shared" si="20"/>
        <v>2.3859329845496945E-2</v>
      </c>
      <c r="AJ25" s="360">
        <f t="shared" si="21"/>
        <v>1.4057275071046647E-2</v>
      </c>
      <c r="AK25" s="360">
        <f t="shared" si="22"/>
        <v>3.8098405400752391E-2</v>
      </c>
      <c r="AL25" s="360">
        <f t="shared" si="23"/>
        <v>8.2790399999999997E-3</v>
      </c>
      <c r="AM25" s="360">
        <f t="shared" si="24"/>
        <v>9.5039999999999986E-2</v>
      </c>
      <c r="AN25" s="360">
        <f t="shared" si="25"/>
        <v>4.2959815624479092E-2</v>
      </c>
      <c r="AO25" s="360">
        <f t="shared" si="26"/>
        <v>1.5749999999999998E-3</v>
      </c>
      <c r="AP25" s="360">
        <f t="shared" si="27"/>
        <v>0.32669999999999993</v>
      </c>
      <c r="AQ25" s="360">
        <f t="shared" si="28"/>
        <v>0.31218000000000001</v>
      </c>
      <c r="AR25" s="360">
        <f t="shared" si="29"/>
        <v>0.29039999999999999</v>
      </c>
      <c r="AS25" s="360">
        <f t="shared" si="48"/>
        <v>0.32827499999999993</v>
      </c>
      <c r="AT25" s="360">
        <f t="shared" si="41"/>
        <v>0.99632281625223817</v>
      </c>
      <c r="AU25">
        <f t="shared" si="30"/>
        <v>9.6</v>
      </c>
      <c r="AV25" s="542">
        <f t="shared" si="42"/>
        <v>0.90597466370842195</v>
      </c>
      <c r="AW25" s="551">
        <f t="shared" si="31"/>
        <v>6.6678430968029021</v>
      </c>
      <c r="AX25" s="551">
        <f t="shared" si="32"/>
        <v>2.6395410052285908</v>
      </c>
      <c r="AY25" s="9"/>
      <c r="AZ25" s="4">
        <f t="shared" si="43"/>
        <v>90.597466370842199</v>
      </c>
      <c r="BA25" s="360">
        <f t="shared" si="33"/>
        <v>0.35522581307407064</v>
      </c>
      <c r="BB25" s="360">
        <f t="shared" si="44"/>
        <v>0.24588156057977612</v>
      </c>
      <c r="BC25" s="360">
        <f t="shared" si="45"/>
        <v>0.17546955517902374</v>
      </c>
      <c r="BD25" s="360">
        <f t="shared" si="46"/>
        <v>6.9461605400752385E-2</v>
      </c>
      <c r="BE25" s="360">
        <f t="shared" si="47"/>
        <v>4.2959815624479092E-2</v>
      </c>
    </row>
    <row r="26" spans="1:65" ht="13" x14ac:dyDescent="0.3">
      <c r="A26" s="24" t="s">
        <v>112</v>
      </c>
      <c r="B26" s="37" t="s">
        <v>111</v>
      </c>
      <c r="C26" s="24" t="s">
        <v>76</v>
      </c>
      <c r="D26" s="17" t="s">
        <v>107</v>
      </c>
      <c r="G26">
        <v>17</v>
      </c>
      <c r="H26" s="548">
        <f t="shared" si="0"/>
        <v>45</v>
      </c>
      <c r="I26" s="4">
        <f t="shared" si="1"/>
        <v>2</v>
      </c>
      <c r="J26" s="360">
        <f t="shared" si="34"/>
        <v>2.04</v>
      </c>
      <c r="K26" s="4">
        <f t="shared" si="2"/>
        <v>0.25185185185185183</v>
      </c>
      <c r="L26" s="4"/>
      <c r="M26" s="360">
        <f t="shared" si="3"/>
        <v>0.11139738774497335</v>
      </c>
      <c r="N26" s="4">
        <f t="shared" si="4"/>
        <v>9.2012308934254872</v>
      </c>
      <c r="O26" s="4">
        <f t="shared" si="35"/>
        <v>6.6406154467127436</v>
      </c>
      <c r="P26" s="4">
        <f t="shared" si="36"/>
        <v>-2.5606154467127435</v>
      </c>
      <c r="Q26" s="4">
        <f t="shared" si="5"/>
        <v>26.770679003792406</v>
      </c>
      <c r="R26" s="4">
        <f t="shared" si="6"/>
        <v>3.3491522553491997</v>
      </c>
      <c r="S26" s="360">
        <f t="shared" si="7"/>
        <v>5.608410414755316E-2</v>
      </c>
      <c r="T26" s="360">
        <f t="shared" si="8"/>
        <v>0.3</v>
      </c>
      <c r="U26" s="360">
        <f t="shared" si="9"/>
        <v>0.35768895732636286</v>
      </c>
      <c r="V26" s="4">
        <f t="shared" si="37"/>
        <v>2.6561665665975531</v>
      </c>
      <c r="W26" s="360">
        <f t="shared" si="10"/>
        <v>1.4110441659021268E-2</v>
      </c>
      <c r="X26" s="360">
        <f t="shared" si="38"/>
        <v>1.4110441659021268E-2</v>
      </c>
      <c r="Y26" s="4">
        <f t="shared" si="11"/>
        <v>1.0537223399072237</v>
      </c>
      <c r="Z26" s="360">
        <f t="shared" si="12"/>
        <v>1.6654961544293322E-3</v>
      </c>
      <c r="AA26" s="541">
        <f t="shared" si="39"/>
        <v>1.6654961544293322E-3</v>
      </c>
      <c r="AB26" s="360">
        <f t="shared" si="13"/>
        <v>1.117821335997345</v>
      </c>
      <c r="AC26" s="360">
        <f t="shared" si="14"/>
        <v>7.4971472352653359E-3</v>
      </c>
      <c r="AD26" s="360">
        <f t="shared" si="15"/>
        <v>3.6929004048582993E-2</v>
      </c>
      <c r="AE26" s="360">
        <f t="shared" si="16"/>
        <v>6.5957875463707613E-2</v>
      </c>
      <c r="AF26" s="360">
        <f t="shared" si="17"/>
        <v>5.5206869031126744E-3</v>
      </c>
      <c r="AG26" s="360">
        <f t="shared" si="18"/>
        <v>0.11603694545251637</v>
      </c>
      <c r="AH26" s="360">
        <f t="shared" si="19"/>
        <v>3.1571025150127361</v>
      </c>
      <c r="AI26" s="360">
        <f t="shared" si="20"/>
        <v>2.4918240725749358E-2</v>
      </c>
      <c r="AJ26" s="360">
        <f t="shared" si="21"/>
        <v>1.4317166903112674E-2</v>
      </c>
      <c r="AK26" s="360">
        <f t="shared" si="22"/>
        <v>3.9431922456069919E-2</v>
      </c>
      <c r="AL26" s="360">
        <f t="shared" si="23"/>
        <v>8.7964800000000006E-3</v>
      </c>
      <c r="AM26" s="360">
        <f t="shared" si="24"/>
        <v>0.10098</v>
      </c>
      <c r="AN26" s="360">
        <f t="shared" si="25"/>
        <v>4.4867283318042524E-2</v>
      </c>
      <c r="AO26" s="360">
        <f t="shared" si="26"/>
        <v>1.5749999999999998E-3</v>
      </c>
      <c r="AP26" s="360">
        <f t="shared" si="27"/>
        <v>0.32669999999999993</v>
      </c>
      <c r="AQ26" s="360">
        <f t="shared" si="28"/>
        <v>0.31218000000000001</v>
      </c>
      <c r="AR26" s="360">
        <f t="shared" si="29"/>
        <v>0.29039999999999999</v>
      </c>
      <c r="AS26" s="360">
        <f t="shared" si="48"/>
        <v>0.32827499999999993</v>
      </c>
      <c r="AT26" s="360">
        <f t="shared" si="41"/>
        <v>1.0118525263664422</v>
      </c>
      <c r="AU26">
        <f t="shared" si="30"/>
        <v>10.199999999999999</v>
      </c>
      <c r="AV26" s="542">
        <f t="shared" si="42"/>
        <v>0.90975153089224892</v>
      </c>
      <c r="AW26" s="551">
        <f t="shared" si="31"/>
        <v>6.941982327195622</v>
      </c>
      <c r="AX26" s="551">
        <f t="shared" si="32"/>
        <v>2.7647022533306567</v>
      </c>
      <c r="AY26" s="9"/>
      <c r="AZ26" s="4">
        <f t="shared" si="43"/>
        <v>90.975153089224889</v>
      </c>
      <c r="BA26" s="360">
        <f t="shared" si="33"/>
        <v>0.35768895732636286</v>
      </c>
      <c r="BB26" s="360">
        <f t="shared" si="44"/>
        <v>0.25644886790858629</v>
      </c>
      <c r="BC26" s="360">
        <f t="shared" si="45"/>
        <v>0.18268374545251637</v>
      </c>
      <c r="BD26" s="360">
        <f t="shared" si="46"/>
        <v>7.2755322456069915E-2</v>
      </c>
      <c r="BE26" s="360">
        <f t="shared" si="47"/>
        <v>4.4867283318042524E-2</v>
      </c>
    </row>
    <row r="27" spans="1:65" x14ac:dyDescent="0.25">
      <c r="A27" s="22" t="s">
        <v>61</v>
      </c>
      <c r="B27" s="5">
        <f>RdsonDRT</f>
        <v>1</v>
      </c>
      <c r="C27" s="444" t="s">
        <v>116</v>
      </c>
      <c r="D27" s="440" t="s">
        <v>507</v>
      </c>
      <c r="G27">
        <v>18</v>
      </c>
      <c r="H27" s="548">
        <f t="shared" si="0"/>
        <v>45</v>
      </c>
      <c r="I27" s="4">
        <f t="shared" si="1"/>
        <v>2</v>
      </c>
      <c r="J27" s="360">
        <f t="shared" si="34"/>
        <v>2.16</v>
      </c>
      <c r="K27" s="4">
        <f t="shared" si="2"/>
        <v>0.26666666666666666</v>
      </c>
      <c r="L27" s="4"/>
      <c r="M27" s="360">
        <f t="shared" si="3"/>
        <v>0.1114142257688699</v>
      </c>
      <c r="N27" s="4">
        <f t="shared" si="4"/>
        <v>9.2023178279969553</v>
      </c>
      <c r="O27" s="4">
        <f t="shared" si="35"/>
        <v>6.7611589139984778</v>
      </c>
      <c r="P27" s="4">
        <f t="shared" si="36"/>
        <v>-2.4411589139984775</v>
      </c>
      <c r="Q27" s="4">
        <f t="shared" si="5"/>
        <v>25.521786868776555</v>
      </c>
      <c r="R27" s="4">
        <f t="shared" si="6"/>
        <v>3.4238118791715011</v>
      </c>
      <c r="S27" s="360">
        <f t="shared" si="7"/>
        <v>5.8612438919779429E-2</v>
      </c>
      <c r="T27" s="360">
        <f t="shared" si="8"/>
        <v>0.3</v>
      </c>
      <c r="U27" s="360">
        <f t="shared" si="9"/>
        <v>0.36030189273422464</v>
      </c>
      <c r="V27" s="4">
        <f t="shared" si="37"/>
        <v>2.6564803375812676</v>
      </c>
      <c r="W27" s="360">
        <f t="shared" si="10"/>
        <v>1.4113775567911772E-2</v>
      </c>
      <c r="X27" s="360">
        <f t="shared" si="38"/>
        <v>1.4113775567911772E-2</v>
      </c>
      <c r="Y27" s="4">
        <f t="shared" si="11"/>
        <v>1.0772832214522188</v>
      </c>
      <c r="Z27" s="360">
        <f t="shared" si="12"/>
        <v>1.7408087088337054E-3</v>
      </c>
      <c r="AA27" s="541">
        <f t="shared" si="39"/>
        <v>1.7408087088337054E-3</v>
      </c>
      <c r="AB27" s="360">
        <f t="shared" si="13"/>
        <v>1.1428262774956133</v>
      </c>
      <c r="AC27" s="360">
        <f t="shared" si="14"/>
        <v>7.8363114032068831E-3</v>
      </c>
      <c r="AD27" s="360">
        <f t="shared" si="15"/>
        <v>3.9101298404381993E-2</v>
      </c>
      <c r="AE27" s="360">
        <f t="shared" si="16"/>
        <v>6.6497619971592495E-2</v>
      </c>
      <c r="AF27" s="360">
        <f t="shared" si="17"/>
        <v>5.2631386185807176E-3</v>
      </c>
      <c r="AG27" s="360">
        <f t="shared" si="18"/>
        <v>0.11883992092514237</v>
      </c>
      <c r="AH27" s="360">
        <f t="shared" si="19"/>
        <v>3.2274503688548655</v>
      </c>
      <c r="AI27" s="360">
        <f t="shared" si="20"/>
        <v>2.6041089708553518E-2</v>
      </c>
      <c r="AJ27" s="360">
        <f t="shared" si="21"/>
        <v>1.4577058618580718E-2</v>
      </c>
      <c r="AK27" s="360">
        <f t="shared" si="22"/>
        <v>4.0830804053379521E-2</v>
      </c>
      <c r="AL27" s="360">
        <f t="shared" si="23"/>
        <v>9.3139199999999998E-3</v>
      </c>
      <c r="AM27" s="360">
        <f t="shared" si="24"/>
        <v>0.10691999999999999</v>
      </c>
      <c r="AN27" s="360">
        <f t="shared" si="25"/>
        <v>4.6889951135823546E-2</v>
      </c>
      <c r="AO27" s="360">
        <f t="shared" si="26"/>
        <v>1.5749999999999998E-3</v>
      </c>
      <c r="AP27" s="360">
        <f t="shared" si="27"/>
        <v>0.32669999999999993</v>
      </c>
      <c r="AQ27" s="360">
        <f t="shared" si="28"/>
        <v>0.31218000000000001</v>
      </c>
      <c r="AR27" s="360">
        <f t="shared" si="29"/>
        <v>0.29039999999999999</v>
      </c>
      <c r="AS27" s="360">
        <f t="shared" si="48"/>
        <v>0.32827499999999993</v>
      </c>
      <c r="AT27" s="360">
        <f t="shared" si="41"/>
        <v>1.0272260731253156</v>
      </c>
      <c r="AU27">
        <f t="shared" si="30"/>
        <v>10.8</v>
      </c>
      <c r="AV27" s="542">
        <f t="shared" si="42"/>
        <v>0.91314733761118727</v>
      </c>
      <c r="AW27" s="551">
        <f t="shared" si="31"/>
        <v>7.1974705951554094</v>
      </c>
      <c r="AX27" s="551">
        <f t="shared" si="32"/>
        <v>2.8923473540284217</v>
      </c>
      <c r="AY27" s="9"/>
      <c r="AZ27" s="4">
        <f t="shared" si="43"/>
        <v>91.314733761118731</v>
      </c>
      <c r="BA27" s="360">
        <f t="shared" si="33"/>
        <v>0.36030189273422464</v>
      </c>
      <c r="BB27" s="360">
        <f t="shared" si="44"/>
        <v>0.26659072497852188</v>
      </c>
      <c r="BC27" s="360">
        <f t="shared" si="45"/>
        <v>0.18940712092514236</v>
      </c>
      <c r="BD27" s="360">
        <f t="shared" si="46"/>
        <v>7.611440405337952E-2</v>
      </c>
      <c r="BE27" s="360">
        <f t="shared" si="47"/>
        <v>4.6889951135823546E-2</v>
      </c>
    </row>
    <row r="28" spans="1:65" x14ac:dyDescent="0.25">
      <c r="A28" s="22" t="s">
        <v>126</v>
      </c>
      <c r="B28" s="5">
        <f>RdsonDRT2</f>
        <v>0.5</v>
      </c>
      <c r="C28" s="444" t="s">
        <v>116</v>
      </c>
      <c r="D28" s="440" t="s">
        <v>506</v>
      </c>
      <c r="G28">
        <v>19</v>
      </c>
      <c r="H28" s="548">
        <f t="shared" si="0"/>
        <v>45</v>
      </c>
      <c r="I28" s="4">
        <f t="shared" si="1"/>
        <v>2</v>
      </c>
      <c r="J28" s="360">
        <f t="shared" si="34"/>
        <v>2.2799999999999998</v>
      </c>
      <c r="K28" s="4">
        <f t="shared" si="2"/>
        <v>0.28148148148148144</v>
      </c>
      <c r="L28" s="4"/>
      <c r="M28" s="360">
        <f t="shared" si="3"/>
        <v>0.11143106359522237</v>
      </c>
      <c r="N28" s="4">
        <f t="shared" si="4"/>
        <v>9.2034046544089367</v>
      </c>
      <c r="O28" s="4">
        <f t="shared" si="35"/>
        <v>6.8817023272044686</v>
      </c>
      <c r="P28" s="4">
        <f t="shared" si="36"/>
        <v>-2.3217023272044686</v>
      </c>
      <c r="Q28" s="4">
        <f t="shared" si="5"/>
        <v>24.272894168368726</v>
      </c>
      <c r="R28" s="4">
        <f t="shared" si="6"/>
        <v>3.5009933975087231</v>
      </c>
      <c r="S28" s="360">
        <f t="shared" si="7"/>
        <v>6.1284773846998361E-2</v>
      </c>
      <c r="T28" s="360">
        <f t="shared" si="8"/>
        <v>0.3</v>
      </c>
      <c r="U28" s="360">
        <f t="shared" si="9"/>
        <v>0.36306480138658093</v>
      </c>
      <c r="V28" s="4">
        <f t="shared" si="37"/>
        <v>2.6567940773420271</v>
      </c>
      <c r="W28" s="360">
        <f t="shared" si="10"/>
        <v>1.4117109538799346E-2</v>
      </c>
      <c r="X28" s="360">
        <f t="shared" si="38"/>
        <v>1.4117109538799346E-2</v>
      </c>
      <c r="Y28" s="4">
        <f t="shared" si="11"/>
        <v>1.1016407518566045</v>
      </c>
      <c r="Z28" s="360">
        <f t="shared" si="12"/>
        <v>1.8204185192267771E-3</v>
      </c>
      <c r="AA28" s="541">
        <f t="shared" si="39"/>
        <v>1.8204185192267771E-3</v>
      </c>
      <c r="AB28" s="360">
        <f t="shared" si="13"/>
        <v>1.168676818625551</v>
      </c>
      <c r="AC28" s="360">
        <f t="shared" si="14"/>
        <v>8.1948330383564347E-3</v>
      </c>
      <c r="AD28" s="360">
        <f t="shared" si="15"/>
        <v>4.1273592760180992E-2</v>
      </c>
      <c r="AE28" s="360">
        <f t="shared" si="16"/>
        <v>6.6527113793187834E-2</v>
      </c>
      <c r="AF28" s="360">
        <f t="shared" si="17"/>
        <v>5.0055902174528334E-3</v>
      </c>
      <c r="AG28" s="360">
        <f t="shared" si="18"/>
        <v>0.1211520385598728</v>
      </c>
      <c r="AH28" s="360">
        <f t="shared" si="19"/>
        <v>3.3001741261646989</v>
      </c>
      <c r="AI28" s="360">
        <f t="shared" si="20"/>
        <v>2.7227873157517336E-2</v>
      </c>
      <c r="AJ28" s="360">
        <f t="shared" si="21"/>
        <v>1.4836950217452833E-2</v>
      </c>
      <c r="AK28" s="360">
        <f t="shared" si="22"/>
        <v>4.229514474221413E-2</v>
      </c>
      <c r="AL28" s="360">
        <f t="shared" si="23"/>
        <v>9.8313599999999991E-3</v>
      </c>
      <c r="AM28" s="360">
        <f t="shared" si="24"/>
        <v>0.11285999999999997</v>
      </c>
      <c r="AN28" s="360">
        <f t="shared" si="25"/>
        <v>4.9027819077598685E-2</v>
      </c>
      <c r="AO28" s="360">
        <f t="shared" si="26"/>
        <v>1.5749999999999998E-3</v>
      </c>
      <c r="AP28" s="360">
        <f t="shared" si="27"/>
        <v>0.32669999999999993</v>
      </c>
      <c r="AQ28" s="360">
        <f t="shared" si="28"/>
        <v>0.31218000000000001</v>
      </c>
      <c r="AR28" s="360">
        <f t="shared" si="29"/>
        <v>0.29039999999999999</v>
      </c>
      <c r="AS28" s="360">
        <f t="shared" si="48"/>
        <v>0.32827499999999993</v>
      </c>
      <c r="AT28" s="360">
        <f t="shared" si="41"/>
        <v>1.0424436918242925</v>
      </c>
      <c r="AU28">
        <f t="shared" si="30"/>
        <v>11.399999999999999</v>
      </c>
      <c r="AV28" s="542">
        <f t="shared" si="42"/>
        <v>0.91621873342217619</v>
      </c>
      <c r="AW28" s="551">
        <f t="shared" si="31"/>
        <v>7.4343062652751657</v>
      </c>
      <c r="AX28" s="551">
        <f t="shared" si="32"/>
        <v>3.0224799002041367</v>
      </c>
      <c r="AY28" s="9"/>
      <c r="AZ28" s="4">
        <f t="shared" si="43"/>
        <v>91.621873342217626</v>
      </c>
      <c r="BA28" s="360">
        <f t="shared" si="33"/>
        <v>0.36306480138658093</v>
      </c>
      <c r="BB28" s="360">
        <f t="shared" si="44"/>
        <v>0.27630718330208692</v>
      </c>
      <c r="BC28" s="360">
        <f t="shared" si="45"/>
        <v>0.19563963855987279</v>
      </c>
      <c r="BD28" s="360">
        <f t="shared" si="46"/>
        <v>7.9538944742214124E-2</v>
      </c>
      <c r="BE28" s="360">
        <f t="shared" si="47"/>
        <v>4.9027819077598685E-2</v>
      </c>
    </row>
    <row r="29" spans="1:65" ht="13" x14ac:dyDescent="0.3">
      <c r="A29" s="24" t="s">
        <v>113</v>
      </c>
      <c r="B29" s="15" t="s">
        <v>111</v>
      </c>
      <c r="C29" s="24" t="s">
        <v>76</v>
      </c>
      <c r="D29" s="17" t="s">
        <v>107</v>
      </c>
      <c r="G29">
        <v>20</v>
      </c>
      <c r="H29" s="548">
        <f t="shared" si="0"/>
        <v>45</v>
      </c>
      <c r="I29" s="4">
        <f t="shared" si="1"/>
        <v>2</v>
      </c>
      <c r="J29" s="360">
        <f t="shared" si="34"/>
        <v>2.4</v>
      </c>
      <c r="K29" s="4">
        <f t="shared" si="2"/>
        <v>0.29629629629629628</v>
      </c>
      <c r="L29" s="4"/>
      <c r="M29" s="360">
        <f t="shared" si="3"/>
        <v>0.11144790122403415</v>
      </c>
      <c r="N29" s="4">
        <f t="shared" si="4"/>
        <v>9.2044913726633286</v>
      </c>
      <c r="O29" s="4">
        <f t="shared" si="35"/>
        <v>7.0022456863316638</v>
      </c>
      <c r="P29" s="4">
        <f t="shared" si="36"/>
        <v>-2.2022456863316644</v>
      </c>
      <c r="Q29" s="4">
        <f t="shared" si="5"/>
        <v>23.024000902578827</v>
      </c>
      <c r="R29" s="4">
        <f t="shared" si="6"/>
        <v>3.5805337291786734</v>
      </c>
      <c r="S29" s="360">
        <f t="shared" si="7"/>
        <v>6.41011089289307E-2</v>
      </c>
      <c r="T29" s="360">
        <f t="shared" si="8"/>
        <v>0.3</v>
      </c>
      <c r="U29" s="360">
        <f t="shared" si="9"/>
        <v>0.36597787594424913</v>
      </c>
      <c r="V29" s="4">
        <f t="shared" si="37"/>
        <v>2.6571077858803807</v>
      </c>
      <c r="W29" s="360">
        <f t="shared" si="10"/>
        <v>1.4120443571572277E-2</v>
      </c>
      <c r="X29" s="360">
        <f t="shared" si="38"/>
        <v>1.4120443571572277E-2</v>
      </c>
      <c r="Y29" s="4">
        <f t="shared" si="11"/>
        <v>1.1267437684947861</v>
      </c>
      <c r="Z29" s="360">
        <f t="shared" si="12"/>
        <v>1.9043272797627483E-3</v>
      </c>
      <c r="AA29" s="541">
        <f t="shared" si="39"/>
        <v>1.9043272797627483E-3</v>
      </c>
      <c r="AB29" s="360">
        <f t="shared" si="13"/>
        <v>1.1953187069783959</v>
      </c>
      <c r="AC29" s="360">
        <f t="shared" si="14"/>
        <v>8.5727208675150258E-3</v>
      </c>
      <c r="AD29" s="360">
        <f t="shared" si="15"/>
        <v>4.3445887115979992E-2</v>
      </c>
      <c r="AE29" s="360">
        <f t="shared" si="16"/>
        <v>6.6046356235505158E-2</v>
      </c>
      <c r="AF29" s="360">
        <f t="shared" si="17"/>
        <v>4.7480416997310688E-3</v>
      </c>
      <c r="AG29" s="360">
        <f t="shared" si="18"/>
        <v>0.12297324664701816</v>
      </c>
      <c r="AH29" s="360">
        <f t="shared" si="19"/>
        <v>3.3751199940940815</v>
      </c>
      <c r="AI29" s="360">
        <f t="shared" si="20"/>
        <v>2.8478587436334083E-2</v>
      </c>
      <c r="AJ29" s="360">
        <f t="shared" si="21"/>
        <v>1.5096841699731066E-2</v>
      </c>
      <c r="AK29" s="360">
        <f t="shared" si="22"/>
        <v>4.3825044206733686E-2</v>
      </c>
      <c r="AL29" s="360">
        <f t="shared" si="23"/>
        <v>1.03488E-2</v>
      </c>
      <c r="AM29" s="360">
        <f t="shared" si="24"/>
        <v>0.1188</v>
      </c>
      <c r="AN29" s="360">
        <f t="shared" si="25"/>
        <v>5.1280887143144556E-2</v>
      </c>
      <c r="AO29" s="360">
        <f t="shared" si="26"/>
        <v>1.5749999999999998E-3</v>
      </c>
      <c r="AP29" s="360">
        <f t="shared" si="27"/>
        <v>0.32669999999999993</v>
      </c>
      <c r="AQ29" s="360">
        <f t="shared" si="28"/>
        <v>0.31218000000000001</v>
      </c>
      <c r="AR29" s="360">
        <f t="shared" si="29"/>
        <v>0.29039999999999999</v>
      </c>
      <c r="AS29" s="360">
        <f t="shared" si="48"/>
        <v>0.32827499999999993</v>
      </c>
      <c r="AT29" s="360">
        <f t="shared" si="41"/>
        <v>1.0575056247924806</v>
      </c>
      <c r="AU29">
        <f t="shared" si="30"/>
        <v>12</v>
      </c>
      <c r="AV29" s="542">
        <f t="shared" si="42"/>
        <v>0.9190116661497294</v>
      </c>
      <c r="AW29" s="551">
        <f t="shared" si="31"/>
        <v>7.6524873725866911</v>
      </c>
      <c r="AX29" s="551">
        <f t="shared" si="32"/>
        <v>3.15510367985588</v>
      </c>
      <c r="AY29" s="9"/>
      <c r="AZ29" s="4">
        <f t="shared" si="43"/>
        <v>91.901166614972936</v>
      </c>
      <c r="BA29" s="360">
        <f t="shared" si="33"/>
        <v>0.36597787594424913</v>
      </c>
      <c r="BB29" s="360">
        <f t="shared" si="44"/>
        <v>0.28559829085375182</v>
      </c>
      <c r="BC29" s="360">
        <f t="shared" si="45"/>
        <v>0.20138124664701818</v>
      </c>
      <c r="BD29" s="360">
        <f t="shared" si="46"/>
        <v>8.3029044206733682E-2</v>
      </c>
      <c r="BE29" s="360">
        <f t="shared" si="47"/>
        <v>5.1280887143144556E-2</v>
      </c>
    </row>
    <row r="30" spans="1:65" x14ac:dyDescent="0.25">
      <c r="A30" s="22" t="s">
        <v>60</v>
      </c>
      <c r="B30" s="27">
        <f>RdsonDRB</f>
        <v>1</v>
      </c>
      <c r="C30" s="444" t="s">
        <v>116</v>
      </c>
      <c r="D30" s="440" t="s">
        <v>505</v>
      </c>
      <c r="G30">
        <v>21</v>
      </c>
      <c r="H30" s="548">
        <f t="shared" si="0"/>
        <v>45</v>
      </c>
      <c r="I30" s="4">
        <f t="shared" si="1"/>
        <v>2</v>
      </c>
      <c r="J30" s="360">
        <f t="shared" si="34"/>
        <v>2.52</v>
      </c>
      <c r="K30" s="4">
        <f t="shared" si="2"/>
        <v>0.31111111111111112</v>
      </c>
      <c r="L30" s="4"/>
      <c r="M30" s="360">
        <f t="shared" si="3"/>
        <v>0.11146473865530879</v>
      </c>
      <c r="N30" s="4">
        <f t="shared" si="4"/>
        <v>9.205577982762037</v>
      </c>
      <c r="O30" s="4">
        <f t="shared" si="35"/>
        <v>7.1227889913810181</v>
      </c>
      <c r="P30" s="4">
        <f t="shared" si="36"/>
        <v>-2.0827889913810185</v>
      </c>
      <c r="Q30" s="4">
        <f t="shared" si="5"/>
        <v>21.775107071416816</v>
      </c>
      <c r="R30" s="4">
        <f t="shared" si="6"/>
        <v>3.6622791855700232</v>
      </c>
      <c r="S30" s="360">
        <f t="shared" si="7"/>
        <v>6.7061444165297163E-2</v>
      </c>
      <c r="T30" s="360">
        <f t="shared" si="8"/>
        <v>0.3</v>
      </c>
      <c r="U30" s="360">
        <f t="shared" si="9"/>
        <v>0.36904131967361559</v>
      </c>
      <c r="V30" s="4">
        <f t="shared" si="37"/>
        <v>2.6574214631968771</v>
      </c>
      <c r="W30" s="360">
        <f t="shared" si="10"/>
        <v>1.4123777666118862E-2</v>
      </c>
      <c r="X30" s="360">
        <f t="shared" si="38"/>
        <v>1.4123777666118862E-2</v>
      </c>
      <c r="Y30" s="4">
        <f t="shared" si="11"/>
        <v>1.152544051047979</v>
      </c>
      <c r="Z30" s="360">
        <f t="shared" si="12"/>
        <v>1.9925366844091297E-3</v>
      </c>
      <c r="AA30" s="541">
        <f t="shared" si="39"/>
        <v>1.9925366844091297E-3</v>
      </c>
      <c r="AB30" s="360">
        <f t="shared" si="13"/>
        <v>1.2227008094977636</v>
      </c>
      <c r="AC30" s="360">
        <f t="shared" si="14"/>
        <v>8.969983617278918E-3</v>
      </c>
      <c r="AD30" s="360">
        <f t="shared" si="15"/>
        <v>4.5618181471778992E-2</v>
      </c>
      <c r="AE30" s="360">
        <f t="shared" si="16"/>
        <v>6.5055346605571884E-2</v>
      </c>
      <c r="AF30" s="360">
        <f t="shared" si="17"/>
        <v>4.490493065417476E-3</v>
      </c>
      <c r="AG30" s="360">
        <f t="shared" si="18"/>
        <v>0.12430348479381731</v>
      </c>
      <c r="AH30" s="360">
        <f t="shared" si="19"/>
        <v>3.4521430392602426</v>
      </c>
      <c r="AI30" s="360">
        <f t="shared" si="20"/>
        <v>2.9793228908782363E-2</v>
      </c>
      <c r="AJ30" s="360">
        <f t="shared" si="21"/>
        <v>1.5356733065417474E-2</v>
      </c>
      <c r="AK30" s="360">
        <f t="shared" si="22"/>
        <v>4.5420607284198639E-2</v>
      </c>
      <c r="AL30" s="360">
        <f t="shared" si="23"/>
        <v>1.0866239999999999E-2</v>
      </c>
      <c r="AM30" s="360">
        <f t="shared" si="24"/>
        <v>0.12473999999999999</v>
      </c>
      <c r="AN30" s="360">
        <f t="shared" si="25"/>
        <v>5.3649155332237734E-2</v>
      </c>
      <c r="AO30" s="360">
        <f t="shared" si="26"/>
        <v>1.5749999999999998E-3</v>
      </c>
      <c r="AP30" s="360">
        <f t="shared" si="27"/>
        <v>0.32669999999999993</v>
      </c>
      <c r="AQ30" s="360">
        <f t="shared" si="28"/>
        <v>0.31218000000000001</v>
      </c>
      <c r="AR30" s="360">
        <f t="shared" si="29"/>
        <v>0.29039999999999999</v>
      </c>
      <c r="AS30" s="360">
        <f t="shared" si="48"/>
        <v>0.32827499999999993</v>
      </c>
      <c r="AT30" s="360">
        <f t="shared" si="41"/>
        <v>1.0724121214343973</v>
      </c>
      <c r="AU30">
        <f t="shared" si="30"/>
        <v>12.6</v>
      </c>
      <c r="AV30" s="542">
        <f t="shared" si="42"/>
        <v>0.92156379489518425</v>
      </c>
      <c r="AW30" s="551">
        <f t="shared" si="31"/>
        <v>7.8520116221650573</v>
      </c>
      <c r="AX30" s="551">
        <f t="shared" si="32"/>
        <v>3.2902226767995484</v>
      </c>
      <c r="AY30" s="9"/>
      <c r="AZ30" s="4">
        <f t="shared" si="43"/>
        <v>92.156379489518429</v>
      </c>
      <c r="BA30" s="360">
        <f t="shared" si="33"/>
        <v>0.36904131967361559</v>
      </c>
      <c r="BB30" s="360">
        <f t="shared" si="44"/>
        <v>0.29446409207801594</v>
      </c>
      <c r="BC30" s="360">
        <f t="shared" si="45"/>
        <v>0.20663188479381731</v>
      </c>
      <c r="BD30" s="360">
        <f t="shared" si="46"/>
        <v>8.6584807284198637E-2</v>
      </c>
      <c r="BE30" s="360">
        <f t="shared" si="47"/>
        <v>5.3649155332237734E-2</v>
      </c>
    </row>
    <row r="31" spans="1:65" x14ac:dyDescent="0.25">
      <c r="A31" s="22" t="s">
        <v>125</v>
      </c>
      <c r="B31" s="27">
        <v>1</v>
      </c>
      <c r="C31" s="444" t="s">
        <v>116</v>
      </c>
      <c r="D31" s="440" t="s">
        <v>504</v>
      </c>
      <c r="G31">
        <v>22</v>
      </c>
      <c r="H31" s="548">
        <f t="shared" si="0"/>
        <v>45</v>
      </c>
      <c r="I31" s="4">
        <f t="shared" si="1"/>
        <v>2</v>
      </c>
      <c r="J31" s="360">
        <f t="shared" si="34"/>
        <v>2.64</v>
      </c>
      <c r="K31" s="4">
        <f t="shared" si="2"/>
        <v>0.32592592592592595</v>
      </c>
      <c r="L31" s="4"/>
      <c r="M31" s="360">
        <f t="shared" si="3"/>
        <v>0.11148157588904968</v>
      </c>
      <c r="N31" s="4">
        <f t="shared" si="4"/>
        <v>9.206664484706959</v>
      </c>
      <c r="O31" s="4">
        <f t="shared" si="35"/>
        <v>7.2433322423534801</v>
      </c>
      <c r="P31" s="4">
        <f t="shared" si="36"/>
        <v>-1.9633322423534794</v>
      </c>
      <c r="Q31" s="4">
        <f t="shared" si="5"/>
        <v>20.526212674892623</v>
      </c>
      <c r="R31" s="4">
        <f t="shared" si="6"/>
        <v>3.7460854116215376</v>
      </c>
      <c r="S31" s="360">
        <f t="shared" si="7"/>
        <v>7.0165779555818528E-2</v>
      </c>
      <c r="T31" s="360">
        <f t="shared" si="8"/>
        <v>0.3</v>
      </c>
      <c r="U31" s="360">
        <f t="shared" si="9"/>
        <v>0.3722553464821981</v>
      </c>
      <c r="V31" s="4">
        <f t="shared" si="37"/>
        <v>2.6577351092920649</v>
      </c>
      <c r="W31" s="360">
        <f t="shared" si="10"/>
        <v>1.4127111822327409E-2</v>
      </c>
      <c r="X31" s="360">
        <f t="shared" si="38"/>
        <v>1.4127111822327409E-2</v>
      </c>
      <c r="Y31" s="4">
        <f t="shared" si="11"/>
        <v>1.178996303909035</v>
      </c>
      <c r="Z31" s="360">
        <f t="shared" si="12"/>
        <v>2.0850484269467487E-3</v>
      </c>
      <c r="AA31" s="541">
        <f t="shared" si="39"/>
        <v>2.0850484269467487E-3</v>
      </c>
      <c r="AB31" s="360">
        <f t="shared" si="13"/>
        <v>1.2507750939610456</v>
      </c>
      <c r="AC31" s="360">
        <f t="shared" si="14"/>
        <v>9.3866300140395733E-3</v>
      </c>
      <c r="AD31" s="360">
        <f t="shared" si="15"/>
        <v>4.7790475827577998E-2</v>
      </c>
      <c r="AE31" s="360">
        <f t="shared" si="16"/>
        <v>6.3554084210431377E-2</v>
      </c>
      <c r="AF31" s="360">
        <f t="shared" si="17"/>
        <v>4.2329443145141012E-3</v>
      </c>
      <c r="AG31" s="360">
        <f t="shared" si="18"/>
        <v>0.12514268391363795</v>
      </c>
      <c r="AH31" s="360">
        <f t="shared" si="19"/>
        <v>3.5311071316926141</v>
      </c>
      <c r="AI31" s="360">
        <f t="shared" si="20"/>
        <v>3.1171793938726104E-2</v>
      </c>
      <c r="AJ31" s="360">
        <f t="shared" si="21"/>
        <v>1.5616624314514103E-2</v>
      </c>
      <c r="AK31" s="360">
        <f t="shared" si="22"/>
        <v>4.708194398446388E-2</v>
      </c>
      <c r="AL31" s="360">
        <f t="shared" si="23"/>
        <v>1.138368E-2</v>
      </c>
      <c r="AM31" s="360">
        <f t="shared" si="24"/>
        <v>0.13067999999999999</v>
      </c>
      <c r="AN31" s="360">
        <f t="shared" si="25"/>
        <v>5.6132623644654822E-2</v>
      </c>
      <c r="AO31" s="360">
        <f t="shared" si="26"/>
        <v>1.5749999999999998E-3</v>
      </c>
      <c r="AP31" s="360">
        <f t="shared" si="27"/>
        <v>0.32669999999999993</v>
      </c>
      <c r="AQ31" s="360">
        <f t="shared" si="28"/>
        <v>0.31218000000000001</v>
      </c>
      <c r="AR31" s="360">
        <f t="shared" si="29"/>
        <v>0.29039999999999999</v>
      </c>
      <c r="AS31" s="360">
        <f t="shared" si="48"/>
        <v>0.32827499999999993</v>
      </c>
      <c r="AT31" s="360">
        <f t="shared" si="41"/>
        <v>1.0871634382742288</v>
      </c>
      <c r="AU31">
        <f t="shared" si="30"/>
        <v>13.200000000000001</v>
      </c>
      <c r="AV31" s="542">
        <f t="shared" si="42"/>
        <v>0.92390627831961369</v>
      </c>
      <c r="AW31" s="551">
        <f t="shared" si="31"/>
        <v>8.0328763887182415</v>
      </c>
      <c r="AX31" s="551">
        <f t="shared" si="32"/>
        <v>3.4278410714096275</v>
      </c>
      <c r="AY31" s="9"/>
      <c r="AZ31" s="4">
        <f t="shared" si="43"/>
        <v>92.390627831961368</v>
      </c>
      <c r="BA31" s="360">
        <f t="shared" si="33"/>
        <v>0.3722553464821981</v>
      </c>
      <c r="BB31" s="360">
        <f t="shared" si="44"/>
        <v>0.3029046278981018</v>
      </c>
      <c r="BC31" s="360">
        <f t="shared" si="45"/>
        <v>0.21139148391363793</v>
      </c>
      <c r="BD31" s="360">
        <f t="shared" si="46"/>
        <v>9.020634398446388E-2</v>
      </c>
      <c r="BE31" s="360">
        <f t="shared" si="47"/>
        <v>5.6132623644654822E-2</v>
      </c>
    </row>
    <row r="32" spans="1:65" ht="13" x14ac:dyDescent="0.3">
      <c r="A32" s="24" t="s">
        <v>62</v>
      </c>
      <c r="B32" s="15" t="s">
        <v>111</v>
      </c>
      <c r="C32" s="24" t="s">
        <v>76</v>
      </c>
      <c r="D32" s="17" t="s">
        <v>107</v>
      </c>
      <c r="G32">
        <v>23</v>
      </c>
      <c r="H32" s="548">
        <f t="shared" si="0"/>
        <v>45</v>
      </c>
      <c r="I32" s="4">
        <f t="shared" si="1"/>
        <v>2</v>
      </c>
      <c r="J32" s="360">
        <f t="shared" si="34"/>
        <v>2.76</v>
      </c>
      <c r="K32" s="4">
        <f t="shared" si="2"/>
        <v>0.34074074074074073</v>
      </c>
      <c r="L32" s="4"/>
      <c r="M32" s="360">
        <f t="shared" si="3"/>
        <v>0.11149841292526039</v>
      </c>
      <c r="N32" s="4">
        <f t="shared" si="4"/>
        <v>9.2077508785000095</v>
      </c>
      <c r="O32" s="4">
        <f t="shared" si="35"/>
        <v>7.3638754392500045</v>
      </c>
      <c r="P32" s="4">
        <f t="shared" si="36"/>
        <v>-1.843875439250005</v>
      </c>
      <c r="Q32" s="4">
        <f t="shared" si="5"/>
        <v>19.277317713016259</v>
      </c>
      <c r="R32" s="4">
        <f t="shared" si="6"/>
        <v>3.8318171955409279</v>
      </c>
      <c r="S32" s="360">
        <f t="shared" si="7"/>
        <v>7.3414115100215713E-2</v>
      </c>
      <c r="T32" s="360">
        <f t="shared" si="8"/>
        <v>0.3</v>
      </c>
      <c r="U32" s="360">
        <f t="shared" si="9"/>
        <v>0.37562018095610977</v>
      </c>
      <c r="V32" s="4">
        <f t="shared" si="37"/>
        <v>2.658048724166497</v>
      </c>
      <c r="W32" s="360">
        <f t="shared" si="10"/>
        <v>1.4130446040086285E-2</v>
      </c>
      <c r="X32" s="360">
        <f t="shared" si="38"/>
        <v>1.4130446040086285E-2</v>
      </c>
      <c r="Y32" s="4">
        <f t="shared" si="11"/>
        <v>1.2060580972655677</v>
      </c>
      <c r="Z32" s="360">
        <f t="shared" si="12"/>
        <v>2.1818642009697625E-3</v>
      </c>
      <c r="AA32" s="541">
        <f t="shared" si="39"/>
        <v>2.1818642009697625E-3</v>
      </c>
      <c r="AB32" s="360">
        <f t="shared" si="13"/>
        <v>1.2794965666219231</v>
      </c>
      <c r="AC32" s="360">
        <f t="shared" si="14"/>
        <v>9.822668783983737E-3</v>
      </c>
      <c r="AD32" s="360">
        <f t="shared" si="15"/>
        <v>4.9962770183376984E-2</v>
      </c>
      <c r="AE32" s="360">
        <f t="shared" si="16"/>
        <v>6.1542568357143057E-2</v>
      </c>
      <c r="AF32" s="360">
        <f t="shared" si="17"/>
        <v>3.9753954470230102E-3</v>
      </c>
      <c r="AG32" s="360">
        <f t="shared" si="18"/>
        <v>0.12549076621478716</v>
      </c>
      <c r="AH32" s="360">
        <f t="shared" si="19"/>
        <v>3.6118847650563066</v>
      </c>
      <c r="AI32" s="360">
        <f t="shared" si="20"/>
        <v>3.2614278890114631E-2</v>
      </c>
      <c r="AJ32" s="360">
        <f t="shared" si="21"/>
        <v>1.587651544702301E-2</v>
      </c>
      <c r="AK32" s="360">
        <f t="shared" si="22"/>
        <v>4.8809169510499704E-2</v>
      </c>
      <c r="AL32" s="360">
        <f t="shared" si="23"/>
        <v>1.1901119999999999E-2</v>
      </c>
      <c r="AM32" s="360">
        <f t="shared" si="24"/>
        <v>0.13661999999999999</v>
      </c>
      <c r="AN32" s="360">
        <f t="shared" si="25"/>
        <v>5.8731292080172567E-2</v>
      </c>
      <c r="AO32" s="360">
        <f t="shared" si="26"/>
        <v>1.5749999999999998E-3</v>
      </c>
      <c r="AP32" s="360">
        <f t="shared" si="27"/>
        <v>0.32669999999999993</v>
      </c>
      <c r="AQ32" s="360">
        <f t="shared" si="28"/>
        <v>0.31218000000000001</v>
      </c>
      <c r="AR32" s="360">
        <f t="shared" si="29"/>
        <v>0.29039999999999999</v>
      </c>
      <c r="AS32" s="360">
        <f t="shared" si="48"/>
        <v>0.32827499999999993</v>
      </c>
      <c r="AT32" s="360">
        <f t="shared" si="41"/>
        <v>1.1017598390026253</v>
      </c>
      <c r="AU32">
        <f t="shared" si="30"/>
        <v>13.799999999999999</v>
      </c>
      <c r="AV32" s="542">
        <f t="shared" si="42"/>
        <v>0.92606511909291611</v>
      </c>
      <c r="AW32" s="551">
        <f t="shared" si="31"/>
        <v>8.1950787161619125</v>
      </c>
      <c r="AX32" s="551">
        <f t="shared" si="32"/>
        <v>3.567963241398989</v>
      </c>
      <c r="AY32" s="9"/>
      <c r="AZ32" s="4">
        <f t="shared" si="43"/>
        <v>92.606511909291612</v>
      </c>
      <c r="BA32" s="360">
        <f t="shared" si="33"/>
        <v>0.37562018095610977</v>
      </c>
      <c r="BB32" s="360">
        <f t="shared" si="44"/>
        <v>0.31091993572528687</v>
      </c>
      <c r="BC32" s="360">
        <f t="shared" si="45"/>
        <v>0.21565996621478717</v>
      </c>
      <c r="BD32" s="360">
        <f t="shared" si="46"/>
        <v>9.3893769510499714E-2</v>
      </c>
      <c r="BE32" s="360">
        <f t="shared" si="47"/>
        <v>5.8731292080172567E-2</v>
      </c>
    </row>
    <row r="33" spans="1:57" x14ac:dyDescent="0.25">
      <c r="A33" s="22" t="s">
        <v>62</v>
      </c>
      <c r="B33" s="5">
        <f>Deadtime*1000000000</f>
        <v>14</v>
      </c>
      <c r="C33" s="440" t="s">
        <v>75</v>
      </c>
      <c r="D33" s="21" t="s">
        <v>98</v>
      </c>
      <c r="G33">
        <v>24</v>
      </c>
      <c r="H33" s="548">
        <f t="shared" si="0"/>
        <v>45</v>
      </c>
      <c r="I33" s="4">
        <f t="shared" si="1"/>
        <v>2</v>
      </c>
      <c r="J33" s="360">
        <f t="shared" si="34"/>
        <v>2.88</v>
      </c>
      <c r="K33" s="4">
        <f t="shared" si="2"/>
        <v>0.35555555555555551</v>
      </c>
      <c r="L33" s="4"/>
      <c r="M33" s="360">
        <f t="shared" si="3"/>
        <v>0.11151524976394435</v>
      </c>
      <c r="N33" s="4">
        <f t="shared" si="4"/>
        <v>9.2088371641430822</v>
      </c>
      <c r="O33" s="4">
        <f t="shared" si="35"/>
        <v>7.484418582071541</v>
      </c>
      <c r="P33" s="4">
        <f t="shared" si="36"/>
        <v>-1.7244185820715412</v>
      </c>
      <c r="Q33" s="4">
        <f t="shared" si="5"/>
        <v>18.028422185797609</v>
      </c>
      <c r="R33" s="4">
        <f t="shared" si="6"/>
        <v>3.9193481804557631</v>
      </c>
      <c r="S33" s="360">
        <f t="shared" si="7"/>
        <v>7.6806450798209497E-2</v>
      </c>
      <c r="T33" s="360">
        <f t="shared" si="8"/>
        <v>0.3</v>
      </c>
      <c r="U33" s="360">
        <f t="shared" si="9"/>
        <v>0.37913605839943215</v>
      </c>
      <c r="V33" s="4">
        <f t="shared" si="37"/>
        <v>2.6583623078207195</v>
      </c>
      <c r="W33" s="360">
        <f t="shared" si="10"/>
        <v>1.4133780319283803E-2</v>
      </c>
      <c r="X33" s="360">
        <f t="shared" si="38"/>
        <v>1.4133780319283803E-2</v>
      </c>
      <c r="Y33" s="4">
        <f t="shared" si="11"/>
        <v>1.2336897772902409</v>
      </c>
      <c r="Z33" s="360">
        <f t="shared" si="12"/>
        <v>2.2829856998856663E-3</v>
      </c>
      <c r="AA33" s="541">
        <f t="shared" si="39"/>
        <v>2.2829856998856663E-3</v>
      </c>
      <c r="AB33" s="360">
        <f t="shared" si="13"/>
        <v>1.3088231770750727</v>
      </c>
      <c r="AC33" s="360">
        <f t="shared" si="14"/>
        <v>1.0278108653093322E-2</v>
      </c>
      <c r="AD33" s="360">
        <f t="shared" si="15"/>
        <v>5.213506453917599E-2</v>
      </c>
      <c r="AE33" s="360">
        <f t="shared" si="16"/>
        <v>5.9020798352782192E-2</v>
      </c>
      <c r="AF33" s="360">
        <f t="shared" si="17"/>
        <v>3.717846462946242E-3</v>
      </c>
      <c r="AG33" s="360">
        <f t="shared" si="18"/>
        <v>0.12534764518893024</v>
      </c>
      <c r="AH33" s="360">
        <f t="shared" si="19"/>
        <v>3.6943567844474652</v>
      </c>
      <c r="AI33" s="360">
        <f t="shared" si="20"/>
        <v>3.4120680126982536E-2</v>
      </c>
      <c r="AJ33" s="360">
        <f t="shared" si="21"/>
        <v>1.6136406462946243E-2</v>
      </c>
      <c r="AK33" s="360">
        <f t="shared" si="22"/>
        <v>5.060240427994725E-2</v>
      </c>
      <c r="AL33" s="360">
        <f t="shared" si="23"/>
        <v>1.2418559999999999E-2</v>
      </c>
      <c r="AM33" s="360">
        <f t="shared" si="24"/>
        <v>0.14255999999999999</v>
      </c>
      <c r="AN33" s="360">
        <f t="shared" si="25"/>
        <v>6.14451606385676E-2</v>
      </c>
      <c r="AO33" s="360">
        <f t="shared" si="26"/>
        <v>1.5749999999999998E-3</v>
      </c>
      <c r="AP33" s="360">
        <f t="shared" si="27"/>
        <v>0.32669999999999993</v>
      </c>
      <c r="AQ33" s="360">
        <f t="shared" si="28"/>
        <v>0.31218000000000001</v>
      </c>
      <c r="AR33" s="360">
        <f t="shared" si="29"/>
        <v>0.29039999999999999</v>
      </c>
      <c r="AS33" s="360">
        <f t="shared" si="48"/>
        <v>0.32827499999999993</v>
      </c>
      <c r="AT33" s="360">
        <f t="shared" si="41"/>
        <v>1.1162015945260466</v>
      </c>
      <c r="AU33">
        <f t="shared" si="30"/>
        <v>14.399999999999999</v>
      </c>
      <c r="AV33" s="542">
        <f t="shared" si="42"/>
        <v>0.92806218791847672</v>
      </c>
      <c r="AW33" s="551">
        <f t="shared" si="31"/>
        <v>8.3386153171793485</v>
      </c>
      <c r="AX33" s="551">
        <f t="shared" si="32"/>
        <v>3.7105937626379952</v>
      </c>
      <c r="AY33" s="9"/>
      <c r="AZ33" s="4">
        <f t="shared" si="43"/>
        <v>92.80621879184767</v>
      </c>
      <c r="BA33" s="360">
        <f t="shared" si="33"/>
        <v>0.37913605839943215</v>
      </c>
      <c r="BB33" s="360">
        <f t="shared" si="44"/>
        <v>0.31851004946887751</v>
      </c>
      <c r="BC33" s="360">
        <f t="shared" si="45"/>
        <v>0.21943724518893024</v>
      </c>
      <c r="BD33" s="360">
        <f t="shared" si="46"/>
        <v>9.7647204279947247E-2</v>
      </c>
      <c r="BE33" s="360">
        <f t="shared" si="47"/>
        <v>6.14451606385676E-2</v>
      </c>
    </row>
    <row r="34" spans="1:57" ht="13" x14ac:dyDescent="0.3">
      <c r="A34" s="24" t="s">
        <v>52</v>
      </c>
      <c r="B34" s="15" t="s">
        <v>111</v>
      </c>
      <c r="C34" s="24" t="s">
        <v>76</v>
      </c>
      <c r="D34" s="17" t="s">
        <v>107</v>
      </c>
      <c r="G34">
        <v>25</v>
      </c>
      <c r="H34" s="548">
        <f t="shared" si="0"/>
        <v>45</v>
      </c>
      <c r="I34" s="4">
        <f t="shared" si="1"/>
        <v>2</v>
      </c>
      <c r="J34" s="360">
        <f t="shared" si="34"/>
        <v>3</v>
      </c>
      <c r="K34" s="4">
        <f t="shared" si="2"/>
        <v>0.37037037037037035</v>
      </c>
      <c r="L34" s="4"/>
      <c r="M34" s="360">
        <f t="shared" si="3"/>
        <v>0.11153208640510504</v>
      </c>
      <c r="N34" s="4">
        <f t="shared" si="4"/>
        <v>9.209923341638083</v>
      </c>
      <c r="O34" s="4">
        <f t="shared" si="35"/>
        <v>7.6049616708190415</v>
      </c>
      <c r="P34" s="4">
        <f t="shared" si="36"/>
        <v>-1.6049616708190415</v>
      </c>
      <c r="Q34" s="4">
        <f t="shared" si="5"/>
        <v>16.779526093246645</v>
      </c>
      <c r="R34" s="4">
        <f t="shared" si="6"/>
        <v>4.0085605059552449</v>
      </c>
      <c r="S34" s="360">
        <f t="shared" si="7"/>
        <v>8.0342786649520853E-2</v>
      </c>
      <c r="T34" s="360">
        <f t="shared" si="8"/>
        <v>0.3</v>
      </c>
      <c r="U34" s="360">
        <f t="shared" si="9"/>
        <v>0.38280322487551455</v>
      </c>
      <c r="V34" s="4">
        <f t="shared" si="37"/>
        <v>2.6586758602552827</v>
      </c>
      <c r="W34" s="360">
        <f t="shared" si="10"/>
        <v>1.4137114659808336E-2</v>
      </c>
      <c r="X34" s="360">
        <f t="shared" si="38"/>
        <v>1.4137114659808336E-2</v>
      </c>
      <c r="Y34" s="4">
        <f t="shared" si="11"/>
        <v>1.2618543542251091</v>
      </c>
      <c r="Z34" s="360">
        <f t="shared" si="12"/>
        <v>2.3884146169153007E-3</v>
      </c>
      <c r="AA34" s="541">
        <f t="shared" si="39"/>
        <v>2.3884146169153007E-3</v>
      </c>
      <c r="AB34" s="360">
        <f t="shared" si="13"/>
        <v>1.3387156996630225</v>
      </c>
      <c r="AC34" s="360">
        <f t="shared" si="14"/>
        <v>1.0752958347145536E-2</v>
      </c>
      <c r="AD34" s="360">
        <f t="shared" si="15"/>
        <v>5.430735889497499E-2</v>
      </c>
      <c r="AE34" s="360">
        <f t="shared" si="16"/>
        <v>5.5988773504439995E-2</v>
      </c>
      <c r="AF34" s="360">
        <f t="shared" si="17"/>
        <v>3.4602973622858526E-3</v>
      </c>
      <c r="AG34" s="360">
        <f t="shared" si="18"/>
        <v>0.12471322559911761</v>
      </c>
      <c r="AH34" s="360">
        <f t="shared" si="19"/>
        <v>3.7784120481202041</v>
      </c>
      <c r="AI34" s="360">
        <f t="shared" si="20"/>
        <v>3.5690994013449794E-2</v>
      </c>
      <c r="AJ34" s="360">
        <f t="shared" si="21"/>
        <v>1.6396297362285851E-2</v>
      </c>
      <c r="AK34" s="360">
        <f t="shared" si="22"/>
        <v>5.2461773947716221E-2</v>
      </c>
      <c r="AL34" s="360">
        <f t="shared" si="23"/>
        <v>1.2936E-2</v>
      </c>
      <c r="AM34" s="360">
        <f t="shared" si="24"/>
        <v>0.14849999999999999</v>
      </c>
      <c r="AN34" s="360">
        <f t="shared" si="25"/>
        <v>6.4274229319616683E-2</v>
      </c>
      <c r="AO34" s="360">
        <f t="shared" si="26"/>
        <v>1.5749999999999998E-3</v>
      </c>
      <c r="AP34" s="360">
        <f t="shared" si="27"/>
        <v>0.32669999999999993</v>
      </c>
      <c r="AQ34" s="360">
        <f t="shared" si="28"/>
        <v>0.31218000000000001</v>
      </c>
      <c r="AR34" s="360">
        <f t="shared" si="29"/>
        <v>0.29039999999999999</v>
      </c>
      <c r="AS34" s="360">
        <f t="shared" si="48"/>
        <v>0.32827499999999993</v>
      </c>
      <c r="AT34" s="360">
        <f t="shared" si="41"/>
        <v>1.1304889830186884</v>
      </c>
      <c r="AU34">
        <f t="shared" si="30"/>
        <v>15</v>
      </c>
      <c r="AV34" s="542">
        <f t="shared" si="42"/>
        <v>0.92991601282460778</v>
      </c>
      <c r="AW34" s="551">
        <f t="shared" si="31"/>
        <v>8.4634825727664698</v>
      </c>
      <c r="AX34" s="551">
        <f t="shared" si="32"/>
        <v>3.8557374100132162</v>
      </c>
      <c r="AY34" s="9"/>
      <c r="AZ34" s="4">
        <f t="shared" si="43"/>
        <v>92.991601282460778</v>
      </c>
      <c r="BA34" s="360">
        <f t="shared" si="33"/>
        <v>0.38280322487551455</v>
      </c>
      <c r="BB34" s="360">
        <f t="shared" si="44"/>
        <v>0.32567499954683382</v>
      </c>
      <c r="BC34" s="360">
        <f t="shared" si="45"/>
        <v>0.22272322559911761</v>
      </c>
      <c r="BD34" s="360">
        <f t="shared" si="46"/>
        <v>0.10146677394771622</v>
      </c>
      <c r="BE34" s="360">
        <f t="shared" si="47"/>
        <v>6.4274229319616683E-2</v>
      </c>
    </row>
    <row r="35" spans="1:57" x14ac:dyDescent="0.25">
      <c r="A35" s="22" t="s">
        <v>128</v>
      </c>
      <c r="B35" s="5">
        <f>Iq*1000</f>
        <v>3.4999999999999996E-2</v>
      </c>
      <c r="C35" s="440" t="s">
        <v>64</v>
      </c>
      <c r="D35" s="21" t="s">
        <v>131</v>
      </c>
      <c r="G35">
        <v>26</v>
      </c>
      <c r="H35" s="548">
        <f t="shared" si="0"/>
        <v>45</v>
      </c>
      <c r="I35" s="4">
        <f t="shared" si="1"/>
        <v>2</v>
      </c>
      <c r="J35" s="360">
        <f t="shared" si="34"/>
        <v>3.12</v>
      </c>
      <c r="K35" s="4">
        <f t="shared" si="2"/>
        <v>0.38518518518518524</v>
      </c>
      <c r="L35" s="4"/>
      <c r="M35" s="360">
        <f t="shared" si="3"/>
        <v>0.1115489228487459</v>
      </c>
      <c r="N35" s="4">
        <f t="shared" si="4"/>
        <v>9.2110094109869145</v>
      </c>
      <c r="O35" s="4">
        <f t="shared" si="35"/>
        <v>7.7255047054934574</v>
      </c>
      <c r="P35" s="4">
        <f t="shared" si="36"/>
        <v>-1.4855047054934571</v>
      </c>
      <c r="Q35" s="4">
        <f t="shared" si="5"/>
        <v>15.530629435373312</v>
      </c>
      <c r="R35" s="4">
        <f t="shared" si="6"/>
        <v>4.0993444025568442</v>
      </c>
      <c r="S35" s="360">
        <f t="shared" si="7"/>
        <v>8.4023122653870658E-2</v>
      </c>
      <c r="T35" s="360">
        <f t="shared" si="8"/>
        <v>0.3</v>
      </c>
      <c r="U35" s="360">
        <f t="shared" si="9"/>
        <v>0.38662193725021071</v>
      </c>
      <c r="V35" s="4">
        <f t="shared" si="37"/>
        <v>2.6589893814707359</v>
      </c>
      <c r="W35" s="360">
        <f t="shared" si="10"/>
        <v>1.4140449061548254E-2</v>
      </c>
      <c r="X35" s="360">
        <f t="shared" si="38"/>
        <v>1.4140449061548254E-2</v>
      </c>
      <c r="Y35" s="4">
        <f t="shared" si="11"/>
        <v>1.2905173756011878</v>
      </c>
      <c r="Z35" s="360">
        <f t="shared" si="12"/>
        <v>2.4981526450928663E-3</v>
      </c>
      <c r="AA35" s="541">
        <f t="shared" si="39"/>
        <v>2.4981526450928663E-3</v>
      </c>
      <c r="AB35" s="360">
        <f t="shared" si="13"/>
        <v>1.3691375991058992</v>
      </c>
      <c r="AC35" s="360">
        <f t="shared" si="14"/>
        <v>1.1247226591712794E-2</v>
      </c>
      <c r="AD35" s="360">
        <f t="shared" si="15"/>
        <v>5.647965325077399E-2</v>
      </c>
      <c r="AE35" s="360">
        <f t="shared" si="16"/>
        <v>5.2446493119223628E-2</v>
      </c>
      <c r="AF35" s="360">
        <f t="shared" si="17"/>
        <v>3.2027481450438932E-3</v>
      </c>
      <c r="AG35" s="360">
        <f t="shared" si="18"/>
        <v>0.12358740346741758</v>
      </c>
      <c r="AH35" s="360">
        <f t="shared" si="19"/>
        <v>3.8639470448608204</v>
      </c>
      <c r="AI35" s="360">
        <f t="shared" si="20"/>
        <v>3.7325216913721669E-2</v>
      </c>
      <c r="AJ35" s="360">
        <f t="shared" si="21"/>
        <v>1.6656188145043892E-2</v>
      </c>
      <c r="AK35" s="360">
        <f t="shared" si="22"/>
        <v>5.4387409429632848E-2</v>
      </c>
      <c r="AL35" s="360">
        <f t="shared" si="23"/>
        <v>1.3453440000000001E-2</v>
      </c>
      <c r="AM35" s="360">
        <f t="shared" si="24"/>
        <v>0.15443999999999997</v>
      </c>
      <c r="AN35" s="360">
        <f t="shared" si="25"/>
        <v>6.7218498123096521E-2</v>
      </c>
      <c r="AO35" s="360">
        <f t="shared" si="26"/>
        <v>1.5749999999999998E-3</v>
      </c>
      <c r="AP35" s="360">
        <f t="shared" si="27"/>
        <v>0.32669999999999993</v>
      </c>
      <c r="AQ35" s="360">
        <f t="shared" si="28"/>
        <v>0.31218000000000001</v>
      </c>
      <c r="AR35" s="360">
        <f t="shared" si="29"/>
        <v>0.29039999999999999</v>
      </c>
      <c r="AS35" s="360">
        <f t="shared" si="48"/>
        <v>0.32827499999999993</v>
      </c>
      <c r="AT35" s="360">
        <f t="shared" si="41"/>
        <v>1.1446222899769987</v>
      </c>
      <c r="AU35">
        <f t="shared" si="30"/>
        <v>15.600000000000001</v>
      </c>
      <c r="AV35" s="542">
        <f t="shared" si="42"/>
        <v>0.93164239418752692</v>
      </c>
      <c r="AW35" s="551">
        <f t="shared" si="31"/>
        <v>8.5696765317618677</v>
      </c>
      <c r="AX35" s="551">
        <f t="shared" si="32"/>
        <v>4.0033991583260482</v>
      </c>
      <c r="AY35" s="9"/>
      <c r="AZ35" s="4">
        <f t="shared" si="43"/>
        <v>93.164239418752686</v>
      </c>
      <c r="BA35" s="360">
        <f t="shared" si="33"/>
        <v>0.38662193725021071</v>
      </c>
      <c r="BB35" s="360">
        <f t="shared" si="44"/>
        <v>0.33241481289705038</v>
      </c>
      <c r="BC35" s="360">
        <f t="shared" si="45"/>
        <v>0.22551780346741757</v>
      </c>
      <c r="BD35" s="360">
        <f t="shared" si="46"/>
        <v>0.10535260942963284</v>
      </c>
      <c r="BE35" s="360">
        <f t="shared" si="47"/>
        <v>6.7218498123096521E-2</v>
      </c>
    </row>
    <row r="36" spans="1:57" ht="13" x14ac:dyDescent="0.3">
      <c r="A36" s="24" t="s">
        <v>525</v>
      </c>
      <c r="B36" s="15" t="s">
        <v>111</v>
      </c>
      <c r="C36" s="24" t="s">
        <v>76</v>
      </c>
      <c r="D36" s="17" t="s">
        <v>107</v>
      </c>
      <c r="G36">
        <v>27</v>
      </c>
      <c r="H36" s="548">
        <f t="shared" si="0"/>
        <v>45</v>
      </c>
      <c r="I36" s="4">
        <f t="shared" si="1"/>
        <v>2</v>
      </c>
      <c r="J36" s="360">
        <f t="shared" si="34"/>
        <v>3.24</v>
      </c>
      <c r="K36" s="4">
        <f t="shared" si="2"/>
        <v>0.40000000000000008</v>
      </c>
      <c r="L36" s="4"/>
      <c r="M36" s="360">
        <f t="shared" si="3"/>
        <v>0.11156575909487049</v>
      </c>
      <c r="N36" s="4">
        <f t="shared" si="4"/>
        <v>9.2120953721914844</v>
      </c>
      <c r="O36" s="4">
        <f t="shared" si="35"/>
        <v>7.8460476860957424</v>
      </c>
      <c r="P36" s="4">
        <f t="shared" si="36"/>
        <v>-1.366047686095742</v>
      </c>
      <c r="Q36" s="4">
        <f t="shared" si="5"/>
        <v>14.281732212187581</v>
      </c>
      <c r="R36" s="4">
        <f t="shared" si="6"/>
        <v>4.1915977576809516</v>
      </c>
      <c r="S36" s="360">
        <f t="shared" si="7"/>
        <v>8.7847458810979898E-2</v>
      </c>
      <c r="T36" s="360">
        <f t="shared" si="8"/>
        <v>0.3</v>
      </c>
      <c r="U36" s="360">
        <f t="shared" si="9"/>
        <v>0.3905924632370677</v>
      </c>
      <c r="V36" s="4">
        <f t="shared" si="37"/>
        <v>2.6593028714676299</v>
      </c>
      <c r="W36" s="360">
        <f t="shared" si="10"/>
        <v>1.4143783524391964E-2</v>
      </c>
      <c r="X36" s="360">
        <f t="shared" si="38"/>
        <v>1.4143783524391964E-2</v>
      </c>
      <c r="Y36" s="4">
        <f t="shared" si="11"/>
        <v>1.3196467904369789</v>
      </c>
      <c r="Z36" s="360">
        <f t="shared" si="12"/>
        <v>2.6122014772659292E-3</v>
      </c>
      <c r="AA36" s="541">
        <f t="shared" si="39"/>
        <v>2.6122014772659292E-3</v>
      </c>
      <c r="AB36" s="360">
        <f t="shared" si="13"/>
        <v>1.4000548865528337</v>
      </c>
      <c r="AC36" s="360">
        <f t="shared" si="14"/>
        <v>1.1760922112162809E-2</v>
      </c>
      <c r="AD36" s="360">
        <f t="shared" si="15"/>
        <v>5.8651947606572996E-2</v>
      </c>
      <c r="AE36" s="360">
        <f t="shared" si="16"/>
        <v>4.8393956504256298E-2</v>
      </c>
      <c r="AF36" s="360">
        <f t="shared" si="17"/>
        <v>2.9451988112224195E-3</v>
      </c>
      <c r="AG36" s="360">
        <f t="shared" si="18"/>
        <v>0.12197006606215433</v>
      </c>
      <c r="AH36" s="360">
        <f t="shared" si="19"/>
        <v>3.9508654845281073</v>
      </c>
      <c r="AI36" s="360">
        <f t="shared" si="20"/>
        <v>3.902334519208879E-2</v>
      </c>
      <c r="AJ36" s="360">
        <f t="shared" si="21"/>
        <v>1.691607881122242E-2</v>
      </c>
      <c r="AK36" s="360">
        <f t="shared" si="22"/>
        <v>5.6379446927146637E-2</v>
      </c>
      <c r="AL36" s="360">
        <f t="shared" si="23"/>
        <v>1.397088E-2</v>
      </c>
      <c r="AM36" s="360">
        <f t="shared" si="24"/>
        <v>0.16037999999999999</v>
      </c>
      <c r="AN36" s="360">
        <f t="shared" si="25"/>
        <v>7.0277967048783918E-2</v>
      </c>
      <c r="AO36" s="360">
        <f t="shared" si="26"/>
        <v>1.5749999999999998E-3</v>
      </c>
      <c r="AP36" s="360">
        <f t="shared" si="27"/>
        <v>0.32669999999999993</v>
      </c>
      <c r="AQ36" s="360">
        <f t="shared" si="28"/>
        <v>0.31218000000000001</v>
      </c>
      <c r="AR36" s="360">
        <f t="shared" si="29"/>
        <v>0.29039999999999999</v>
      </c>
      <c r="AS36" s="360">
        <f t="shared" si="48"/>
        <v>0.32827499999999993</v>
      </c>
      <c r="AT36" s="360">
        <f t="shared" si="41"/>
        <v>1.1586018082768101</v>
      </c>
      <c r="AU36">
        <f t="shared" si="30"/>
        <v>16.200000000000003</v>
      </c>
      <c r="AV36" s="542">
        <f t="shared" si="42"/>
        <v>0.93325488878232277</v>
      </c>
      <c r="AW36" s="551">
        <f t="shared" si="31"/>
        <v>8.6571929103618643</v>
      </c>
      <c r="AX36" s="551">
        <f t="shared" si="32"/>
        <v>4.1535841832315725</v>
      </c>
      <c r="AY36" s="9"/>
      <c r="AZ36" s="4">
        <f t="shared" si="43"/>
        <v>93.325488878232278</v>
      </c>
      <c r="BA36" s="360">
        <f t="shared" si="33"/>
        <v>0.3905924632370677</v>
      </c>
      <c r="BB36" s="360">
        <f t="shared" si="44"/>
        <v>0.33872951298930098</v>
      </c>
      <c r="BC36" s="360">
        <f t="shared" si="45"/>
        <v>0.22782086606215432</v>
      </c>
      <c r="BD36" s="360">
        <f t="shared" si="46"/>
        <v>0.10930484692714663</v>
      </c>
      <c r="BE36" s="360">
        <f t="shared" si="47"/>
        <v>7.0277967048783918E-2</v>
      </c>
    </row>
    <row r="37" spans="1:57" x14ac:dyDescent="0.25">
      <c r="A37" s="23" t="s">
        <v>71</v>
      </c>
      <c r="B37" s="5">
        <f>Rdson3*1000</f>
        <v>6</v>
      </c>
      <c r="C37" s="442" t="s">
        <v>466</v>
      </c>
      <c r="D37" s="440" t="s">
        <v>528</v>
      </c>
      <c r="G37">
        <v>28</v>
      </c>
      <c r="H37" s="548">
        <f t="shared" si="0"/>
        <v>45</v>
      </c>
      <c r="I37" s="4">
        <f t="shared" si="1"/>
        <v>2</v>
      </c>
      <c r="J37" s="360">
        <f t="shared" si="34"/>
        <v>3.36</v>
      </c>
      <c r="K37" s="4">
        <f t="shared" si="2"/>
        <v>0.41481481481481486</v>
      </c>
      <c r="L37" s="4"/>
      <c r="M37" s="360">
        <f t="shared" si="3"/>
        <v>0.11158259514348219</v>
      </c>
      <c r="N37" s="4">
        <f t="shared" si="4"/>
        <v>9.2131812252536864</v>
      </c>
      <c r="O37" s="4">
        <f t="shared" si="35"/>
        <v>7.9665906126268435</v>
      </c>
      <c r="P37" s="4">
        <f t="shared" si="36"/>
        <v>-1.2465906126268433</v>
      </c>
      <c r="Q37" s="4">
        <f t="shared" si="5"/>
        <v>13.032834423699356</v>
      </c>
      <c r="R37" s="4">
        <f t="shared" si="6"/>
        <v>4.2852256678165634</v>
      </c>
      <c r="S37" s="360">
        <f t="shared" si="7"/>
        <v>9.181579512056956E-2</v>
      </c>
      <c r="T37" s="360">
        <f t="shared" si="8"/>
        <v>0.3</v>
      </c>
      <c r="U37" s="360">
        <f t="shared" si="9"/>
        <v>0.39471508144448197</v>
      </c>
      <c r="V37" s="4">
        <f t="shared" si="37"/>
        <v>2.6596163302465112</v>
      </c>
      <c r="W37" s="360">
        <f t="shared" si="10"/>
        <v>1.4147118048227839E-2</v>
      </c>
      <c r="X37" s="360">
        <f t="shared" si="38"/>
        <v>1.4147118048227839E-2</v>
      </c>
      <c r="Y37" s="4">
        <f t="shared" si="11"/>
        <v>1.3492128090348172</v>
      </c>
      <c r="Z37" s="360">
        <f t="shared" si="12"/>
        <v>2.7305628060954332E-3</v>
      </c>
      <c r="AA37" s="541">
        <f t="shared" si="39"/>
        <v>2.7305628060954332E-3</v>
      </c>
      <c r="AB37" s="360">
        <f t="shared" si="13"/>
        <v>1.4314359709547209</v>
      </c>
      <c r="AC37" s="360">
        <f t="shared" si="14"/>
        <v>1.2294053633658507E-2</v>
      </c>
      <c r="AD37" s="360">
        <f t="shared" si="15"/>
        <v>6.0824241962371982E-2</v>
      </c>
      <c r="AE37" s="360">
        <f t="shared" si="16"/>
        <v>4.3831162966676961E-2</v>
      </c>
      <c r="AF37" s="360">
        <f t="shared" si="17"/>
        <v>2.6876493608234743E-3</v>
      </c>
      <c r="AG37" s="360">
        <f t="shared" si="18"/>
        <v>0.11986109188474837</v>
      </c>
      <c r="AH37" s="360">
        <f t="shared" si="19"/>
        <v>4.0390778756011656</v>
      </c>
      <c r="AI37" s="360">
        <f t="shared" si="20"/>
        <v>4.0785375212927071E-2</v>
      </c>
      <c r="AJ37" s="360">
        <f t="shared" si="21"/>
        <v>1.7175969360823475E-2</v>
      </c>
      <c r="AK37" s="360">
        <f t="shared" si="22"/>
        <v>5.8438027953104724E-2</v>
      </c>
      <c r="AL37" s="360">
        <f t="shared" si="23"/>
        <v>1.4488319999999999E-2</v>
      </c>
      <c r="AM37" s="360">
        <f t="shared" si="24"/>
        <v>0.16632</v>
      </c>
      <c r="AN37" s="360">
        <f t="shared" si="25"/>
        <v>7.3452636096455651E-2</v>
      </c>
      <c r="AO37" s="360">
        <f t="shared" si="26"/>
        <v>1.5749999999999998E-3</v>
      </c>
      <c r="AP37" s="360">
        <f t="shared" si="27"/>
        <v>0.32669999999999993</v>
      </c>
      <c r="AQ37" s="360">
        <f t="shared" si="28"/>
        <v>0.31218000000000001</v>
      </c>
      <c r="AR37" s="360">
        <f t="shared" si="29"/>
        <v>0.29039999999999999</v>
      </c>
      <c r="AS37" s="360">
        <f t="shared" si="48"/>
        <v>0.32827499999999993</v>
      </c>
      <c r="AT37" s="360">
        <f t="shared" si="41"/>
        <v>1.1724278382331139</v>
      </c>
      <c r="AU37">
        <f t="shared" si="30"/>
        <v>16.8</v>
      </c>
      <c r="AV37" s="542">
        <f t="shared" si="42"/>
        <v>0.93476519428616178</v>
      </c>
      <c r="AW37" s="551">
        <f t="shared" si="31"/>
        <v>8.7260270916204377</v>
      </c>
      <c r="AX37" s="551">
        <f t="shared" si="32"/>
        <v>4.3062978622179795</v>
      </c>
      <c r="AY37" s="9"/>
      <c r="AZ37" s="4">
        <f t="shared" si="43"/>
        <v>93.476519428616172</v>
      </c>
      <c r="BA37" s="360">
        <f t="shared" si="33"/>
        <v>0.39471508144448197</v>
      </c>
      <c r="BB37" s="360">
        <f t="shared" si="44"/>
        <v>0.34461911983785309</v>
      </c>
      <c r="BC37" s="360">
        <f t="shared" si="45"/>
        <v>0.22963229188474837</v>
      </c>
      <c r="BD37" s="360">
        <f t="shared" si="46"/>
        <v>0.11332362795310472</v>
      </c>
      <c r="BE37" s="360">
        <f t="shared" si="47"/>
        <v>7.3452636096455651E-2</v>
      </c>
    </row>
    <row r="38" spans="1:57" x14ac:dyDescent="0.25">
      <c r="A38" s="22" t="s">
        <v>79</v>
      </c>
      <c r="B38" s="5">
        <f>RdsonTopTc*1000000</f>
        <v>4000</v>
      </c>
      <c r="C38" s="440" t="s">
        <v>81</v>
      </c>
      <c r="D38" s="21" t="s">
        <v>109</v>
      </c>
      <c r="G38">
        <v>29</v>
      </c>
      <c r="H38" s="548">
        <f t="shared" si="0"/>
        <v>45</v>
      </c>
      <c r="I38" s="4">
        <f t="shared" si="1"/>
        <v>2</v>
      </c>
      <c r="J38" s="360">
        <f t="shared" si="34"/>
        <v>3.48</v>
      </c>
      <c r="K38" s="4">
        <f t="shared" si="2"/>
        <v>0.42962962962962958</v>
      </c>
      <c r="L38" s="4"/>
      <c r="M38" s="360">
        <f t="shared" si="3"/>
        <v>0.11159943099458458</v>
      </c>
      <c r="N38" s="4">
        <f t="shared" si="4"/>
        <v>9.2142669701754336</v>
      </c>
      <c r="O38" s="4">
        <f t="shared" si="35"/>
        <v>8.0871334850877172</v>
      </c>
      <c r="P38" s="4">
        <f t="shared" si="36"/>
        <v>-1.1271334850877168</v>
      </c>
      <c r="Q38" s="4">
        <f t="shared" si="5"/>
        <v>11.78393606991863</v>
      </c>
      <c r="R38" s="4">
        <f t="shared" si="6"/>
        <v>4.3801399882277918</v>
      </c>
      <c r="S38" s="360">
        <f t="shared" si="7"/>
        <v>9.5928131582360798E-2</v>
      </c>
      <c r="T38" s="360">
        <f t="shared" si="8"/>
        <v>0.3</v>
      </c>
      <c r="U38" s="360">
        <f t="shared" si="9"/>
        <v>0.3989900814248391</v>
      </c>
      <c r="V38" s="4">
        <f t="shared" si="37"/>
        <v>2.6599297578079319</v>
      </c>
      <c r="W38" s="360">
        <f t="shared" si="10"/>
        <v>1.4150452632944328E-2</v>
      </c>
      <c r="X38" s="360">
        <f t="shared" si="38"/>
        <v>1.4150452632944328E-2</v>
      </c>
      <c r="Y38" s="4">
        <f t="shared" si="11"/>
        <v>1.3791877619467947</v>
      </c>
      <c r="Z38" s="360">
        <f t="shared" si="12"/>
        <v>2.8532383240557129E-3</v>
      </c>
      <c r="AA38" s="541">
        <f t="shared" si="39"/>
        <v>2.8532383240557129E-3</v>
      </c>
      <c r="AB38" s="360">
        <f t="shared" si="13"/>
        <v>1.4632515095474943</v>
      </c>
      <c r="AC38" s="360">
        <f t="shared" si="14"/>
        <v>1.2846629881158126E-2</v>
      </c>
      <c r="AD38" s="360">
        <f t="shared" si="15"/>
        <v>6.2996536318170981E-2</v>
      </c>
      <c r="AE38" s="360">
        <f t="shared" si="16"/>
        <v>3.875811181364075E-2</v>
      </c>
      <c r="AF38" s="360">
        <f t="shared" si="17"/>
        <v>2.4300997938491173E-3</v>
      </c>
      <c r="AG38" s="360">
        <f t="shared" si="18"/>
        <v>0.11726035065616039</v>
      </c>
      <c r="AH38" s="360">
        <f t="shared" si="19"/>
        <v>4.1285011004333203</v>
      </c>
      <c r="AI38" s="360">
        <f t="shared" si="20"/>
        <v>4.2611303340697841E-2</v>
      </c>
      <c r="AJ38" s="360">
        <f t="shared" si="21"/>
        <v>1.7435859793849116E-2</v>
      </c>
      <c r="AK38" s="360">
        <f t="shared" si="22"/>
        <v>6.0563299358603544E-2</v>
      </c>
      <c r="AL38" s="360">
        <f t="shared" si="23"/>
        <v>1.500576E-2</v>
      </c>
      <c r="AM38" s="360">
        <f t="shared" si="24"/>
        <v>0.17226000000000002</v>
      </c>
      <c r="AN38" s="360">
        <f t="shared" si="25"/>
        <v>7.6742505265888647E-2</v>
      </c>
      <c r="AO38" s="360">
        <f t="shared" si="26"/>
        <v>1.5749999999999998E-3</v>
      </c>
      <c r="AP38" s="360">
        <f t="shared" si="27"/>
        <v>0.32669999999999993</v>
      </c>
      <c r="AQ38" s="360">
        <f t="shared" si="28"/>
        <v>0.31218000000000001</v>
      </c>
      <c r="AR38" s="360">
        <f t="shared" si="29"/>
        <v>0.29039999999999999</v>
      </c>
      <c r="AS38" s="360">
        <f t="shared" si="48"/>
        <v>0.32827499999999993</v>
      </c>
      <c r="AT38" s="360">
        <f t="shared" si="41"/>
        <v>1.1861006876624915</v>
      </c>
      <c r="AU38">
        <f t="shared" si="30"/>
        <v>17.399999999999999</v>
      </c>
      <c r="AV38" s="542">
        <f t="shared" si="42"/>
        <v>0.93618345732680608</v>
      </c>
      <c r="AW38" s="551">
        <f t="shared" si="31"/>
        <v>8.7761741249340961</v>
      </c>
      <c r="AX38" s="551">
        <f t="shared" si="32"/>
        <v>4.4615457756269352</v>
      </c>
      <c r="AY38" s="9"/>
      <c r="AZ38" s="4">
        <f t="shared" si="43"/>
        <v>93.618345732680609</v>
      </c>
      <c r="BA38" s="360">
        <f t="shared" si="33"/>
        <v>0.3989900814248391</v>
      </c>
      <c r="BB38" s="360">
        <f t="shared" si="44"/>
        <v>0.35008365001476394</v>
      </c>
      <c r="BC38" s="360">
        <f t="shared" si="45"/>
        <v>0.23095195065616042</v>
      </c>
      <c r="BD38" s="360">
        <f t="shared" si="46"/>
        <v>0.11740909935860355</v>
      </c>
      <c r="BE38" s="360">
        <f t="shared" si="47"/>
        <v>7.6742505265888647E-2</v>
      </c>
    </row>
    <row r="39" spans="1:57" x14ac:dyDescent="0.25">
      <c r="A39" s="23" t="s">
        <v>70</v>
      </c>
      <c r="B39" s="5">
        <f>Qg_Q3*1000000000</f>
        <v>8</v>
      </c>
      <c r="C39" s="440" t="s">
        <v>65</v>
      </c>
      <c r="D39" s="21" t="s">
        <v>99</v>
      </c>
      <c r="G39">
        <v>30</v>
      </c>
      <c r="H39" s="548">
        <f t="shared" si="0"/>
        <v>45</v>
      </c>
      <c r="I39" s="4">
        <f t="shared" si="1"/>
        <v>2</v>
      </c>
      <c r="J39" s="360">
        <f t="shared" si="34"/>
        <v>3.6</v>
      </c>
      <c r="K39" s="4">
        <f t="shared" si="2"/>
        <v>0.44444444444444442</v>
      </c>
      <c r="L39" s="4"/>
      <c r="M39" s="360">
        <f t="shared" si="3"/>
        <v>0.11161626664818103</v>
      </c>
      <c r="N39" s="4">
        <f t="shared" si="4"/>
        <v>9.2153526069586214</v>
      </c>
      <c r="O39" s="4">
        <f t="shared" si="35"/>
        <v>8.2076763034793103</v>
      </c>
      <c r="P39" s="4">
        <f t="shared" si="36"/>
        <v>-1.0076763034793106</v>
      </c>
      <c r="Q39" s="4">
        <f t="shared" si="5"/>
        <v>10.535037150855313</v>
      </c>
      <c r="R39" s="4">
        <f t="shared" si="6"/>
        <v>4.4762588887613424</v>
      </c>
      <c r="S39" s="360">
        <f t="shared" si="7"/>
        <v>0.10018446819607464</v>
      </c>
      <c r="T39" s="360">
        <f t="shared" si="8"/>
        <v>0.3</v>
      </c>
      <c r="U39" s="360">
        <f t="shared" si="9"/>
        <v>0.40341776372565091</v>
      </c>
      <c r="V39" s="4">
        <f t="shared" si="37"/>
        <v>2.6602431541524401</v>
      </c>
      <c r="W39" s="360">
        <f t="shared" si="10"/>
        <v>1.4153787278429846E-2</v>
      </c>
      <c r="X39" s="360">
        <f t="shared" si="38"/>
        <v>1.4153787278429846E-2</v>
      </c>
      <c r="Y39" s="4">
        <f t="shared" si="11"/>
        <v>1.4095459608054626</v>
      </c>
      <c r="Z39" s="360">
        <f t="shared" si="12"/>
        <v>2.980229723434492E-3</v>
      </c>
      <c r="AA39" s="541">
        <f t="shared" si="39"/>
        <v>2.980229723434492E-3</v>
      </c>
      <c r="AB39" s="360">
        <f t="shared" si="13"/>
        <v>1.4954742603053575</v>
      </c>
      <c r="AC39" s="360">
        <f t="shared" si="14"/>
        <v>1.3418659579415137E-2</v>
      </c>
      <c r="AD39" s="360">
        <f t="shared" si="15"/>
        <v>6.5168830673969988E-2</v>
      </c>
      <c r="AE39" s="360">
        <f t="shared" si="16"/>
        <v>3.3174802352318469E-2</v>
      </c>
      <c r="AF39" s="360">
        <f t="shared" si="17"/>
        <v>2.1725501103013931E-3</v>
      </c>
      <c r="AG39" s="360">
        <f t="shared" si="18"/>
        <v>0.11416770330293403</v>
      </c>
      <c r="AH39" s="360">
        <f t="shared" si="19"/>
        <v>4.2190579962805765</v>
      </c>
      <c r="AI39" s="360">
        <f t="shared" si="20"/>
        <v>4.4501125939947692E-2</v>
      </c>
      <c r="AJ39" s="360">
        <f t="shared" si="21"/>
        <v>1.7695750110301393E-2</v>
      </c>
      <c r="AK39" s="360">
        <f t="shared" si="22"/>
        <v>6.2755413360926687E-2</v>
      </c>
      <c r="AL39" s="360">
        <f t="shared" si="23"/>
        <v>1.5523199999999999E-2</v>
      </c>
      <c r="AM39" s="360">
        <f t="shared" si="24"/>
        <v>0.1782</v>
      </c>
      <c r="AN39" s="360">
        <f t="shared" si="25"/>
        <v>8.014757455685971E-2</v>
      </c>
      <c r="AO39" s="360">
        <f t="shared" si="26"/>
        <v>1.5749999999999998E-3</v>
      </c>
      <c r="AP39" s="360">
        <f t="shared" si="27"/>
        <v>0.32669999999999993</v>
      </c>
      <c r="AQ39" s="360">
        <f t="shared" si="28"/>
        <v>0.31218000000000001</v>
      </c>
      <c r="AR39" s="360">
        <f t="shared" si="29"/>
        <v>0.29039999999999999</v>
      </c>
      <c r="AS39" s="360">
        <f t="shared" si="48"/>
        <v>0.32827499999999993</v>
      </c>
      <c r="AT39" s="360">
        <f t="shared" si="41"/>
        <v>1.1996206719482356</v>
      </c>
      <c r="AU39">
        <f t="shared" si="30"/>
        <v>18</v>
      </c>
      <c r="AV39" s="542">
        <f t="shared" si="42"/>
        <v>0.93751852224346544</v>
      </c>
      <c r="AW39" s="551">
        <f t="shared" si="31"/>
        <v>8.8076287255114938</v>
      </c>
      <c r="AX39" s="551">
        <f t="shared" si="32"/>
        <v>4.6193337077152137</v>
      </c>
      <c r="AY39" s="9"/>
      <c r="AZ39" s="4">
        <f t="shared" si="43"/>
        <v>93.75185222434655</v>
      </c>
      <c r="BA39" s="360">
        <f t="shared" si="33"/>
        <v>0.40341776372565091</v>
      </c>
      <c r="BB39" s="360">
        <f t="shared" si="44"/>
        <v>0.35512311666386076</v>
      </c>
      <c r="BC39" s="360">
        <f t="shared" si="45"/>
        <v>0.23177970330293404</v>
      </c>
      <c r="BD39" s="360">
        <f t="shared" si="46"/>
        <v>0.12156141336092668</v>
      </c>
      <c r="BE39" s="360">
        <f t="shared" si="47"/>
        <v>8.014757455685971E-2</v>
      </c>
    </row>
    <row r="40" spans="1:57" x14ac:dyDescent="0.25">
      <c r="A40" s="23" t="s">
        <v>120</v>
      </c>
      <c r="B40" s="5">
        <f>Qgd_Q3*1000000000</f>
        <v>1.4</v>
      </c>
      <c r="C40" s="440" t="s">
        <v>65</v>
      </c>
      <c r="D40" s="21" t="s">
        <v>121</v>
      </c>
      <c r="G40">
        <v>31</v>
      </c>
      <c r="H40" s="548">
        <f t="shared" si="0"/>
        <v>45</v>
      </c>
      <c r="I40" s="4">
        <f t="shared" si="1"/>
        <v>2</v>
      </c>
      <c r="J40" s="360">
        <f t="shared" si="34"/>
        <v>3.72</v>
      </c>
      <c r="K40" s="4">
        <f t="shared" si="2"/>
        <v>0.45925925925925931</v>
      </c>
      <c r="L40" s="4"/>
      <c r="M40" s="360">
        <f t="shared" si="3"/>
        <v>0.11163310210427509</v>
      </c>
      <c r="N40" s="4">
        <f t="shared" si="4"/>
        <v>9.2164381356051575</v>
      </c>
      <c r="O40" s="4">
        <f t="shared" si="35"/>
        <v>8.3282190678025785</v>
      </c>
      <c r="P40" s="4">
        <f t="shared" si="36"/>
        <v>-0.88821906780257853</v>
      </c>
      <c r="Q40" s="4">
        <f t="shared" si="5"/>
        <v>9.2861376665193784</v>
      </c>
      <c r="R40" s="4">
        <f t="shared" si="6"/>
        <v>4.5735064220230877</v>
      </c>
      <c r="S40" s="360">
        <f t="shared" si="7"/>
        <v>0.10458480496143213</v>
      </c>
      <c r="T40" s="360">
        <f t="shared" si="8"/>
        <v>0.3</v>
      </c>
      <c r="U40" s="360">
        <f t="shared" si="9"/>
        <v>0.40799843994271023</v>
      </c>
      <c r="V40" s="4">
        <f t="shared" si="37"/>
        <v>2.6605565192805853</v>
      </c>
      <c r="W40" s="360">
        <f t="shared" si="10"/>
        <v>1.4157121984572849E-2</v>
      </c>
      <c r="X40" s="360">
        <f t="shared" si="38"/>
        <v>1.4157121984572849E-2</v>
      </c>
      <c r="Y40" s="4">
        <f t="shared" si="11"/>
        <v>1.4402635629941494</v>
      </c>
      <c r="Z40" s="360">
        <f t="shared" si="12"/>
        <v>3.1115386963329033E-3</v>
      </c>
      <c r="AA40" s="541">
        <f t="shared" si="39"/>
        <v>3.1115386963329033E-3</v>
      </c>
      <c r="AB40" s="360">
        <f t="shared" si="13"/>
        <v>1.5280789384593487</v>
      </c>
      <c r="AC40" s="360">
        <f t="shared" si="14"/>
        <v>1.4010151452978301E-2</v>
      </c>
      <c r="AD40" s="360">
        <f t="shared" si="15"/>
        <v>6.7341125029768981E-2</v>
      </c>
      <c r="AE40" s="360">
        <f t="shared" si="16"/>
        <v>2.7081233889897121E-2</v>
      </c>
      <c r="AF40" s="360">
        <f t="shared" si="17"/>
        <v>1.9150003101823588E-3</v>
      </c>
      <c r="AG40" s="360">
        <f t="shared" si="18"/>
        <v>0.11058300194283907</v>
      </c>
      <c r="AH40" s="360">
        <f t="shared" si="19"/>
        <v>4.3106769480121532</v>
      </c>
      <c r="AI40" s="360">
        <f t="shared" si="20"/>
        <v>4.6454839375308428E-2</v>
      </c>
      <c r="AJ40" s="360">
        <f t="shared" si="21"/>
        <v>1.7955640310182357E-2</v>
      </c>
      <c r="AK40" s="360">
        <f t="shared" si="22"/>
        <v>6.501452757257993E-2</v>
      </c>
      <c r="AL40" s="360">
        <f t="shared" si="23"/>
        <v>1.6040640000000002E-2</v>
      </c>
      <c r="AM40" s="360">
        <f t="shared" si="24"/>
        <v>0.18413999999999997</v>
      </c>
      <c r="AN40" s="360">
        <f t="shared" si="25"/>
        <v>8.3667843969145714E-2</v>
      </c>
      <c r="AO40" s="360">
        <f t="shared" si="26"/>
        <v>1.5749999999999998E-3</v>
      </c>
      <c r="AP40" s="360">
        <f t="shared" si="27"/>
        <v>0.32669999999999993</v>
      </c>
      <c r="AQ40" s="360">
        <f t="shared" si="28"/>
        <v>0.31218000000000001</v>
      </c>
      <c r="AR40" s="360">
        <f t="shared" si="29"/>
        <v>0.29039999999999999</v>
      </c>
      <c r="AS40" s="360">
        <f t="shared" si="48"/>
        <v>0.32827499999999993</v>
      </c>
      <c r="AT40" s="360">
        <f t="shared" si="41"/>
        <v>1.2129881141081806</v>
      </c>
      <c r="AU40">
        <f t="shared" si="30"/>
        <v>18.600000000000001</v>
      </c>
      <c r="AV40" s="542">
        <f t="shared" si="42"/>
        <v>0.93877813345860472</v>
      </c>
      <c r="AW40" s="551">
        <f t="shared" si="31"/>
        <v>8.8203852738278847</v>
      </c>
      <c r="AX40" s="551">
        <f t="shared" si="32"/>
        <v>4.7796676477580364</v>
      </c>
      <c r="AY40" s="9"/>
      <c r="AZ40" s="4">
        <f t="shared" si="43"/>
        <v>93.877813345860474</v>
      </c>
      <c r="BA40" s="360">
        <f t="shared" si="33"/>
        <v>0.40799843994271023</v>
      </c>
      <c r="BB40" s="360">
        <f t="shared" si="44"/>
        <v>0.35973752951541899</v>
      </c>
      <c r="BC40" s="360">
        <f t="shared" si="45"/>
        <v>0.23211540194283906</v>
      </c>
      <c r="BD40" s="360">
        <f t="shared" si="46"/>
        <v>0.12578072757257991</v>
      </c>
      <c r="BE40" s="360">
        <f t="shared" si="47"/>
        <v>8.3667843969145714E-2</v>
      </c>
    </row>
    <row r="41" spans="1:57" x14ac:dyDescent="0.25">
      <c r="A41" s="23" t="s">
        <v>124</v>
      </c>
      <c r="B41" s="5">
        <f>Qgs_Q3*1000000000</f>
        <v>3.8000000000000003</v>
      </c>
      <c r="C41" s="440" t="s">
        <v>65</v>
      </c>
      <c r="D41" s="21"/>
      <c r="G41">
        <v>32</v>
      </c>
      <c r="H41" s="548">
        <f t="shared" si="0"/>
        <v>45</v>
      </c>
      <c r="I41" s="4">
        <f t="shared" ref="I41:I72" si="49">MODE</f>
        <v>2</v>
      </c>
      <c r="J41" s="360">
        <f t="shared" si="34"/>
        <v>3.84</v>
      </c>
      <c r="K41" s="4">
        <f t="shared" ref="K41:K72" si="50">Vout2*J41/(Vin*Efficiency)</f>
        <v>0.47407407407407404</v>
      </c>
      <c r="L41" s="4"/>
      <c r="M41" s="360">
        <f t="shared" ref="M41:M72" si="51">(Vout2+(Rdson4+Rs+Rdcr)*J41)/(Vin+(Rs+Rdson2-Rdson1)*J41)</f>
        <v>0.11164993736287018</v>
      </c>
      <c r="N41" s="4">
        <f t="shared" ref="N41:N72" si="52">(Vin-(Rdson3+Rdcr2)*J41-Vout2)*M41/(Fsw*Lo_2)</f>
        <v>9.2175235561169409</v>
      </c>
      <c r="O41" s="4">
        <f t="shared" si="35"/>
        <v>8.4487617780584703</v>
      </c>
      <c r="P41" s="4">
        <f t="shared" si="36"/>
        <v>-0.76876177805847057</v>
      </c>
      <c r="Q41" s="4">
        <f t="shared" ref="Q41:Q72" si="53">IF(MIN(Vin, -P41/(Coss_Q3+Coss_Q4)*0.00000002)&lt;0, 0, MIN(Vin, -P41/(Coss_Q3+Coss_Q4)*0.00000002))</f>
        <v>8.0372376169207591</v>
      </c>
      <c r="R41" s="4">
        <f t="shared" ref="R41:R72" si="54">SQRT(J41^2+(N41^2)/12)</f>
        <v>4.6718121083398563</v>
      </c>
      <c r="S41" s="360">
        <f t="shared" ref="S41:S72" si="55">R41^2*Rdcr2</f>
        <v>0.10912914187815446</v>
      </c>
      <c r="T41" s="360">
        <f t="shared" ref="T41:T72" si="56">Core_Loss_Ch1</f>
        <v>0.3</v>
      </c>
      <c r="U41" s="360">
        <f t="shared" ref="U41:U72" si="57">(T41+S41*(1+Ltc*(Ta-25)))/(1-S41*Ltc*ThetaCa)</f>
        <v>0.41273243277527838</v>
      </c>
      <c r="V41" s="4">
        <f t="shared" si="37"/>
        <v>2.6608698531929162</v>
      </c>
      <c r="W41" s="360">
        <f t="shared" ref="W41:W72" si="58">Cout2_ESR*V41^2</f>
        <v>1.4160456751261784E-2</v>
      </c>
      <c r="X41" s="360">
        <f t="shared" si="38"/>
        <v>1.4160456751261784E-2</v>
      </c>
      <c r="Y41" s="4">
        <f t="shared" ref="Y41:Y72" si="59">SQRT(M41*(1-M41))*SQRT(J41^2+(N41^2)/12)</f>
        <v>1.4713184415495055</v>
      </c>
      <c r="Z41" s="360">
        <f t="shared" si="12"/>
        <v>3.2471669346654983E-3</v>
      </c>
      <c r="AA41" s="541">
        <f t="shared" si="39"/>
        <v>3.2471669346654983E-3</v>
      </c>
      <c r="AB41" s="360">
        <f t="shared" ref="AB41:AB72" si="60">SQRT(M41)*SQRT(J41^2+(N41^2)/12)</f>
        <v>1.5610420785590451</v>
      </c>
      <c r="AC41" s="360">
        <f t="shared" ref="AC41:AC72" si="61">Rdson3*AB41^2</f>
        <v>1.4621114226191664E-2</v>
      </c>
      <c r="AD41" s="360">
        <f t="shared" ref="AD41:AD72" si="62">(Vin*J41/2)*Fsw*(Tr_Ch2+Tf_Ch2)</f>
        <v>6.9513419385567973E-2</v>
      </c>
      <c r="AE41" s="360">
        <f t="shared" ref="AE41:AE72" si="63">(0.5*Coss_Q3*(Vin-Q41)^2-0.5*Coss_Q4*(Vin-Q41)^2+(Qoss_Q4*(Vin-Q41)/Vin)*Vin)*Fsw</f>
        <v>2.0477405733579489E-2</v>
      </c>
      <c r="AF41" s="360">
        <f t="shared" ref="AF41:AF72" si="64">IF(J41&gt;N41/2,0,ABS(J41-N41/2)*Vsd_Q3*Deadtime*Fsw)</f>
        <v>1.6574503934940624E-3</v>
      </c>
      <c r="AG41" s="360">
        <f t="shared" ref="AG41:AG72" si="65">(AF41+AE41+AD41+AC41*(1+RdsonTopTc*Ta-RdsonTopTc*25))/(1-AC41*RdsonTopTc*ThetaJA_Q2)</f>
        <v>0.10650608987011113</v>
      </c>
      <c r="AH41" s="360">
        <f t="shared" ref="AH41:AH72" si="66">SQRT((1-M41))*SQRT(J41^2+(N41^2)/12)</f>
        <v>4.4032914966646199</v>
      </c>
      <c r="AI41" s="360">
        <f t="shared" ref="AI41:AI72" si="67">Rdson4*AH41^2</f>
        <v>4.8472440011497371E-2</v>
      </c>
      <c r="AJ41" s="360">
        <f t="shared" ref="AJ41:AJ72" si="68">IF(J41&lt;N41/2,Deadtime*Fsw*IF(VfdSky_Q4&gt;0,0,Vsd_Q4)*(J41+N41/2),2*Deadtime*Fsw*IF(VfdSky_Q4&gt;0,0,Vsd_Q4)*J41)</f>
        <v>1.8215530393494061E-2</v>
      </c>
      <c r="AK41" s="360">
        <f t="shared" ref="AK41:AK72" si="69">(AJ41+AI41*(1+RdsonBotTc*Ta-RdsonBotTc*25))/(1-AI41*RdsonBotTc*ThetaJA_Q3)</f>
        <v>6.7340805031433845E-2</v>
      </c>
      <c r="AL41" s="360">
        <f t="shared" ref="AL41:AL72" si="70">2*Deadtime*Fsw*IF(VfdSky_Q4&gt;0,VfdSky_Q4,Vsd_Q4)*J41</f>
        <v>1.6558079999999999E-2</v>
      </c>
      <c r="AM41" s="360">
        <f t="shared" ref="AM41:AM72" si="71">IF(QrrSky_Q4&gt;0,QrrSky_Q4,Qrr_Q4*J41/Iout2)*Fsw*Vin</f>
        <v>0.19007999999999997</v>
      </c>
      <c r="AN41" s="360">
        <f t="shared" ref="AN41:AN72" si="72">CHOOSE(SENSING_TYPE, Rs_Ch2*R41^2, 0)</f>
        <v>8.7303313502523572E-2</v>
      </c>
      <c r="AO41" s="360">
        <f t="shared" ref="AO41:AO72" si="73">Iq*Vin</f>
        <v>1.5749999999999998E-3</v>
      </c>
      <c r="AP41" s="360">
        <f t="shared" ref="AP41:AP72" si="74">IF(Ext_VCC=1,  (Qg_Q3+Qg_Q4)*Fsw*VCC, (Qg_Q3+Qg_Q4)*Fsw*Vin)</f>
        <v>0.32669999999999993</v>
      </c>
      <c r="AQ41" s="360">
        <f t="shared" ref="AQ41:AQ72" si="75">(Vin-VCC)*Fsw*(Qg_Q3+Qg_Q4)+(RdsonDRT+RdsonDRT2)*Fsw*Qg_Q3*VCC/(RdsonDRT+2*Rgate3+RdsonDRT2)+(RdsonDRB+RdsonDRB2)*Fsw*Qg_Q4*VCC/(RdsonDRB+2*Rgate4+RdsonDRB2)</f>
        <v>0.31218000000000001</v>
      </c>
      <c r="AR41" s="360">
        <f t="shared" ref="AR41:AR72" si="76">(Qg_Q3+Qg_Q4)*Fsw*(Vin-VCC)</f>
        <v>0.29039999999999999</v>
      </c>
      <c r="AS41" s="360">
        <f t="shared" si="48"/>
        <v>0.32827499999999993</v>
      </c>
      <c r="AT41" s="360">
        <f t="shared" si="41"/>
        <v>1.226203344865274</v>
      </c>
      <c r="AU41">
        <f t="shared" ref="AU41:AU72" si="77">Vout2*J41</f>
        <v>19.2</v>
      </c>
      <c r="AV41" s="542">
        <f t="shared" si="42"/>
        <v>0.939969101248886</v>
      </c>
      <c r="AW41" s="551">
        <f t="shared" ref="AW41:AW72" si="78">ThetaJA_Q1*BC41</f>
        <v>8.8144378150642222</v>
      </c>
      <c r="AX41" s="551">
        <f t="shared" ref="AX41:AX72" si="79">ThetaJA_Q2*BD41</f>
        <v>4.9425537911944852</v>
      </c>
      <c r="AY41" s="9"/>
      <c r="AZ41" s="4">
        <f t="shared" si="43"/>
        <v>93.996910124888601</v>
      </c>
      <c r="BA41" s="360">
        <f t="shared" ref="BA41:BA72" si="80">U41</f>
        <v>0.41273243277527838</v>
      </c>
      <c r="BB41" s="360">
        <f t="shared" si="44"/>
        <v>0.36392689490154495</v>
      </c>
      <c r="BC41" s="360">
        <f t="shared" si="45"/>
        <v>0.2319588898701111</v>
      </c>
      <c r="BD41" s="360">
        <f t="shared" si="46"/>
        <v>0.13006720503143382</v>
      </c>
      <c r="BE41" s="360">
        <f t="shared" si="47"/>
        <v>8.7303313502523572E-2</v>
      </c>
    </row>
    <row r="42" spans="1:57" x14ac:dyDescent="0.25">
      <c r="A42" s="23" t="s">
        <v>90</v>
      </c>
      <c r="B42" s="5">
        <f>Rgate3</f>
        <v>0.5</v>
      </c>
      <c r="C42" s="444" t="s">
        <v>116</v>
      </c>
      <c r="D42" s="21" t="s">
        <v>100</v>
      </c>
      <c r="G42">
        <v>33</v>
      </c>
      <c r="H42" s="548">
        <f t="shared" si="0"/>
        <v>45</v>
      </c>
      <c r="I42" s="4">
        <f t="shared" si="49"/>
        <v>2</v>
      </c>
      <c r="J42" s="360">
        <f t="shared" ref="J42:J73" si="81">Iout2*G42/100</f>
        <v>3.96</v>
      </c>
      <c r="K42" s="4">
        <f t="shared" si="50"/>
        <v>0.48888888888888893</v>
      </c>
      <c r="L42" s="4"/>
      <c r="M42" s="360">
        <f t="shared" si="51"/>
        <v>0.11166677242396983</v>
      </c>
      <c r="N42" s="4">
        <f t="shared" si="52"/>
        <v>9.2186088684958776</v>
      </c>
      <c r="O42" s="4">
        <f t="shared" si="35"/>
        <v>8.5693044342479396</v>
      </c>
      <c r="P42" s="4">
        <f t="shared" si="36"/>
        <v>-0.64930443424793882</v>
      </c>
      <c r="Q42" s="4">
        <f t="shared" si="53"/>
        <v>6.788337002069408</v>
      </c>
      <c r="R42" s="4">
        <f t="shared" si="54"/>
        <v>4.7711105404499454</v>
      </c>
      <c r="S42" s="360">
        <f t="shared" si="55"/>
        <v>0.11381747894596286</v>
      </c>
      <c r="T42" s="360">
        <f t="shared" si="56"/>
        <v>0.3</v>
      </c>
      <c r="U42" s="360">
        <f t="shared" si="57"/>
        <v>0.41762007608332491</v>
      </c>
      <c r="V42" s="4">
        <f t="shared" si="37"/>
        <v>2.6611831558899834</v>
      </c>
      <c r="W42" s="360">
        <f t="shared" si="58"/>
        <v>1.4163791578385144E-2</v>
      </c>
      <c r="X42" s="360">
        <f t="shared" si="38"/>
        <v>1.4163791578385144E-2</v>
      </c>
      <c r="Y42" s="4">
        <f t="shared" si="59"/>
        <v>1.5026900612258125</v>
      </c>
      <c r="Z42" s="360">
        <f t="shared" si="12"/>
        <v>3.387116130160254E-3</v>
      </c>
      <c r="AA42" s="541">
        <f t="shared" si="39"/>
        <v>3.387116130160254E-3</v>
      </c>
      <c r="AB42" s="360">
        <f t="shared" si="60"/>
        <v>1.5943419030640078</v>
      </c>
      <c r="AC42" s="360">
        <f t="shared" si="61"/>
        <v>1.5251556623194572E-2</v>
      </c>
      <c r="AD42" s="360">
        <f t="shared" si="62"/>
        <v>7.168571374136698E-2</v>
      </c>
      <c r="AE42" s="360">
        <f t="shared" si="63"/>
        <v>1.3363317190584412E-2</v>
      </c>
      <c r="AF42" s="360">
        <f t="shared" si="64"/>
        <v>1.3999003602385559E-3</v>
      </c>
      <c r="AG42" s="360">
        <f t="shared" si="65"/>
        <v>0.10193680154028774</v>
      </c>
      <c r="AH42" s="360">
        <f t="shared" si="66"/>
        <v>4.4968399666128667</v>
      </c>
      <c r="AI42" s="360">
        <f t="shared" si="67"/>
        <v>5.0553924213317024E-2</v>
      </c>
      <c r="AJ42" s="360">
        <f t="shared" si="68"/>
        <v>1.8475420360238557E-2</v>
      </c>
      <c r="AK42" s="360">
        <f t="shared" si="69"/>
        <v>6.9734414231984343E-2</v>
      </c>
      <c r="AL42" s="360">
        <f t="shared" si="70"/>
        <v>1.707552E-2</v>
      </c>
      <c r="AM42" s="360">
        <f t="shared" si="71"/>
        <v>0.19601999999999997</v>
      </c>
      <c r="AN42" s="360">
        <f t="shared" si="72"/>
        <v>9.1053983156770282E-2</v>
      </c>
      <c r="AO42" s="360">
        <f t="shared" si="73"/>
        <v>1.5749999999999998E-3</v>
      </c>
      <c r="AP42" s="360">
        <f t="shared" si="74"/>
        <v>0.32669999999999993</v>
      </c>
      <c r="AQ42" s="360">
        <f t="shared" si="75"/>
        <v>0.31218000000000001</v>
      </c>
      <c r="AR42" s="360">
        <f t="shared" si="76"/>
        <v>0.29039999999999999</v>
      </c>
      <c r="AS42" s="360">
        <f t="shared" si="48"/>
        <v>0.32827499999999993</v>
      </c>
      <c r="AT42" s="360">
        <f t="shared" si="41"/>
        <v>1.2392667027209125</v>
      </c>
      <c r="AU42">
        <f t="shared" si="77"/>
        <v>19.8</v>
      </c>
      <c r="AV42" s="542">
        <f t="shared" si="42"/>
        <v>0.94109743841211713</v>
      </c>
      <c r="AW42" s="551">
        <f t="shared" si="78"/>
        <v>8.7897800585309351</v>
      </c>
      <c r="AX42" s="551">
        <f t="shared" si="79"/>
        <v>5.1079985408154043</v>
      </c>
      <c r="AY42" s="9"/>
      <c r="AZ42" s="4">
        <f t="shared" si="43"/>
        <v>94.10974384121171</v>
      </c>
      <c r="BA42" s="360">
        <f t="shared" si="80"/>
        <v>0.41762007608332491</v>
      </c>
      <c r="BB42" s="360">
        <f t="shared" si="44"/>
        <v>0.36769121577227204</v>
      </c>
      <c r="BC42" s="360">
        <f t="shared" si="45"/>
        <v>0.23131000154028775</v>
      </c>
      <c r="BD42" s="360">
        <f t="shared" si="46"/>
        <v>0.13442101423198433</v>
      </c>
      <c r="BE42" s="360">
        <f t="shared" si="47"/>
        <v>9.1053983156770282E-2</v>
      </c>
    </row>
    <row r="43" spans="1:57" x14ac:dyDescent="0.25">
      <c r="A43" s="23" t="s">
        <v>69</v>
      </c>
      <c r="B43" s="5">
        <f>Gfs_Q3</f>
        <v>64</v>
      </c>
      <c r="C43" s="440" t="s">
        <v>66</v>
      </c>
      <c r="D43" s="21" t="s">
        <v>101</v>
      </c>
      <c r="G43">
        <v>34</v>
      </c>
      <c r="H43" s="548">
        <f t="shared" si="0"/>
        <v>45</v>
      </c>
      <c r="I43" s="4">
        <f t="shared" si="49"/>
        <v>2</v>
      </c>
      <c r="J43" s="360">
        <f t="shared" si="81"/>
        <v>4.08</v>
      </c>
      <c r="K43" s="4">
        <f t="shared" si="50"/>
        <v>0.50370370370370365</v>
      </c>
      <c r="L43" s="4"/>
      <c r="M43" s="360">
        <f t="shared" si="51"/>
        <v>0.11168360728757748</v>
      </c>
      <c r="N43" s="4">
        <f t="shared" si="52"/>
        <v>9.2196940727438701</v>
      </c>
      <c r="O43" s="4">
        <f t="shared" si="35"/>
        <v>8.6898470363719351</v>
      </c>
      <c r="P43" s="4">
        <f t="shared" si="36"/>
        <v>-0.52984703637193498</v>
      </c>
      <c r="Q43" s="4">
        <f t="shared" si="53"/>
        <v>5.5394358219752746</v>
      </c>
      <c r="R43" s="4">
        <f t="shared" si="54"/>
        <v>4.8713410097134142</v>
      </c>
      <c r="S43" s="360">
        <f t="shared" si="55"/>
        <v>0.11864981616457852</v>
      </c>
      <c r="T43" s="360">
        <f t="shared" si="56"/>
        <v>0.3</v>
      </c>
      <c r="U43" s="360">
        <f t="shared" si="57"/>
        <v>0.42266171494683835</v>
      </c>
      <c r="V43" s="4">
        <f t="shared" si="37"/>
        <v>2.6614964273723354</v>
      </c>
      <c r="W43" s="360">
        <f t="shared" si="58"/>
        <v>1.416712646583141E-2</v>
      </c>
      <c r="X43" s="360">
        <f t="shared" si="38"/>
        <v>1.416712646583141E-2</v>
      </c>
      <c r="Y43" s="4">
        <f t="shared" si="59"/>
        <v>1.5343593612880873</v>
      </c>
      <c r="Z43" s="360">
        <f t="shared" si="12"/>
        <v>3.5313879743585808E-3</v>
      </c>
      <c r="AA43" s="541">
        <f t="shared" si="39"/>
        <v>3.5313879743585808E-3</v>
      </c>
      <c r="AB43" s="360">
        <f t="shared" si="60"/>
        <v>1.6279581980670172</v>
      </c>
      <c r="AC43" s="360">
        <f t="shared" si="61"/>
        <v>1.5901487367921657E-2</v>
      </c>
      <c r="AD43" s="360">
        <f t="shared" si="62"/>
        <v>7.3858008097165986E-2</v>
      </c>
      <c r="AE43" s="360">
        <f t="shared" si="63"/>
        <v>5.7389675681464979E-3</v>
      </c>
      <c r="AF43" s="360">
        <f t="shared" si="64"/>
        <v>1.1423502104178918E-3</v>
      </c>
      <c r="AG43" s="360">
        <f t="shared" si="65"/>
        <v>9.6874962554638261E-2</v>
      </c>
      <c r="AH43" s="360">
        <f t="shared" si="66"/>
        <v>4.5912651130447797</v>
      </c>
      <c r="AI43" s="360">
        <f t="shared" si="67"/>
        <v>5.2699288345655237E-2</v>
      </c>
      <c r="AJ43" s="360">
        <f t="shared" si="68"/>
        <v>1.8735310210417893E-2</v>
      </c>
      <c r="AK43" s="360">
        <f t="shared" si="69"/>
        <v>7.2195529157743341E-2</v>
      </c>
      <c r="AL43" s="360">
        <f t="shared" si="70"/>
        <v>1.7592960000000001E-2</v>
      </c>
      <c r="AM43" s="360">
        <f t="shared" si="71"/>
        <v>0.20196</v>
      </c>
      <c r="AN43" s="360">
        <f t="shared" si="72"/>
        <v>9.4919852931662815E-2</v>
      </c>
      <c r="AO43" s="360">
        <f t="shared" si="73"/>
        <v>1.5749999999999998E-3</v>
      </c>
      <c r="AP43" s="360">
        <f t="shared" si="74"/>
        <v>0.32669999999999993</v>
      </c>
      <c r="AQ43" s="360">
        <f t="shared" si="75"/>
        <v>0.31218000000000001</v>
      </c>
      <c r="AR43" s="360">
        <f t="shared" si="76"/>
        <v>0.29039999999999999</v>
      </c>
      <c r="AS43" s="360">
        <f t="shared" si="48"/>
        <v>0.32827499999999993</v>
      </c>
      <c r="AT43" s="360">
        <f t="shared" si="41"/>
        <v>1.2521785340310727</v>
      </c>
      <c r="AU43">
        <f t="shared" si="77"/>
        <v>20.399999999999999</v>
      </c>
      <c r="AV43" s="542">
        <f t="shared" si="42"/>
        <v>0.94216847362204204</v>
      </c>
      <c r="AW43" s="551">
        <f t="shared" si="78"/>
        <v>8.746405377076254</v>
      </c>
      <c r="AX43" s="551">
        <f t="shared" si="79"/>
        <v>5.2760085079942476</v>
      </c>
      <c r="AY43" s="9"/>
      <c r="AZ43" s="4">
        <f t="shared" si="43"/>
        <v>94.216847362204206</v>
      </c>
      <c r="BA43" s="360">
        <f t="shared" si="80"/>
        <v>0.42266171494683835</v>
      </c>
      <c r="BB43" s="360">
        <f t="shared" si="44"/>
        <v>0.37103049171238156</v>
      </c>
      <c r="BC43" s="360">
        <f t="shared" si="45"/>
        <v>0.23016856255463827</v>
      </c>
      <c r="BD43" s="360">
        <f t="shared" si="46"/>
        <v>0.13884232915774336</v>
      </c>
      <c r="BE43" s="360">
        <f t="shared" si="47"/>
        <v>9.4919852931662815E-2</v>
      </c>
    </row>
    <row r="44" spans="1:57" x14ac:dyDescent="0.25">
      <c r="A44" s="23" t="s">
        <v>92</v>
      </c>
      <c r="B44" s="5">
        <f>Vth_Q3</f>
        <v>2.9</v>
      </c>
      <c r="C44" s="440" t="s">
        <v>0</v>
      </c>
      <c r="D44" s="21" t="s">
        <v>102</v>
      </c>
      <c r="G44">
        <v>35</v>
      </c>
      <c r="H44" s="548">
        <f t="shared" si="0"/>
        <v>45</v>
      </c>
      <c r="I44" s="4">
        <f t="shared" si="49"/>
        <v>2</v>
      </c>
      <c r="J44" s="360">
        <f t="shared" si="81"/>
        <v>4.2</v>
      </c>
      <c r="K44" s="4">
        <f t="shared" si="50"/>
        <v>0.51851851851851849</v>
      </c>
      <c r="L44" s="4"/>
      <c r="M44" s="360">
        <f t="shared" si="51"/>
        <v>0.11170044195369662</v>
      </c>
      <c r="N44" s="4">
        <f t="shared" si="52"/>
        <v>9.2207791688628173</v>
      </c>
      <c r="O44" s="4">
        <f t="shared" si="35"/>
        <v>8.8103895844314088</v>
      </c>
      <c r="P44" s="4">
        <f t="shared" si="36"/>
        <v>-0.41038958443140849</v>
      </c>
      <c r="Q44" s="4">
        <f t="shared" si="53"/>
        <v>4.2905340766482851</v>
      </c>
      <c r="R44" s="4">
        <f t="shared" si="54"/>
        <v>4.9724471547462965</v>
      </c>
      <c r="S44" s="360">
        <f t="shared" si="55"/>
        <v>0.12362615353372271</v>
      </c>
      <c r="T44" s="360">
        <f t="shared" si="56"/>
        <v>0.3</v>
      </c>
      <c r="U44" s="360">
        <f t="shared" si="57"/>
        <v>0.42785770572722831</v>
      </c>
      <c r="V44" s="4">
        <f t="shared" si="37"/>
        <v>2.661809667640521</v>
      </c>
      <c r="W44" s="360">
        <f t="shared" si="58"/>
        <v>1.417046141348908E-2</v>
      </c>
      <c r="X44" s="360">
        <f t="shared" si="38"/>
        <v>1.417046141348908E-2</v>
      </c>
      <c r="Y44" s="4">
        <f t="shared" si="59"/>
        <v>1.5663086453219313</v>
      </c>
      <c r="Z44" s="360">
        <f t="shared" si="12"/>
        <v>3.6799841586153351E-3</v>
      </c>
      <c r="AA44" s="541">
        <f t="shared" si="39"/>
        <v>3.6799841586153351E-3</v>
      </c>
      <c r="AB44" s="360">
        <f t="shared" si="60"/>
        <v>1.6618721964550931</v>
      </c>
      <c r="AC44" s="360">
        <f t="shared" si="61"/>
        <v>1.6570915184102853E-2</v>
      </c>
      <c r="AD44" s="360">
        <f t="shared" si="62"/>
        <v>7.6030302452964979E-2</v>
      </c>
      <c r="AE44" s="360">
        <f t="shared" si="63"/>
        <v>-2.3956438264835967E-3</v>
      </c>
      <c r="AF44" s="360">
        <f t="shared" si="64"/>
        <v>8.8479994403411664E-4</v>
      </c>
      <c r="AG44" s="360">
        <f t="shared" si="65"/>
        <v>9.1320389644187039E-2</v>
      </c>
      <c r="AH44" s="360">
        <f t="shared" si="66"/>
        <v>4.6865137905904071</v>
      </c>
      <c r="AI44" s="360">
        <f t="shared" si="67"/>
        <v>5.490852877348517E-2</v>
      </c>
      <c r="AJ44" s="360">
        <f t="shared" si="68"/>
        <v>1.8995199944034116E-2</v>
      </c>
      <c r="AK44" s="360">
        <f t="shared" si="69"/>
        <v>7.4724329314771187E-2</v>
      </c>
      <c r="AL44" s="360">
        <f t="shared" si="70"/>
        <v>1.8110399999999999E-2</v>
      </c>
      <c r="AM44" s="360">
        <f t="shared" si="71"/>
        <v>0.2079</v>
      </c>
      <c r="AN44" s="360">
        <f t="shared" si="72"/>
        <v>9.8900922826978169E-2</v>
      </c>
      <c r="AO44" s="360">
        <f t="shared" si="73"/>
        <v>1.5749999999999998E-3</v>
      </c>
      <c r="AP44" s="360">
        <f t="shared" si="74"/>
        <v>0.32669999999999993</v>
      </c>
      <c r="AQ44" s="360">
        <f t="shared" si="75"/>
        <v>0.31218000000000001</v>
      </c>
      <c r="AR44" s="360">
        <f t="shared" si="76"/>
        <v>0.29039999999999999</v>
      </c>
      <c r="AS44" s="360">
        <f t="shared" si="48"/>
        <v>0.32827499999999993</v>
      </c>
      <c r="AT44" s="360">
        <f t="shared" si="41"/>
        <v>1.2649391930852691</v>
      </c>
      <c r="AU44">
        <f t="shared" si="77"/>
        <v>21</v>
      </c>
      <c r="AV44" s="542">
        <f t="shared" si="42"/>
        <v>0.94318694598195374</v>
      </c>
      <c r="AW44" s="551">
        <f t="shared" si="78"/>
        <v>8.6843068064791069</v>
      </c>
      <c r="AX44" s="551">
        <f t="shared" si="79"/>
        <v>5.4465905139613051</v>
      </c>
      <c r="AY44" s="9"/>
      <c r="AZ44" s="4">
        <f t="shared" si="43"/>
        <v>94.318694598195378</v>
      </c>
      <c r="BA44" s="360">
        <f t="shared" si="80"/>
        <v>0.42785770572722831</v>
      </c>
      <c r="BB44" s="360">
        <f t="shared" si="44"/>
        <v>0.3739447189589582</v>
      </c>
      <c r="BC44" s="360">
        <f t="shared" si="45"/>
        <v>0.22853438964418704</v>
      </c>
      <c r="BD44" s="360">
        <f t="shared" si="46"/>
        <v>0.14333132931477119</v>
      </c>
      <c r="BE44" s="360">
        <f t="shared" si="47"/>
        <v>9.8900922826978169E-2</v>
      </c>
    </row>
    <row r="45" spans="1:57" x14ac:dyDescent="0.25">
      <c r="A45" s="28" t="s">
        <v>123</v>
      </c>
      <c r="B45" s="447">
        <f>Vsp_Q3</f>
        <v>3.0874999999999999</v>
      </c>
      <c r="C45" s="445" t="s">
        <v>0</v>
      </c>
      <c r="G45">
        <v>36</v>
      </c>
      <c r="H45" s="548">
        <f t="shared" si="0"/>
        <v>45</v>
      </c>
      <c r="I45" s="4">
        <f t="shared" si="49"/>
        <v>2</v>
      </c>
      <c r="J45" s="360">
        <f t="shared" si="81"/>
        <v>4.32</v>
      </c>
      <c r="K45" s="4">
        <f t="shared" si="50"/>
        <v>0.53333333333333333</v>
      </c>
      <c r="L45" s="4"/>
      <c r="M45" s="360">
        <f t="shared" si="51"/>
        <v>0.1117172764223307</v>
      </c>
      <c r="N45" s="4">
        <f t="shared" si="52"/>
        <v>9.2218641568546253</v>
      </c>
      <c r="O45" s="4">
        <f t="shared" si="35"/>
        <v>8.930932078427313</v>
      </c>
      <c r="P45" s="4">
        <f t="shared" si="36"/>
        <v>-0.29093207842731239</v>
      </c>
      <c r="Q45" s="4">
        <f t="shared" si="53"/>
        <v>3.0416317660984045</v>
      </c>
      <c r="R45" s="4">
        <f t="shared" si="54"/>
        <v>5.074376632712962</v>
      </c>
      <c r="S45" s="360">
        <f t="shared" si="55"/>
        <v>0.1287464910531167</v>
      </c>
      <c r="T45" s="360">
        <f t="shared" si="56"/>
        <v>0.3</v>
      </c>
      <c r="U45" s="360">
        <f t="shared" si="57"/>
        <v>0.4332084161308386</v>
      </c>
      <c r="V45" s="4">
        <f t="shared" si="37"/>
        <v>2.66212287669509</v>
      </c>
      <c r="W45" s="360">
        <f t="shared" si="58"/>
        <v>1.4173796421246682E-2</v>
      </c>
      <c r="X45" s="360">
        <f t="shared" si="38"/>
        <v>1.4173796421246682E-2</v>
      </c>
      <c r="Y45" s="4">
        <f t="shared" si="59"/>
        <v>1.5985214781371839</v>
      </c>
      <c r="Z45" s="360">
        <f t="shared" si="12"/>
        <v>3.832906374098831E-3</v>
      </c>
      <c r="AA45" s="541">
        <f t="shared" si="39"/>
        <v>3.832906374098831E-3</v>
      </c>
      <c r="AB45" s="360">
        <f t="shared" si="60"/>
        <v>1.6960664685905542</v>
      </c>
      <c r="AC45" s="360">
        <f t="shared" si="61"/>
        <v>1.7259848795263402E-2</v>
      </c>
      <c r="AD45" s="360">
        <f t="shared" si="62"/>
        <v>7.8202596808763986E-2</v>
      </c>
      <c r="AE45" s="360">
        <f t="shared" si="63"/>
        <v>-1.1040517686039236E-2</v>
      </c>
      <c r="AF45" s="360">
        <f t="shared" si="64"/>
        <v>6.2724956108928546E-4</v>
      </c>
      <c r="AG45" s="360">
        <f t="shared" si="65"/>
        <v>8.5272890653327188E-2</v>
      </c>
      <c r="AH45" s="360">
        <f t="shared" si="66"/>
        <v>4.7825366433249741</v>
      </c>
      <c r="AI45" s="360">
        <f t="shared" si="67"/>
        <v>5.7181641861865272E-2</v>
      </c>
      <c r="AJ45" s="360">
        <f t="shared" si="68"/>
        <v>1.9255089561089286E-2</v>
      </c>
      <c r="AK45" s="360">
        <f t="shared" si="69"/>
        <v>7.7320999766362863E-2</v>
      </c>
      <c r="AL45" s="360">
        <f t="shared" si="70"/>
        <v>1.862784E-2</v>
      </c>
      <c r="AM45" s="360">
        <f t="shared" si="71"/>
        <v>0.21383999999999997</v>
      </c>
      <c r="AN45" s="360">
        <f t="shared" si="72"/>
        <v>0.10299719284249337</v>
      </c>
      <c r="AO45" s="360">
        <f t="shared" si="73"/>
        <v>1.5749999999999998E-3</v>
      </c>
      <c r="AP45" s="360">
        <f t="shared" si="74"/>
        <v>0.32669999999999993</v>
      </c>
      <c r="AQ45" s="360">
        <f t="shared" si="75"/>
        <v>0.31218000000000001</v>
      </c>
      <c r="AR45" s="360">
        <f t="shared" si="76"/>
        <v>0.29039999999999999</v>
      </c>
      <c r="AS45" s="360">
        <f t="shared" si="48"/>
        <v>0.32827499999999993</v>
      </c>
      <c r="AT45" s="360">
        <f t="shared" si="41"/>
        <v>1.2775490421883673</v>
      </c>
      <c r="AU45">
        <f t="shared" si="77"/>
        <v>21.6</v>
      </c>
      <c r="AV45" s="542">
        <f t="shared" si="42"/>
        <v>0.94415708431736078</v>
      </c>
      <c r="AW45" s="551">
        <f t="shared" si="78"/>
        <v>8.6034770448264322</v>
      </c>
      <c r="AX45" s="551">
        <f t="shared" si="79"/>
        <v>5.6197515911217888</v>
      </c>
      <c r="AY45" s="9"/>
      <c r="AZ45" s="4">
        <f t="shared" si="43"/>
        <v>94.415708431736078</v>
      </c>
      <c r="BA45" s="360">
        <f t="shared" si="80"/>
        <v>0.4332084161308386</v>
      </c>
      <c r="BB45" s="360">
        <f t="shared" si="44"/>
        <v>0.37643389041969</v>
      </c>
      <c r="BC45" s="360">
        <f t="shared" si="45"/>
        <v>0.22640729065332718</v>
      </c>
      <c r="BD45" s="360">
        <f t="shared" si="46"/>
        <v>0.14788819976636286</v>
      </c>
      <c r="BE45" s="360">
        <f t="shared" si="47"/>
        <v>0.10299719284249337</v>
      </c>
    </row>
    <row r="46" spans="1:57" x14ac:dyDescent="0.25">
      <c r="A46" s="77" t="s">
        <v>203</v>
      </c>
      <c r="B46" s="5">
        <f>Vsd_Q3</f>
        <v>0.7</v>
      </c>
      <c r="C46" s="445" t="s">
        <v>0</v>
      </c>
      <c r="G46">
        <v>37</v>
      </c>
      <c r="H46" s="548">
        <f t="shared" si="0"/>
        <v>45</v>
      </c>
      <c r="I46" s="4">
        <f t="shared" si="49"/>
        <v>2</v>
      </c>
      <c r="J46" s="360">
        <f t="shared" si="81"/>
        <v>4.4400000000000004</v>
      </c>
      <c r="K46" s="4">
        <f t="shared" si="50"/>
        <v>0.54814814814814827</v>
      </c>
      <c r="L46" s="4"/>
      <c r="M46" s="360">
        <f t="shared" si="51"/>
        <v>0.11173411069348324</v>
      </c>
      <c r="N46" s="4">
        <f t="shared" si="52"/>
        <v>9.2229490367211966</v>
      </c>
      <c r="O46" s="4">
        <f t="shared" si="35"/>
        <v>9.0514745183605996</v>
      </c>
      <c r="P46" s="4">
        <f t="shared" si="36"/>
        <v>-0.17147451836059791</v>
      </c>
      <c r="Q46" s="4">
        <f t="shared" si="53"/>
        <v>1.7927288903355769</v>
      </c>
      <c r="R46" s="4">
        <f t="shared" si="54"/>
        <v>5.1770808130158033</v>
      </c>
      <c r="S46" s="360">
        <f t="shared" si="55"/>
        <v>0.13401082872248185</v>
      </c>
      <c r="T46" s="360">
        <f t="shared" si="56"/>
        <v>0.3</v>
      </c>
      <c r="U46" s="360">
        <f t="shared" si="57"/>
        <v>0.43871422527459308</v>
      </c>
      <c r="V46" s="4">
        <f t="shared" si="37"/>
        <v>2.6624360545365913</v>
      </c>
      <c r="W46" s="360">
        <f t="shared" si="58"/>
        <v>1.4177131488992743E-2</v>
      </c>
      <c r="X46" s="360">
        <f t="shared" si="38"/>
        <v>1.4177131488992743E-2</v>
      </c>
      <c r="Y46" s="4">
        <f t="shared" si="59"/>
        <v>1.6309825896865251</v>
      </c>
      <c r="Z46" s="360">
        <f t="shared" si="12"/>
        <v>3.9901563117908457E-3</v>
      </c>
      <c r="AA46" s="541">
        <f t="shared" si="39"/>
        <v>3.9901563117908457E-3</v>
      </c>
      <c r="AB46" s="360">
        <f t="shared" si="60"/>
        <v>1.7305248204289478</v>
      </c>
      <c r="AC46" s="360">
        <f t="shared" si="61"/>
        <v>1.7968296924723851E-2</v>
      </c>
      <c r="AD46" s="360">
        <f t="shared" si="62"/>
        <v>8.0374891164562978E-2</v>
      </c>
      <c r="AE46" s="360">
        <f t="shared" si="63"/>
        <v>-2.0195654703237757E-2</v>
      </c>
      <c r="AF46" s="360">
        <f t="shared" si="64"/>
        <v>3.6969906158544901E-4</v>
      </c>
      <c r="AG46" s="360">
        <f t="shared" si="65"/>
        <v>7.8732264523023371E-2</v>
      </c>
      <c r="AH46" s="360">
        <f t="shared" si="66"/>
        <v>4.8792878158985182</v>
      </c>
      <c r="AI46" s="360">
        <f t="shared" si="67"/>
        <v>5.9518623975939329E-2</v>
      </c>
      <c r="AJ46" s="360">
        <f t="shared" si="68"/>
        <v>1.9514979061585454E-2</v>
      </c>
      <c r="AK46" s="360">
        <f t="shared" si="69"/>
        <v>7.9985731168901258E-2</v>
      </c>
      <c r="AL46" s="360">
        <f t="shared" si="70"/>
        <v>1.9145280000000001E-2</v>
      </c>
      <c r="AM46" s="360">
        <f t="shared" si="71"/>
        <v>0.21978</v>
      </c>
      <c r="AN46" s="360">
        <f t="shared" si="72"/>
        <v>0.10720866297798548</v>
      </c>
      <c r="AO46" s="360">
        <f t="shared" si="73"/>
        <v>1.5749999999999998E-3</v>
      </c>
      <c r="AP46" s="360">
        <f t="shared" si="74"/>
        <v>0.32669999999999993</v>
      </c>
      <c r="AQ46" s="360">
        <f t="shared" si="75"/>
        <v>0.31218000000000001</v>
      </c>
      <c r="AR46" s="360">
        <f t="shared" si="76"/>
        <v>0.29039999999999999</v>
      </c>
      <c r="AS46" s="360">
        <f t="shared" si="48"/>
        <v>0.32827499999999993</v>
      </c>
      <c r="AT46" s="360">
        <f t="shared" si="41"/>
        <v>1.2900084517452868</v>
      </c>
      <c r="AU46">
        <f t="shared" si="77"/>
        <v>22.200000000000003</v>
      </c>
      <c r="AV46" s="542">
        <f t="shared" si="42"/>
        <v>0.94508267400604362</v>
      </c>
      <c r="AW46" s="551">
        <f t="shared" si="78"/>
        <v>8.5039084518748886</v>
      </c>
      <c r="AX46" s="551">
        <f t="shared" si="79"/>
        <v>5.7954989844182476</v>
      </c>
      <c r="AY46" s="9"/>
      <c r="AZ46" s="4">
        <f t="shared" si="43"/>
        <v>94.508267400604367</v>
      </c>
      <c r="BA46" s="360">
        <f t="shared" si="80"/>
        <v>0.43871422527459308</v>
      </c>
      <c r="BB46" s="360">
        <f t="shared" si="44"/>
        <v>0.37849799569192466</v>
      </c>
      <c r="BC46" s="360">
        <f t="shared" si="45"/>
        <v>0.22378706452302338</v>
      </c>
      <c r="BD46" s="360">
        <f t="shared" si="46"/>
        <v>0.15251313116890125</v>
      </c>
      <c r="BE46" s="360">
        <f t="shared" si="47"/>
        <v>0.10720866297798548</v>
      </c>
    </row>
    <row r="47" spans="1:57" ht="15.5" x14ac:dyDescent="0.4">
      <c r="A47" s="446" t="s">
        <v>472</v>
      </c>
      <c r="B47" s="5">
        <f>ThetaJA_Q3</f>
        <v>50</v>
      </c>
      <c r="C47" s="441" t="s">
        <v>205</v>
      </c>
      <c r="D47" s="21" t="s">
        <v>103</v>
      </c>
      <c r="G47">
        <v>38</v>
      </c>
      <c r="H47" s="548">
        <f t="shared" si="0"/>
        <v>45</v>
      </c>
      <c r="I47" s="4">
        <f t="shared" si="49"/>
        <v>2</v>
      </c>
      <c r="J47" s="360">
        <f t="shared" si="81"/>
        <v>4.5599999999999996</v>
      </c>
      <c r="K47" s="4">
        <f t="shared" si="50"/>
        <v>0.56296296296296289</v>
      </c>
      <c r="L47" s="4"/>
      <c r="M47" s="360">
        <f t="shared" si="51"/>
        <v>0.11175094476715769</v>
      </c>
      <c r="N47" s="4">
        <f t="shared" si="52"/>
        <v>9.2240338084644353</v>
      </c>
      <c r="O47" s="4">
        <f t="shared" si="35"/>
        <v>9.1720169042322173</v>
      </c>
      <c r="P47" s="4">
        <f t="shared" si="36"/>
        <v>-5.2016904232218053E-2</v>
      </c>
      <c r="Q47" s="4">
        <f t="shared" si="53"/>
        <v>0.5438254493697654</v>
      </c>
      <c r="R47" s="4">
        <f t="shared" si="54"/>
        <v>5.2805144927656347</v>
      </c>
      <c r="S47" s="360">
        <f t="shared" si="55"/>
        <v>0.13941916654153955</v>
      </c>
      <c r="T47" s="360">
        <f t="shared" si="56"/>
        <v>0.3</v>
      </c>
      <c r="U47" s="360">
        <f t="shared" si="57"/>
        <v>0.44437552375379669</v>
      </c>
      <c r="V47" s="4">
        <f t="shared" si="37"/>
        <v>2.6627492011655756</v>
      </c>
      <c r="W47" s="360">
        <f t="shared" si="58"/>
        <v>1.4180466616615822E-2</v>
      </c>
      <c r="X47" s="360">
        <f t="shared" si="38"/>
        <v>1.4180466616615822E-2</v>
      </c>
      <c r="Y47" s="4">
        <f t="shared" si="59"/>
        <v>1.6636777858080236</v>
      </c>
      <c r="Z47" s="360">
        <f t="shared" si="12"/>
        <v>4.1517356624866325E-3</v>
      </c>
      <c r="AA47" s="541">
        <f t="shared" si="39"/>
        <v>4.1517356624866325E-3</v>
      </c>
      <c r="AB47" s="360">
        <f t="shared" si="60"/>
        <v>1.7652321988716806</v>
      </c>
      <c r="AC47" s="360">
        <f t="shared" si="61"/>
        <v>1.8696268295600092E-2</v>
      </c>
      <c r="AD47" s="360">
        <f t="shared" si="62"/>
        <v>8.2547185520361985E-2</v>
      </c>
      <c r="AE47" s="360">
        <f t="shared" si="63"/>
        <v>-2.9861055570780708E-2</v>
      </c>
      <c r="AF47" s="360">
        <f t="shared" si="64"/>
        <v>1.1214844552466211E-4</v>
      </c>
      <c r="AG47" s="360">
        <f t="shared" si="65"/>
        <v>7.1698301273602424E-2</v>
      </c>
      <c r="AH47" s="360">
        <f t="shared" si="66"/>
        <v>4.9767246852095965</v>
      </c>
      <c r="AI47" s="360">
        <f t="shared" si="67"/>
        <v>6.1919471480936399E-2</v>
      </c>
      <c r="AJ47" s="360">
        <f t="shared" si="68"/>
        <v>1.977486844552466E-2</v>
      </c>
      <c r="AK47" s="360">
        <f t="shared" si="69"/>
        <v>8.2718719808890284E-2</v>
      </c>
      <c r="AL47" s="360">
        <f t="shared" si="70"/>
        <v>1.9662719999999998E-2</v>
      </c>
      <c r="AM47" s="360">
        <f t="shared" si="71"/>
        <v>0.22571999999999995</v>
      </c>
      <c r="AN47" s="360">
        <f t="shared" si="72"/>
        <v>0.11153533323323163</v>
      </c>
      <c r="AO47" s="360">
        <f t="shared" si="73"/>
        <v>1.5749999999999998E-3</v>
      </c>
      <c r="AP47" s="360">
        <f t="shared" si="74"/>
        <v>0.32669999999999993</v>
      </c>
      <c r="AQ47" s="360">
        <f t="shared" si="75"/>
        <v>0.31218000000000001</v>
      </c>
      <c r="AR47" s="360">
        <f t="shared" si="76"/>
        <v>0.29039999999999999</v>
      </c>
      <c r="AS47" s="360">
        <f t="shared" si="48"/>
        <v>0.32827499999999993</v>
      </c>
      <c r="AT47" s="360">
        <f t="shared" si="41"/>
        <v>1.3023178003486233</v>
      </c>
      <c r="AU47">
        <f t="shared" si="77"/>
        <v>22.799999999999997</v>
      </c>
      <c r="AV47" s="542">
        <f t="shared" si="42"/>
        <v>0.94596711357238061</v>
      </c>
      <c r="AW47" s="551">
        <f t="shared" si="78"/>
        <v>8.3855930483968919</v>
      </c>
      <c r="AX47" s="551">
        <f t="shared" si="79"/>
        <v>5.9738401527378304</v>
      </c>
      <c r="AY47" s="9"/>
      <c r="AZ47" s="4">
        <f t="shared" si="43"/>
        <v>94.596711357238064</v>
      </c>
      <c r="BA47" s="360">
        <f t="shared" si="80"/>
        <v>0.44437552375379669</v>
      </c>
      <c r="BB47" s="360">
        <f t="shared" si="44"/>
        <v>0.3801370210824927</v>
      </c>
      <c r="BC47" s="360">
        <f t="shared" si="45"/>
        <v>0.22067350127360241</v>
      </c>
      <c r="BD47" s="360">
        <f t="shared" si="46"/>
        <v>0.15720631980889027</v>
      </c>
      <c r="BE47" s="360">
        <f t="shared" si="47"/>
        <v>0.11153533323323163</v>
      </c>
    </row>
    <row r="48" spans="1:57" ht="13" x14ac:dyDescent="0.3">
      <c r="A48" s="24" t="s">
        <v>526</v>
      </c>
      <c r="B48" s="15" t="s">
        <v>111</v>
      </c>
      <c r="C48" s="24" t="s">
        <v>76</v>
      </c>
      <c r="D48" s="17" t="s">
        <v>107</v>
      </c>
      <c r="G48">
        <v>39</v>
      </c>
      <c r="H48" s="548">
        <f t="shared" si="0"/>
        <v>45</v>
      </c>
      <c r="I48" s="4">
        <f t="shared" si="49"/>
        <v>2</v>
      </c>
      <c r="J48" s="360">
        <f t="shared" si="81"/>
        <v>4.68</v>
      </c>
      <c r="K48" s="4">
        <f t="shared" si="50"/>
        <v>0.57777777777777772</v>
      </c>
      <c r="L48" s="4"/>
      <c r="M48" s="360">
        <f t="shared" si="51"/>
        <v>0.11176777864335752</v>
      </c>
      <c r="N48" s="4">
        <f t="shared" si="52"/>
        <v>9.2251184720862405</v>
      </c>
      <c r="O48" s="4">
        <f t="shared" si="35"/>
        <v>9.29255923604312</v>
      </c>
      <c r="P48" s="4">
        <f t="shared" si="36"/>
        <v>6.7440763956879479E-2</v>
      </c>
      <c r="Q48" s="4">
        <f t="shared" si="53"/>
        <v>0</v>
      </c>
      <c r="R48" s="4">
        <f t="shared" si="54"/>
        <v>5.3846356331698271</v>
      </c>
      <c r="S48" s="360">
        <f t="shared" si="55"/>
        <v>0.14497150451001112</v>
      </c>
      <c r="T48" s="360">
        <f t="shared" si="56"/>
        <v>0.3</v>
      </c>
      <c r="U48" s="360">
        <f t="shared" si="57"/>
        <v>0.45019271371211428</v>
      </c>
      <c r="V48" s="4">
        <f t="shared" si="37"/>
        <v>2.6630623165825904</v>
      </c>
      <c r="W48" s="360">
        <f t="shared" si="58"/>
        <v>1.4183801804004467E-2</v>
      </c>
      <c r="X48" s="360">
        <f t="shared" si="38"/>
        <v>1.4183801804004467E-2</v>
      </c>
      <c r="Y48" s="4">
        <f t="shared" si="59"/>
        <v>1.6965938655229038</v>
      </c>
      <c r="Z48" s="360">
        <f t="shared" si="12"/>
        <v>4.3176461167949241E-3</v>
      </c>
      <c r="AA48" s="541">
        <f t="shared" si="39"/>
        <v>4.3176461167949241E-3</v>
      </c>
      <c r="AB48" s="360">
        <f t="shared" si="60"/>
        <v>1.8001746040686959</v>
      </c>
      <c r="AC48" s="360">
        <f t="shared" si="61"/>
        <v>1.9443771630803318E-2</v>
      </c>
      <c r="AD48" s="360">
        <f t="shared" si="62"/>
        <v>8.4719479876160977E-2</v>
      </c>
      <c r="AE48" s="360">
        <f t="shared" si="63"/>
        <v>-3.4229250000000003E-2</v>
      </c>
      <c r="AF48" s="360">
        <f t="shared" si="64"/>
        <v>0</v>
      </c>
      <c r="AG48" s="360">
        <f t="shared" si="65"/>
        <v>7.0141300845163471E-2</v>
      </c>
      <c r="AH48" s="360">
        <f t="shared" si="66"/>
        <v>5.0748076118083869</v>
      </c>
      <c r="AI48" s="360">
        <f t="shared" si="67"/>
        <v>6.4384180742170866E-2</v>
      </c>
      <c r="AJ48" s="360">
        <f t="shared" si="68"/>
        <v>2.0180159999999999E-2</v>
      </c>
      <c r="AK48" s="360">
        <f t="shared" si="69"/>
        <v>8.5667466673780585E-2</v>
      </c>
      <c r="AL48" s="360">
        <f t="shared" si="70"/>
        <v>2.0180159999999999E-2</v>
      </c>
      <c r="AM48" s="360">
        <f t="shared" si="71"/>
        <v>0.23165999999999998</v>
      </c>
      <c r="AN48" s="360">
        <f t="shared" si="72"/>
        <v>0.11597720360800889</v>
      </c>
      <c r="AO48" s="360">
        <f t="shared" si="73"/>
        <v>1.5749999999999998E-3</v>
      </c>
      <c r="AP48" s="360">
        <f t="shared" si="74"/>
        <v>0.32669999999999993</v>
      </c>
      <c r="AQ48" s="360">
        <f t="shared" si="75"/>
        <v>0.31218000000000001</v>
      </c>
      <c r="AR48" s="360">
        <f t="shared" si="76"/>
        <v>0.29039999999999999</v>
      </c>
      <c r="AS48" s="360">
        <f t="shared" si="48"/>
        <v>0.32827499999999993</v>
      </c>
      <c r="AT48" s="360">
        <f t="shared" si="41"/>
        <v>1.3205952927598665</v>
      </c>
      <c r="AU48">
        <f t="shared" si="77"/>
        <v>23.4</v>
      </c>
      <c r="AV48" s="542">
        <f t="shared" si="42"/>
        <v>0.94657914677537558</v>
      </c>
      <c r="AW48" s="551">
        <f t="shared" si="78"/>
        <v>8.4754022321162115</v>
      </c>
      <c r="AX48" s="551">
        <f t="shared" si="79"/>
        <v>6.1603801336036614</v>
      </c>
      <c r="AY48" s="9"/>
      <c r="AZ48" s="4">
        <f t="shared" si="43"/>
        <v>94.657914677537562</v>
      </c>
      <c r="BA48" s="360">
        <f t="shared" si="80"/>
        <v>0.45019271371211428</v>
      </c>
      <c r="BB48" s="360">
        <f t="shared" si="44"/>
        <v>0.38746876751894405</v>
      </c>
      <c r="BC48" s="360">
        <f t="shared" si="45"/>
        <v>0.22303690084516348</v>
      </c>
      <c r="BD48" s="360">
        <f t="shared" si="46"/>
        <v>0.16211526667378057</v>
      </c>
      <c r="BE48" s="360">
        <f t="shared" si="47"/>
        <v>0.11597720360800889</v>
      </c>
    </row>
    <row r="49" spans="1:64" x14ac:dyDescent="0.25">
      <c r="A49" s="23" t="s">
        <v>68</v>
      </c>
      <c r="B49" s="5">
        <f>Rdson4*1000</f>
        <v>2.5</v>
      </c>
      <c r="C49" s="442" t="s">
        <v>466</v>
      </c>
      <c r="D49" s="440" t="s">
        <v>527</v>
      </c>
      <c r="G49">
        <v>40</v>
      </c>
      <c r="H49" s="548">
        <f t="shared" si="0"/>
        <v>45</v>
      </c>
      <c r="I49" s="4">
        <f t="shared" si="49"/>
        <v>2</v>
      </c>
      <c r="J49" s="360">
        <f t="shared" si="81"/>
        <v>4.8</v>
      </c>
      <c r="K49" s="4">
        <f t="shared" si="50"/>
        <v>0.59259259259259256</v>
      </c>
      <c r="L49" s="4"/>
      <c r="M49" s="360">
        <f t="shared" si="51"/>
        <v>0.11178461232208621</v>
      </c>
      <c r="N49" s="4">
        <f t="shared" si="52"/>
        <v>9.2262030275885163</v>
      </c>
      <c r="O49" s="4">
        <f t="shared" si="35"/>
        <v>9.413101513794258</v>
      </c>
      <c r="P49" s="4">
        <f t="shared" si="36"/>
        <v>0.18689848620574168</v>
      </c>
      <c r="Q49" s="4">
        <f t="shared" si="53"/>
        <v>0</v>
      </c>
      <c r="R49" s="4">
        <f t="shared" si="54"/>
        <v>5.4894051158138826</v>
      </c>
      <c r="S49" s="360">
        <f t="shared" si="55"/>
        <v>0.15066784262761812</v>
      </c>
      <c r="T49" s="360">
        <f t="shared" si="56"/>
        <v>0.3</v>
      </c>
      <c r="U49" s="360">
        <f t="shared" si="57"/>
        <v>0.45616620891375043</v>
      </c>
      <c r="V49" s="4">
        <f t="shared" si="37"/>
        <v>2.6633754007881851</v>
      </c>
      <c r="W49" s="360">
        <f t="shared" si="58"/>
        <v>1.4187137051047252E-2</v>
      </c>
      <c r="X49" s="360">
        <f t="shared" si="38"/>
        <v>1.4187137051047252E-2</v>
      </c>
      <c r="Y49" s="4">
        <f t="shared" si="59"/>
        <v>1.7297185445688279</v>
      </c>
      <c r="Z49" s="360">
        <f t="shared" si="12"/>
        <v>4.4878893651379564E-3</v>
      </c>
      <c r="AA49" s="541">
        <f t="shared" si="39"/>
        <v>4.4878893651379564E-3</v>
      </c>
      <c r="AB49" s="360">
        <f t="shared" si="60"/>
        <v>1.8353390083324328</v>
      </c>
      <c r="AC49" s="360">
        <f t="shared" si="61"/>
        <v>2.0210815653040066E-2</v>
      </c>
      <c r="AD49" s="360">
        <f t="shared" si="62"/>
        <v>8.6891774231959984E-2</v>
      </c>
      <c r="AE49" s="360">
        <f t="shared" si="63"/>
        <v>-3.4229250000000003E-2</v>
      </c>
      <c r="AF49" s="360">
        <f t="shared" si="64"/>
        <v>0</v>
      </c>
      <c r="AG49" s="360">
        <f t="shared" si="65"/>
        <v>7.3097899848125189E-2</v>
      </c>
      <c r="AH49" s="360">
        <f t="shared" si="66"/>
        <v>5.1734997100625169</v>
      </c>
      <c r="AI49" s="360">
        <f t="shared" si="67"/>
        <v>6.6912748125042359E-2</v>
      </c>
      <c r="AJ49" s="360">
        <f t="shared" si="68"/>
        <v>2.06976E-2</v>
      </c>
      <c r="AK49" s="360">
        <f t="shared" si="69"/>
        <v>8.879870114981607E-2</v>
      </c>
      <c r="AL49" s="360">
        <f t="shared" si="70"/>
        <v>2.06976E-2</v>
      </c>
      <c r="AM49" s="360">
        <f t="shared" si="71"/>
        <v>0.23760000000000001</v>
      </c>
      <c r="AN49" s="360">
        <f t="shared" si="72"/>
        <v>0.1205342741020945</v>
      </c>
      <c r="AO49" s="360">
        <f t="shared" si="73"/>
        <v>1.5749999999999998E-3</v>
      </c>
      <c r="AP49" s="360">
        <f t="shared" si="74"/>
        <v>0.32669999999999993</v>
      </c>
      <c r="AQ49" s="360">
        <f t="shared" si="75"/>
        <v>0.31218000000000001</v>
      </c>
      <c r="AR49" s="360">
        <f t="shared" si="76"/>
        <v>0.29039999999999999</v>
      </c>
      <c r="AS49" s="360">
        <f t="shared" si="48"/>
        <v>0.32827499999999993</v>
      </c>
      <c r="AT49" s="360">
        <f t="shared" si="41"/>
        <v>1.3438447104299713</v>
      </c>
      <c r="AU49">
        <f t="shared" si="77"/>
        <v>24</v>
      </c>
      <c r="AV49" s="542">
        <f t="shared" si="42"/>
        <v>0.94697549934572767</v>
      </c>
      <c r="AW49" s="551">
        <f t="shared" si="78"/>
        <v>8.7367281942287587</v>
      </c>
      <c r="AX49" s="551">
        <f t="shared" si="79"/>
        <v>6.3538546436930101</v>
      </c>
      <c r="AY49" s="9"/>
      <c r="AZ49" s="4">
        <f t="shared" si="43"/>
        <v>94.697549934572763</v>
      </c>
      <c r="BA49" s="360">
        <f t="shared" si="80"/>
        <v>0.45616620891375043</v>
      </c>
      <c r="BB49" s="360">
        <f t="shared" si="44"/>
        <v>0.39949660099794126</v>
      </c>
      <c r="BC49" s="360">
        <f t="shared" si="45"/>
        <v>0.22991389984812521</v>
      </c>
      <c r="BD49" s="360">
        <f t="shared" si="46"/>
        <v>0.16720670114981606</v>
      </c>
      <c r="BE49" s="360">
        <f t="shared" si="47"/>
        <v>0.1205342741020945</v>
      </c>
    </row>
    <row r="50" spans="1:64" x14ac:dyDescent="0.25">
      <c r="A50" s="23" t="s">
        <v>80</v>
      </c>
      <c r="B50" s="5">
        <f>RdsonBotTc*1000000</f>
        <v>4000</v>
      </c>
      <c r="C50" s="440" t="s">
        <v>81</v>
      </c>
      <c r="D50" s="21" t="s">
        <v>104</v>
      </c>
      <c r="G50">
        <v>41</v>
      </c>
      <c r="H50" s="548">
        <f t="shared" si="0"/>
        <v>45</v>
      </c>
      <c r="I50" s="4">
        <f t="shared" si="49"/>
        <v>2</v>
      </c>
      <c r="J50" s="360">
        <f t="shared" si="81"/>
        <v>4.92</v>
      </c>
      <c r="K50" s="4">
        <f t="shared" si="50"/>
        <v>0.6074074074074074</v>
      </c>
      <c r="L50" s="4"/>
      <c r="M50" s="360">
        <f t="shared" si="51"/>
        <v>0.11180144580334721</v>
      </c>
      <c r="N50" s="4">
        <f t="shared" si="52"/>
        <v>9.2272874749731635</v>
      </c>
      <c r="O50" s="4">
        <f t="shared" si="35"/>
        <v>9.5336437374865817</v>
      </c>
      <c r="P50" s="4">
        <f t="shared" si="36"/>
        <v>0.30635626251341819</v>
      </c>
      <c r="Q50" s="4">
        <f t="shared" si="53"/>
        <v>0</v>
      </c>
      <c r="R50" s="4">
        <f t="shared" si="54"/>
        <v>5.5947865177159697</v>
      </c>
      <c r="S50" s="360">
        <f t="shared" si="55"/>
        <v>0.15650818089408194</v>
      </c>
      <c r="T50" s="360">
        <f t="shared" si="56"/>
        <v>0.3</v>
      </c>
      <c r="U50" s="360">
        <f t="shared" si="57"/>
        <v>0.46229643481785487</v>
      </c>
      <c r="V50" s="4">
        <f t="shared" si="37"/>
        <v>2.6636884537829091</v>
      </c>
      <c r="W50" s="360">
        <f t="shared" si="58"/>
        <v>1.419047235763277E-2</v>
      </c>
      <c r="X50" s="360">
        <f t="shared" si="38"/>
        <v>1.419047235763277E-2</v>
      </c>
      <c r="Y50" s="4">
        <f t="shared" si="59"/>
        <v>1.7630403848185032</v>
      </c>
      <c r="Z50" s="360">
        <f t="shared" si="12"/>
        <v>4.662467097751464E-3</v>
      </c>
      <c r="AA50" s="541">
        <f t="shared" si="39"/>
        <v>4.662467097751464E-3</v>
      </c>
      <c r="AB50" s="360">
        <f t="shared" si="60"/>
        <v>1.8707132812919334</v>
      </c>
      <c r="AC50" s="360">
        <f t="shared" si="61"/>
        <v>2.0997409084812194E-2</v>
      </c>
      <c r="AD50" s="360">
        <f t="shared" si="62"/>
        <v>8.9064068587758977E-2</v>
      </c>
      <c r="AE50" s="360">
        <f t="shared" si="63"/>
        <v>-3.4229250000000003E-2</v>
      </c>
      <c r="AF50" s="360">
        <f t="shared" si="64"/>
        <v>0</v>
      </c>
      <c r="AG50" s="360">
        <f t="shared" si="65"/>
        <v>7.6075029205996528E-2</v>
      </c>
      <c r="AH50" s="360">
        <f t="shared" si="66"/>
        <v>5.2727666360284102</v>
      </c>
      <c r="AI50" s="360">
        <f t="shared" si="67"/>
        <v>6.9505169995035893E-2</v>
      </c>
      <c r="AJ50" s="360">
        <f t="shared" si="68"/>
        <v>2.1215039999999998E-2</v>
      </c>
      <c r="AK50" s="360">
        <f t="shared" si="69"/>
        <v>9.1999092507865532E-2</v>
      </c>
      <c r="AL50" s="360">
        <f t="shared" si="70"/>
        <v>2.1215039999999998E-2</v>
      </c>
      <c r="AM50" s="360">
        <f t="shared" si="71"/>
        <v>0.24353999999999998</v>
      </c>
      <c r="AN50" s="360">
        <f t="shared" si="72"/>
        <v>0.12520654471526554</v>
      </c>
      <c r="AO50" s="360">
        <f t="shared" si="73"/>
        <v>1.5749999999999998E-3</v>
      </c>
      <c r="AP50" s="360">
        <f t="shared" si="74"/>
        <v>0.32669999999999993</v>
      </c>
      <c r="AQ50" s="360">
        <f t="shared" si="75"/>
        <v>0.31218000000000001</v>
      </c>
      <c r="AR50" s="360">
        <f t="shared" si="76"/>
        <v>0.29039999999999999</v>
      </c>
      <c r="AS50" s="360">
        <f t="shared" si="48"/>
        <v>0.32827499999999993</v>
      </c>
      <c r="AT50" s="360">
        <f t="shared" si="41"/>
        <v>1.3674600807023665</v>
      </c>
      <c r="AU50">
        <f t="shared" si="77"/>
        <v>24.6</v>
      </c>
      <c r="AV50" s="542">
        <f t="shared" si="42"/>
        <v>0.94733947500246318</v>
      </c>
      <c r="AW50" s="551">
        <f t="shared" si="78"/>
        <v>8.9988343098278669</v>
      </c>
      <c r="AX50" s="551">
        <f t="shared" si="79"/>
        <v>6.5499571152988905</v>
      </c>
      <c r="AY50" s="9"/>
      <c r="AZ50" s="4">
        <f t="shared" si="43"/>
        <v>94.733947500246316</v>
      </c>
      <c r="BA50" s="360">
        <f t="shared" si="80"/>
        <v>0.46229643481785487</v>
      </c>
      <c r="BB50" s="360">
        <f t="shared" si="44"/>
        <v>0.41161412171386202</v>
      </c>
      <c r="BC50" s="360">
        <f t="shared" si="45"/>
        <v>0.23681142920599652</v>
      </c>
      <c r="BD50" s="360">
        <f t="shared" si="46"/>
        <v>0.17236729250786553</v>
      </c>
      <c r="BE50" s="360">
        <f t="shared" si="47"/>
        <v>0.12520654471526554</v>
      </c>
    </row>
    <row r="51" spans="1:64" x14ac:dyDescent="0.25">
      <c r="A51" s="23" t="s">
        <v>67</v>
      </c>
      <c r="B51" s="5">
        <f>Qg_Q4*1000000000</f>
        <v>25</v>
      </c>
      <c r="C51" s="440" t="s">
        <v>65</v>
      </c>
      <c r="D51" s="21" t="s">
        <v>99</v>
      </c>
      <c r="G51">
        <v>42</v>
      </c>
      <c r="H51" s="548">
        <f t="shared" si="0"/>
        <v>45</v>
      </c>
      <c r="I51" s="4">
        <f t="shared" si="49"/>
        <v>2</v>
      </c>
      <c r="J51" s="360">
        <f t="shared" si="81"/>
        <v>5.04</v>
      </c>
      <c r="K51" s="4">
        <f t="shared" si="50"/>
        <v>0.62222222222222223</v>
      </c>
      <c r="L51" s="4"/>
      <c r="M51" s="360">
        <f t="shared" si="51"/>
        <v>0.11181827908714405</v>
      </c>
      <c r="N51" s="4">
        <f t="shared" si="52"/>
        <v>9.2283718142420881</v>
      </c>
      <c r="O51" s="4">
        <f t="shared" si="35"/>
        <v>9.6541859071210432</v>
      </c>
      <c r="P51" s="4">
        <f t="shared" si="36"/>
        <v>0.425814092878956</v>
      </c>
      <c r="Q51" s="4">
        <f t="shared" si="53"/>
        <v>0</v>
      </c>
      <c r="R51" s="4">
        <f t="shared" si="54"/>
        <v>5.7007459039870225</v>
      </c>
      <c r="S51" s="360">
        <f t="shared" si="55"/>
        <v>0.16249251930912409</v>
      </c>
      <c r="T51" s="360">
        <f t="shared" si="56"/>
        <v>0.3</v>
      </c>
      <c r="U51" s="360">
        <f t="shared" si="57"/>
        <v>0.46858382865517967</v>
      </c>
      <c r="V51" s="4">
        <f t="shared" si="37"/>
        <v>2.6640014755673125</v>
      </c>
      <c r="W51" s="360">
        <f t="shared" si="58"/>
        <v>1.4193807723649636E-2</v>
      </c>
      <c r="X51" s="360">
        <f t="shared" si="38"/>
        <v>1.4193807723649636E-2</v>
      </c>
      <c r="Y51" s="4">
        <f t="shared" si="59"/>
        <v>1.7965487292184601</v>
      </c>
      <c r="Z51" s="360">
        <f t="shared" si="12"/>
        <v>4.8413810046846958E-3</v>
      </c>
      <c r="AA51" s="541">
        <f t="shared" si="39"/>
        <v>4.8413810046846958E-3</v>
      </c>
      <c r="AB51" s="360">
        <f t="shared" si="60"/>
        <v>1.906286120900049</v>
      </c>
      <c r="AC51" s="360">
        <f t="shared" si="61"/>
        <v>2.1803560648416938E-2</v>
      </c>
      <c r="AD51" s="360">
        <f t="shared" si="62"/>
        <v>9.1236362943557983E-2</v>
      </c>
      <c r="AE51" s="360">
        <f t="shared" si="63"/>
        <v>-3.4229250000000003E-2</v>
      </c>
      <c r="AF51" s="360">
        <f t="shared" si="64"/>
        <v>0</v>
      </c>
      <c r="AG51" s="360">
        <f t="shared" si="65"/>
        <v>7.9072731791669765E-2</v>
      </c>
      <c r="AH51" s="360">
        <f t="shared" si="66"/>
        <v>5.3725763919267502</v>
      </c>
      <c r="AI51" s="360">
        <f t="shared" si="67"/>
        <v>7.2161442717721652E-2</v>
      </c>
      <c r="AJ51" s="360">
        <f t="shared" si="68"/>
        <v>2.1732479999999998E-2</v>
      </c>
      <c r="AK51" s="360">
        <f t="shared" si="69"/>
        <v>9.5268870546668744E-2</v>
      </c>
      <c r="AL51" s="360">
        <f t="shared" si="70"/>
        <v>2.1732479999999998E-2</v>
      </c>
      <c r="AM51" s="360">
        <f t="shared" si="71"/>
        <v>0.24947999999999998</v>
      </c>
      <c r="AN51" s="360">
        <f t="shared" si="72"/>
        <v>0.12999401544729927</v>
      </c>
      <c r="AO51" s="360">
        <f t="shared" si="73"/>
        <v>1.5749999999999998E-3</v>
      </c>
      <c r="AP51" s="360">
        <f t="shared" si="74"/>
        <v>0.32669999999999993</v>
      </c>
      <c r="AQ51" s="360">
        <f t="shared" si="75"/>
        <v>0.31218000000000001</v>
      </c>
      <c r="AR51" s="360">
        <f t="shared" si="76"/>
        <v>0.29039999999999999</v>
      </c>
      <c r="AS51" s="360">
        <f t="shared" si="48"/>
        <v>0.32827499999999993</v>
      </c>
      <c r="AT51" s="360">
        <f t="shared" si="41"/>
        <v>1.3914421151691516</v>
      </c>
      <c r="AU51">
        <f t="shared" si="77"/>
        <v>25.2</v>
      </c>
      <c r="AV51" s="542">
        <f t="shared" si="42"/>
        <v>0.94767331124266474</v>
      </c>
      <c r="AW51" s="551">
        <f t="shared" si="78"/>
        <v>9.2617222080834516</v>
      </c>
      <c r="AX51" s="551">
        <f t="shared" si="79"/>
        <v>6.7486962807734123</v>
      </c>
      <c r="AY51" s="9"/>
      <c r="AZ51" s="4">
        <f t="shared" si="43"/>
        <v>94.767331124266477</v>
      </c>
      <c r="BA51" s="360">
        <f t="shared" si="80"/>
        <v>0.46858382865517967</v>
      </c>
      <c r="BB51" s="360">
        <f t="shared" si="44"/>
        <v>0.42382160233833849</v>
      </c>
      <c r="BC51" s="360">
        <f t="shared" si="45"/>
        <v>0.24372953179166976</v>
      </c>
      <c r="BD51" s="360">
        <f t="shared" si="46"/>
        <v>0.17759727054666874</v>
      </c>
      <c r="BE51" s="360">
        <f t="shared" si="47"/>
        <v>0.12999401544729927</v>
      </c>
    </row>
    <row r="52" spans="1:64" x14ac:dyDescent="0.25">
      <c r="A52" s="23" t="s">
        <v>91</v>
      </c>
      <c r="B52" s="5">
        <f>Rgate4</f>
        <v>0.5</v>
      </c>
      <c r="C52" s="444" t="s">
        <v>116</v>
      </c>
      <c r="D52" s="21" t="s">
        <v>100</v>
      </c>
      <c r="G52">
        <v>43</v>
      </c>
      <c r="H52" s="548">
        <f t="shared" si="0"/>
        <v>45</v>
      </c>
      <c r="I52" s="4">
        <f t="shared" si="49"/>
        <v>2</v>
      </c>
      <c r="J52" s="360">
        <f t="shared" si="81"/>
        <v>5.16</v>
      </c>
      <c r="K52" s="4">
        <f t="shared" si="50"/>
        <v>0.63703703703703707</v>
      </c>
      <c r="L52" s="4"/>
      <c r="M52" s="360">
        <f t="shared" si="51"/>
        <v>0.11183511217348015</v>
      </c>
      <c r="N52" s="4">
        <f t="shared" si="52"/>
        <v>9.2294560453971872</v>
      </c>
      <c r="O52" s="4">
        <f t="shared" si="35"/>
        <v>9.7747280226985929</v>
      </c>
      <c r="P52" s="4">
        <f t="shared" si="36"/>
        <v>0.54527197730140653</v>
      </c>
      <c r="Q52" s="4">
        <f t="shared" si="53"/>
        <v>0</v>
      </c>
      <c r="R52" s="4">
        <f t="shared" si="54"/>
        <v>5.8072516369185543</v>
      </c>
      <c r="S52" s="360">
        <f t="shared" si="55"/>
        <v>0.16862085787246614</v>
      </c>
      <c r="T52" s="360">
        <f t="shared" si="56"/>
        <v>0.3</v>
      </c>
      <c r="U52" s="360">
        <f t="shared" si="57"/>
        <v>0.47502883950701286</v>
      </c>
      <c r="V52" s="4">
        <f t="shared" si="37"/>
        <v>2.6643144661419425</v>
      </c>
      <c r="W52" s="360">
        <f t="shared" si="58"/>
        <v>1.4197143148986447E-2</v>
      </c>
      <c r="X52" s="360">
        <f t="shared" si="38"/>
        <v>1.4197143148986447E-2</v>
      </c>
      <c r="Y52" s="4">
        <f t="shared" si="59"/>
        <v>1.8302336418793499</v>
      </c>
      <c r="Z52" s="360">
        <f t="shared" si="12"/>
        <v>5.0246327758004224E-3</v>
      </c>
      <c r="AA52" s="541">
        <f t="shared" si="39"/>
        <v>5.0246327758004224E-3</v>
      </c>
      <c r="AB52" s="360">
        <f t="shared" si="60"/>
        <v>1.9420469899029582</v>
      </c>
      <c r="AC52" s="360">
        <f t="shared" si="61"/>
        <v>2.2629279065946844E-2</v>
      </c>
      <c r="AD52" s="360">
        <f t="shared" si="62"/>
        <v>9.340865729935699E-2</v>
      </c>
      <c r="AE52" s="360">
        <f t="shared" si="63"/>
        <v>-3.4229250000000003E-2</v>
      </c>
      <c r="AF52" s="360">
        <f t="shared" si="64"/>
        <v>0</v>
      </c>
      <c r="AG52" s="360">
        <f t="shared" si="65"/>
        <v>8.2091050882788841E-2</v>
      </c>
      <c r="AH52" s="360">
        <f t="shared" si="66"/>
        <v>5.4728991461109606</v>
      </c>
      <c r="AI52" s="360">
        <f t="shared" si="67"/>
        <v>7.4881562658755216E-2</v>
      </c>
      <c r="AJ52" s="360">
        <f t="shared" si="68"/>
        <v>2.2249919999999999E-2</v>
      </c>
      <c r="AK52" s="360">
        <f t="shared" si="69"/>
        <v>9.8608270942607282E-2</v>
      </c>
      <c r="AL52" s="360">
        <f t="shared" si="70"/>
        <v>2.2249919999999999E-2</v>
      </c>
      <c r="AM52" s="360">
        <f t="shared" si="71"/>
        <v>0.25541999999999992</v>
      </c>
      <c r="AN52" s="360">
        <f t="shared" si="72"/>
        <v>0.13489668629797291</v>
      </c>
      <c r="AO52" s="360">
        <f t="shared" si="73"/>
        <v>1.5749999999999998E-3</v>
      </c>
      <c r="AP52" s="360">
        <f t="shared" si="74"/>
        <v>0.32669999999999993</v>
      </c>
      <c r="AQ52" s="360">
        <f t="shared" si="75"/>
        <v>0.31218000000000001</v>
      </c>
      <c r="AR52" s="360">
        <f t="shared" si="76"/>
        <v>0.29039999999999999</v>
      </c>
      <c r="AS52" s="360">
        <f t="shared" si="48"/>
        <v>0.32827499999999993</v>
      </c>
      <c r="AT52" s="360">
        <f t="shared" si="41"/>
        <v>1.4157915435551685</v>
      </c>
      <c r="AU52">
        <f t="shared" si="77"/>
        <v>25.8</v>
      </c>
      <c r="AV52" s="542">
        <f t="shared" si="42"/>
        <v>0.94797904219359608</v>
      </c>
      <c r="AW52" s="551">
        <f t="shared" si="78"/>
        <v>9.525393533545973</v>
      </c>
      <c r="AX52" s="551">
        <f t="shared" si="79"/>
        <v>6.9500810958190762</v>
      </c>
      <c r="AY52" s="9"/>
      <c r="AZ52" s="4">
        <f t="shared" si="43"/>
        <v>94.797904219359609</v>
      </c>
      <c r="BA52" s="360">
        <f t="shared" si="80"/>
        <v>0.47502883950701286</v>
      </c>
      <c r="BB52" s="360">
        <f t="shared" si="44"/>
        <v>0.43611932182539603</v>
      </c>
      <c r="BC52" s="360">
        <f t="shared" si="45"/>
        <v>0.25066825088278877</v>
      </c>
      <c r="BD52" s="360">
        <f t="shared" si="46"/>
        <v>0.18289687094260726</v>
      </c>
      <c r="BE52" s="360">
        <f t="shared" si="47"/>
        <v>0.13489668629797291</v>
      </c>
    </row>
    <row r="53" spans="1:64" x14ac:dyDescent="0.25">
      <c r="A53" s="23" t="s">
        <v>72</v>
      </c>
      <c r="B53" s="5">
        <f>Vsd_Q4</f>
        <v>0.7</v>
      </c>
      <c r="C53" s="440" t="s">
        <v>0</v>
      </c>
      <c r="D53" s="21" t="s">
        <v>105</v>
      </c>
      <c r="G53">
        <v>44</v>
      </c>
      <c r="H53" s="548">
        <f t="shared" si="0"/>
        <v>45</v>
      </c>
      <c r="I53" s="4">
        <f t="shared" si="49"/>
        <v>2</v>
      </c>
      <c r="J53" s="360">
        <f t="shared" si="81"/>
        <v>5.28</v>
      </c>
      <c r="K53" s="4">
        <f t="shared" si="50"/>
        <v>0.6518518518518519</v>
      </c>
      <c r="L53" s="4"/>
      <c r="M53" s="360">
        <f t="shared" si="51"/>
        <v>0.11185194506235903</v>
      </c>
      <c r="N53" s="4">
        <f t="shared" si="52"/>
        <v>9.2305401684403705</v>
      </c>
      <c r="O53" s="4">
        <f t="shared" si="35"/>
        <v>9.8952700842201864</v>
      </c>
      <c r="P53" s="4">
        <f t="shared" si="36"/>
        <v>0.66472991577981499</v>
      </c>
      <c r="Q53" s="4">
        <f t="shared" si="53"/>
        <v>0</v>
      </c>
      <c r="R53" s="4">
        <f t="shared" si="54"/>
        <v>5.9142742003364992</v>
      </c>
      <c r="S53" s="360">
        <f t="shared" si="55"/>
        <v>0.17489319658382968</v>
      </c>
      <c r="T53" s="360">
        <f t="shared" si="56"/>
        <v>0.3</v>
      </c>
      <c r="U53" s="360">
        <f t="shared" si="57"/>
        <v>0.48163192838641644</v>
      </c>
      <c r="V53" s="4">
        <f t="shared" si="37"/>
        <v>2.664627425507351</v>
      </c>
      <c r="W53" s="360">
        <f t="shared" si="58"/>
        <v>1.4200478633531868E-2</v>
      </c>
      <c r="X53" s="360">
        <f t="shared" si="38"/>
        <v>1.4200478633531868E-2</v>
      </c>
      <c r="Y53" s="4">
        <f t="shared" si="59"/>
        <v>1.864085852954017</v>
      </c>
      <c r="Z53" s="360">
        <f t="shared" si="12"/>
        <v>5.2122241007749575E-3</v>
      </c>
      <c r="AA53" s="541">
        <f t="shared" si="39"/>
        <v>5.2122241007749575E-3</v>
      </c>
      <c r="AB53" s="360">
        <f t="shared" si="60"/>
        <v>1.977986057386395</v>
      </c>
      <c r="AC53" s="360">
        <f t="shared" si="61"/>
        <v>2.3474573059289849E-2</v>
      </c>
      <c r="AD53" s="360">
        <f t="shared" si="62"/>
        <v>9.5580951655155996E-2</v>
      </c>
      <c r="AE53" s="360">
        <f t="shared" si="63"/>
        <v>-3.4229250000000003E-2</v>
      </c>
      <c r="AF53" s="360">
        <f t="shared" si="64"/>
        <v>0</v>
      </c>
      <c r="AG53" s="360">
        <f t="shared" si="65"/>
        <v>8.5130030163563186E-2</v>
      </c>
      <c r="AH53" s="360">
        <f t="shared" si="66"/>
        <v>5.5737070674328555</v>
      </c>
      <c r="AI53" s="360">
        <f t="shared" si="67"/>
        <v>7.7665526183877412E-2</v>
      </c>
      <c r="AJ53" s="360">
        <f t="shared" si="68"/>
        <v>2.276736E-2</v>
      </c>
      <c r="AK53" s="360">
        <f t="shared" si="69"/>
        <v>0.10201753529562076</v>
      </c>
      <c r="AL53" s="360">
        <f t="shared" si="70"/>
        <v>2.276736E-2</v>
      </c>
      <c r="AM53" s="360">
        <f t="shared" si="71"/>
        <v>0.26135999999999998</v>
      </c>
      <c r="AN53" s="360">
        <f t="shared" si="72"/>
        <v>0.13991455726706375</v>
      </c>
      <c r="AO53" s="360">
        <f t="shared" si="73"/>
        <v>1.5749999999999998E-3</v>
      </c>
      <c r="AP53" s="360">
        <f t="shared" si="74"/>
        <v>0.32669999999999993</v>
      </c>
      <c r="AQ53" s="360">
        <f t="shared" si="75"/>
        <v>0.31218000000000001</v>
      </c>
      <c r="AR53" s="360">
        <f t="shared" si="76"/>
        <v>0.29039999999999999</v>
      </c>
      <c r="AS53" s="360">
        <f t="shared" si="48"/>
        <v>0.32827499999999993</v>
      </c>
      <c r="AT53" s="360">
        <f t="shared" si="41"/>
        <v>1.4405091138469708</v>
      </c>
      <c r="AU53">
        <f t="shared" si="77"/>
        <v>26.400000000000002</v>
      </c>
      <c r="AV53" s="542">
        <f t="shared" si="42"/>
        <v>0.94825852113708264</v>
      </c>
      <c r="AW53" s="551">
        <f t="shared" si="78"/>
        <v>9.7898499462153996</v>
      </c>
      <c r="AX53" s="551">
        <f t="shared" si="79"/>
        <v>7.154120741233589</v>
      </c>
      <c r="AY53" s="9"/>
      <c r="AZ53" s="4">
        <f t="shared" si="43"/>
        <v>94.825852113708265</v>
      </c>
      <c r="BA53" s="360">
        <f t="shared" si="80"/>
        <v>0.48163192838641644</v>
      </c>
      <c r="BB53" s="360">
        <f t="shared" si="44"/>
        <v>0.44850756545918391</v>
      </c>
      <c r="BC53" s="360">
        <f t="shared" si="45"/>
        <v>0.25762763016356316</v>
      </c>
      <c r="BD53" s="360">
        <f t="shared" si="46"/>
        <v>0.18826633529562076</v>
      </c>
      <c r="BE53" s="360">
        <f t="shared" si="47"/>
        <v>0.13991455726706375</v>
      </c>
    </row>
    <row r="54" spans="1:64" x14ac:dyDescent="0.25">
      <c r="A54" s="23" t="s">
        <v>73</v>
      </c>
      <c r="B54" s="5">
        <f>Qrr_Q4*1000000000</f>
        <v>59.999999999999993</v>
      </c>
      <c r="C54" s="440" t="s">
        <v>65</v>
      </c>
      <c r="D54" s="21" t="s">
        <v>110</v>
      </c>
      <c r="G54">
        <v>45</v>
      </c>
      <c r="H54" s="548">
        <f t="shared" si="0"/>
        <v>45</v>
      </c>
      <c r="I54" s="4">
        <f t="shared" si="49"/>
        <v>2</v>
      </c>
      <c r="J54" s="360">
        <f t="shared" si="81"/>
        <v>5.4</v>
      </c>
      <c r="K54" s="4">
        <f t="shared" si="50"/>
        <v>0.66666666666666663</v>
      </c>
      <c r="L54" s="4"/>
      <c r="M54" s="360">
        <f t="shared" si="51"/>
        <v>0.11186877775378412</v>
      </c>
      <c r="N54" s="4">
        <f t="shared" si="52"/>
        <v>9.2316241833735333</v>
      </c>
      <c r="O54" s="4">
        <f t="shared" si="35"/>
        <v>10.015812091686767</v>
      </c>
      <c r="P54" s="4">
        <f t="shared" si="36"/>
        <v>0.78418790831323371</v>
      </c>
      <c r="Q54" s="4">
        <f t="shared" si="53"/>
        <v>0</v>
      </c>
      <c r="R54" s="4">
        <f t="shared" si="54"/>
        <v>6.0217860380942847</v>
      </c>
      <c r="S54" s="360">
        <f t="shared" si="55"/>
        <v>0.18130953544293632</v>
      </c>
      <c r="T54" s="360">
        <f t="shared" si="56"/>
        <v>0.3</v>
      </c>
      <c r="U54" s="360">
        <f t="shared" si="57"/>
        <v>0.4883935683217957</v>
      </c>
      <c r="V54" s="4">
        <f t="shared" si="37"/>
        <v>2.6649403536640843</v>
      </c>
      <c r="W54" s="360">
        <f t="shared" si="58"/>
        <v>1.420381417717451E-2</v>
      </c>
      <c r="X54" s="360">
        <f t="shared" si="38"/>
        <v>1.420381417717451E-2</v>
      </c>
      <c r="Y54" s="4">
        <f t="shared" si="59"/>
        <v>1.8980967079503868</v>
      </c>
      <c r="Z54" s="360">
        <f t="shared" si="12"/>
        <v>5.4041566690981434E-3</v>
      </c>
      <c r="AA54" s="541">
        <f t="shared" si="39"/>
        <v>5.4041566690981434E-3</v>
      </c>
      <c r="AB54" s="360">
        <f t="shared" si="60"/>
        <v>2.0140941450243921</v>
      </c>
      <c r="AC54" s="360">
        <f t="shared" si="61"/>
        <v>2.4339451350129222E-2</v>
      </c>
      <c r="AD54" s="360">
        <f t="shared" si="62"/>
        <v>9.7753246010954989E-2</v>
      </c>
      <c r="AE54" s="360">
        <f t="shared" si="63"/>
        <v>-3.4229250000000003E-2</v>
      </c>
      <c r="AF54" s="360">
        <f t="shared" si="64"/>
        <v>0</v>
      </c>
      <c r="AG54" s="360">
        <f t="shared" si="65"/>
        <v>8.8189713726602434E-2</v>
      </c>
      <c r="AH54" s="360">
        <f t="shared" si="66"/>
        <v>5.6749741729426155</v>
      </c>
      <c r="AI54" s="360">
        <f t="shared" si="67"/>
        <v>8.051332965891432E-2</v>
      </c>
      <c r="AJ54" s="360">
        <f t="shared" si="68"/>
        <v>2.3284800000000001E-2</v>
      </c>
      <c r="AK54" s="360">
        <f t="shared" si="69"/>
        <v>0.10549691117642325</v>
      </c>
      <c r="AL54" s="360">
        <f t="shared" si="70"/>
        <v>2.3284800000000001E-2</v>
      </c>
      <c r="AM54" s="360">
        <f t="shared" si="71"/>
        <v>0.26729999999999998</v>
      </c>
      <c r="AN54" s="360">
        <f t="shared" si="72"/>
        <v>0.14504762835434906</v>
      </c>
      <c r="AO54" s="360">
        <f t="shared" si="73"/>
        <v>1.5749999999999998E-3</v>
      </c>
      <c r="AP54" s="360">
        <f t="shared" si="74"/>
        <v>0.32669999999999993</v>
      </c>
      <c r="AQ54" s="360">
        <f t="shared" si="75"/>
        <v>0.31218000000000001</v>
      </c>
      <c r="AR54" s="360">
        <f t="shared" si="76"/>
        <v>0.29039999999999999</v>
      </c>
      <c r="AS54" s="360">
        <f t="shared" si="48"/>
        <v>0.32827499999999993</v>
      </c>
      <c r="AT54" s="360">
        <f t="shared" si="41"/>
        <v>1.4655955924254431</v>
      </c>
      <c r="AU54">
        <f t="shared" si="77"/>
        <v>27</v>
      </c>
      <c r="AV54" s="542">
        <f t="shared" si="42"/>
        <v>0.94851344010467742</v>
      </c>
      <c r="AW54" s="551">
        <f t="shared" si="78"/>
        <v>10.055093121610891</v>
      </c>
      <c r="AX54" s="551">
        <f t="shared" si="79"/>
        <v>7.3608246247040832</v>
      </c>
      <c r="AY54" s="9"/>
      <c r="AZ54" s="4">
        <f t="shared" si="43"/>
        <v>94.851344010467741</v>
      </c>
      <c r="BA54" s="360">
        <f t="shared" si="80"/>
        <v>0.4883935683217957</v>
      </c>
      <c r="BB54" s="360">
        <f t="shared" si="44"/>
        <v>0.46098662490302567</v>
      </c>
      <c r="BC54" s="360">
        <f t="shared" si="45"/>
        <v>0.26460771372660241</v>
      </c>
      <c r="BD54" s="360">
        <f t="shared" si="46"/>
        <v>0.19370591117642325</v>
      </c>
      <c r="BE54" s="360">
        <f t="shared" si="47"/>
        <v>0.14504762835434906</v>
      </c>
    </row>
    <row r="55" spans="1:64" x14ac:dyDescent="0.25">
      <c r="A55" s="23" t="s">
        <v>74</v>
      </c>
      <c r="B55" s="5">
        <f>Trr_Q4*1000000000</f>
        <v>40</v>
      </c>
      <c r="C55" s="440" t="s">
        <v>75</v>
      </c>
      <c r="D55" s="76" t="s">
        <v>106</v>
      </c>
      <c r="G55">
        <v>46</v>
      </c>
      <c r="H55" s="548">
        <f t="shared" si="0"/>
        <v>45</v>
      </c>
      <c r="I55" s="4">
        <f t="shared" si="49"/>
        <v>2</v>
      </c>
      <c r="J55" s="360">
        <f t="shared" si="81"/>
        <v>5.52</v>
      </c>
      <c r="K55" s="4">
        <f t="shared" si="50"/>
        <v>0.68148148148148147</v>
      </c>
      <c r="L55" s="4"/>
      <c r="M55" s="360">
        <f t="shared" si="51"/>
        <v>0.11188561024775892</v>
      </c>
      <c r="N55" s="4">
        <f t="shared" si="52"/>
        <v>9.2327080901985781</v>
      </c>
      <c r="O55" s="4">
        <f t="shared" si="35"/>
        <v>10.136354045099289</v>
      </c>
      <c r="P55" s="4">
        <f t="shared" si="36"/>
        <v>0.90364595490071054</v>
      </c>
      <c r="Q55" s="4">
        <f t="shared" si="53"/>
        <v>0</v>
      </c>
      <c r="R55" s="4">
        <f t="shared" si="54"/>
        <v>6.1297614056259579</v>
      </c>
      <c r="S55" s="360">
        <f t="shared" si="55"/>
        <v>0.18786987444950762</v>
      </c>
      <c r="T55" s="360">
        <f t="shared" si="56"/>
        <v>0.3</v>
      </c>
      <c r="U55" s="360">
        <f t="shared" si="57"/>
        <v>0.49531424444282973</v>
      </c>
      <c r="V55" s="4">
        <f t="shared" si="37"/>
        <v>2.6652532506126927</v>
      </c>
      <c r="W55" s="360">
        <f t="shared" si="58"/>
        <v>1.4207149779803051E-2</v>
      </c>
      <c r="X55" s="360">
        <f t="shared" si="38"/>
        <v>1.4207149779803051E-2</v>
      </c>
      <c r="Y55" s="4">
        <f t="shared" si="59"/>
        <v>1.932258121141063</v>
      </c>
      <c r="Z55" s="360">
        <f t="shared" si="12"/>
        <v>5.6004321700733866E-3</v>
      </c>
      <c r="AA55" s="541">
        <f t="shared" si="39"/>
        <v>5.6004321700733866E-3</v>
      </c>
      <c r="AB55" s="360">
        <f t="shared" si="60"/>
        <v>2.0503626776720751</v>
      </c>
      <c r="AC55" s="360">
        <f t="shared" si="61"/>
        <v>2.5223922659943613E-2</v>
      </c>
      <c r="AD55" s="360">
        <f t="shared" si="62"/>
        <v>9.9925540366753968E-2</v>
      </c>
      <c r="AE55" s="360">
        <f t="shared" si="63"/>
        <v>-3.4229250000000003E-2</v>
      </c>
      <c r="AF55" s="360">
        <f t="shared" si="64"/>
        <v>0</v>
      </c>
      <c r="AG55" s="360">
        <f t="shared" si="65"/>
        <v>9.1270146074771852E-2</v>
      </c>
      <c r="AH55" s="360">
        <f t="shared" si="66"/>
        <v>5.7766761879051964</v>
      </c>
      <c r="AI55" s="360">
        <f t="shared" si="67"/>
        <v>8.3424969449777286E-2</v>
      </c>
      <c r="AJ55" s="360">
        <f t="shared" si="68"/>
        <v>2.3802239999999999E-2</v>
      </c>
      <c r="AK55" s="360">
        <f t="shared" si="69"/>
        <v>0.10904665217503789</v>
      </c>
      <c r="AL55" s="360">
        <f t="shared" si="70"/>
        <v>2.3802239999999999E-2</v>
      </c>
      <c r="AM55" s="360">
        <f t="shared" si="71"/>
        <v>0.27323999999999998</v>
      </c>
      <c r="AN55" s="360">
        <f t="shared" si="72"/>
        <v>0.15029589955960609</v>
      </c>
      <c r="AO55" s="360">
        <f t="shared" si="73"/>
        <v>1.5749999999999998E-3</v>
      </c>
      <c r="AP55" s="360">
        <f t="shared" si="74"/>
        <v>0.32669999999999993</v>
      </c>
      <c r="AQ55" s="360">
        <f t="shared" si="75"/>
        <v>0.31218000000000001</v>
      </c>
      <c r="AR55" s="360">
        <f t="shared" si="76"/>
        <v>0.29039999999999999</v>
      </c>
      <c r="AS55" s="360">
        <f t="shared" si="48"/>
        <v>0.32827499999999993</v>
      </c>
      <c r="AT55" s="360">
        <f t="shared" si="41"/>
        <v>1.4910517642021217</v>
      </c>
      <c r="AU55">
        <f t="shared" si="77"/>
        <v>27.599999999999998</v>
      </c>
      <c r="AV55" s="542">
        <f t="shared" si="42"/>
        <v>0.9487453469785877</v>
      </c>
      <c r="AW55" s="551">
        <f t="shared" si="78"/>
        <v>10.321124750841332</v>
      </c>
      <c r="AX55" s="551">
        <f t="shared" si="79"/>
        <v>7.5702023826514404</v>
      </c>
      <c r="AY55" s="9"/>
      <c r="AZ55" s="4">
        <f t="shared" si="43"/>
        <v>94.874534697858763</v>
      </c>
      <c r="BA55" s="360">
        <f t="shared" si="80"/>
        <v>0.49531424444282973</v>
      </c>
      <c r="BB55" s="360">
        <f t="shared" si="44"/>
        <v>0.47355679824980973</v>
      </c>
      <c r="BC55" s="360">
        <f t="shared" si="45"/>
        <v>0.27160854607477186</v>
      </c>
      <c r="BD55" s="360">
        <f t="shared" si="46"/>
        <v>0.1992158521750379</v>
      </c>
      <c r="BE55" s="360">
        <f t="shared" si="47"/>
        <v>0.15029589955960609</v>
      </c>
    </row>
    <row r="56" spans="1:64" ht="15.5" x14ac:dyDescent="0.4">
      <c r="A56" s="446" t="s">
        <v>471</v>
      </c>
      <c r="B56" s="5">
        <f>ThetaJA_Q4</f>
        <v>38</v>
      </c>
      <c r="C56" s="441" t="s">
        <v>205</v>
      </c>
      <c r="D56" s="76" t="s">
        <v>103</v>
      </c>
      <c r="E56" s="2"/>
      <c r="G56">
        <v>47</v>
      </c>
      <c r="H56" s="548">
        <f t="shared" si="0"/>
        <v>45</v>
      </c>
      <c r="I56" s="4">
        <f t="shared" si="49"/>
        <v>2</v>
      </c>
      <c r="J56" s="360">
        <f t="shared" si="81"/>
        <v>5.64</v>
      </c>
      <c r="K56" s="4">
        <f t="shared" si="50"/>
        <v>0.6962962962962963</v>
      </c>
      <c r="L56" s="4"/>
      <c r="M56" s="360">
        <f t="shared" si="51"/>
        <v>0.1119024425442869</v>
      </c>
      <c r="N56" s="4">
        <f t="shared" si="52"/>
        <v>9.2337918889174126</v>
      </c>
      <c r="O56" s="4">
        <f t="shared" si="35"/>
        <v>10.256895944458705</v>
      </c>
      <c r="P56" s="4">
        <f t="shared" si="36"/>
        <v>1.0231040555412934</v>
      </c>
      <c r="Q56" s="4">
        <f t="shared" si="53"/>
        <v>0</v>
      </c>
      <c r="R56" s="4">
        <f t="shared" si="54"/>
        <v>6.2381762335359747</v>
      </c>
      <c r="S56" s="360">
        <f t="shared" si="55"/>
        <v>0.19457421360326538</v>
      </c>
      <c r="T56" s="360">
        <f t="shared" si="56"/>
        <v>0.3</v>
      </c>
      <c r="U56" s="360">
        <f t="shared" si="57"/>
        <v>0.50239445406879157</v>
      </c>
      <c r="V56" s="4">
        <f t="shared" si="37"/>
        <v>2.6655661163537259</v>
      </c>
      <c r="W56" s="360">
        <f t="shared" si="58"/>
        <v>1.4210485441306171E-2</v>
      </c>
      <c r="X56" s="360">
        <f t="shared" si="38"/>
        <v>1.4210485441306171E-2</v>
      </c>
      <c r="Y56" s="4">
        <f t="shared" si="59"/>
        <v>1.9665625327489002</v>
      </c>
      <c r="Z56" s="360">
        <f t="shared" si="12"/>
        <v>5.8010522928176539E-3</v>
      </c>
      <c r="AA56" s="541">
        <f t="shared" si="39"/>
        <v>5.8010522928176539E-3</v>
      </c>
      <c r="AB56" s="360">
        <f t="shared" si="60"/>
        <v>2.0867836379624607</v>
      </c>
      <c r="AC56" s="360">
        <f t="shared" si="61"/>
        <v>2.6127995710007054E-2</v>
      </c>
      <c r="AD56" s="360">
        <f t="shared" si="62"/>
        <v>0.10209783472255296</v>
      </c>
      <c r="AE56" s="360">
        <f t="shared" si="63"/>
        <v>-3.4229250000000003E-2</v>
      </c>
      <c r="AF56" s="360">
        <f t="shared" si="64"/>
        <v>0</v>
      </c>
      <c r="AG56" s="360">
        <f t="shared" si="65"/>
        <v>9.4371372123068828E-2</v>
      </c>
      <c r="AH56" s="360">
        <f t="shared" si="66"/>
        <v>5.8787904171679086</v>
      </c>
      <c r="AI56" s="360">
        <f t="shared" si="67"/>
        <v>8.6400441922463087E-2</v>
      </c>
      <c r="AJ56" s="360">
        <f t="shared" si="68"/>
        <v>2.4319679999999996E-2</v>
      </c>
      <c r="AK56" s="360">
        <f t="shared" si="69"/>
        <v>0.11266701795066783</v>
      </c>
      <c r="AL56" s="360">
        <f t="shared" si="70"/>
        <v>2.4319679999999996E-2</v>
      </c>
      <c r="AM56" s="360">
        <f t="shared" si="71"/>
        <v>0.27917999999999998</v>
      </c>
      <c r="AN56" s="360">
        <f t="shared" si="72"/>
        <v>0.15565937088261231</v>
      </c>
      <c r="AO56" s="360">
        <f t="shared" si="73"/>
        <v>1.5749999999999998E-3</v>
      </c>
      <c r="AP56" s="360">
        <f t="shared" si="74"/>
        <v>0.32669999999999993</v>
      </c>
      <c r="AQ56" s="360">
        <f t="shared" si="75"/>
        <v>0.31218000000000001</v>
      </c>
      <c r="AR56" s="360">
        <f t="shared" si="76"/>
        <v>0.29039999999999999</v>
      </c>
      <c r="AS56" s="360">
        <f t="shared" si="48"/>
        <v>0.32827499999999993</v>
      </c>
      <c r="AT56" s="360">
        <f t="shared" si="41"/>
        <v>1.5168784327592642</v>
      </c>
      <c r="AU56">
        <f t="shared" si="77"/>
        <v>28.2</v>
      </c>
      <c r="AV56" s="542">
        <f t="shared" si="42"/>
        <v>0.94895566046105673</v>
      </c>
      <c r="AW56" s="551">
        <f t="shared" si="78"/>
        <v>10.587946540676615</v>
      </c>
      <c r="AX56" s="551">
        <f t="shared" si="79"/>
        <v>7.7822638821253776</v>
      </c>
      <c r="AY56" s="9"/>
      <c r="AZ56" s="4">
        <f t="shared" si="43"/>
        <v>94.895566046105671</v>
      </c>
      <c r="BA56" s="360">
        <f t="shared" si="80"/>
        <v>0.50239445406879157</v>
      </c>
      <c r="BB56" s="360">
        <f t="shared" si="44"/>
        <v>0.48621839007373663</v>
      </c>
      <c r="BC56" s="360">
        <f t="shared" si="45"/>
        <v>0.27863017212306884</v>
      </c>
      <c r="BD56" s="360">
        <f t="shared" si="46"/>
        <v>0.20479641795066783</v>
      </c>
      <c r="BE56" s="360">
        <f t="shared" si="47"/>
        <v>0.15565937088261231</v>
      </c>
      <c r="BK56" s="18"/>
      <c r="BL56" s="19"/>
    </row>
    <row r="57" spans="1:64" ht="13" x14ac:dyDescent="0.3">
      <c r="A57" s="24" t="s">
        <v>224</v>
      </c>
      <c r="B57" s="15" t="s">
        <v>111</v>
      </c>
      <c r="C57" s="24" t="s">
        <v>76</v>
      </c>
      <c r="D57" s="24" t="s">
        <v>213</v>
      </c>
      <c r="G57">
        <v>48</v>
      </c>
      <c r="H57" s="548">
        <f t="shared" si="0"/>
        <v>45</v>
      </c>
      <c r="I57" s="4">
        <f t="shared" si="49"/>
        <v>2</v>
      </c>
      <c r="J57" s="360">
        <f t="shared" si="81"/>
        <v>5.76</v>
      </c>
      <c r="K57" s="4">
        <f t="shared" si="50"/>
        <v>0.71111111111111103</v>
      </c>
      <c r="L57" s="4"/>
      <c r="M57" s="360">
        <f t="shared" si="51"/>
        <v>0.11191927464337154</v>
      </c>
      <c r="N57" s="4">
        <f t="shared" si="52"/>
        <v>9.2348755795319342</v>
      </c>
      <c r="O57" s="4">
        <f t="shared" si="35"/>
        <v>10.377437789765967</v>
      </c>
      <c r="P57" s="4">
        <f t="shared" si="36"/>
        <v>1.1425622102340327</v>
      </c>
      <c r="Q57" s="4">
        <f t="shared" si="53"/>
        <v>0</v>
      </c>
      <c r="R57" s="4">
        <f t="shared" si="54"/>
        <v>6.3470080022626627</v>
      </c>
      <c r="S57" s="360">
        <f t="shared" si="55"/>
        <v>0.20142255290393138</v>
      </c>
      <c r="T57" s="360">
        <f t="shared" si="56"/>
        <v>0.3</v>
      </c>
      <c r="U57" s="360">
        <f t="shared" si="57"/>
        <v>0.50963470679928813</v>
      </c>
      <c r="V57" s="4">
        <f t="shared" si="37"/>
        <v>2.6658789508877319</v>
      </c>
      <c r="W57" s="360">
        <f t="shared" si="58"/>
        <v>1.4213821161572548E-2</v>
      </c>
      <c r="X57" s="360">
        <f t="shared" si="38"/>
        <v>1.4213821161572548E-2</v>
      </c>
      <c r="Y57" s="4">
        <f t="shared" si="59"/>
        <v>2.0010028696067188</v>
      </c>
      <c r="Z57" s="360">
        <f t="shared" si="12"/>
        <v>6.0060187262614851E-3</v>
      </c>
      <c r="AA57" s="541">
        <f t="shared" si="39"/>
        <v>6.0060187262614851E-3</v>
      </c>
      <c r="AB57" s="360">
        <f t="shared" si="60"/>
        <v>2.1233495245872325</v>
      </c>
      <c r="AC57" s="360">
        <f t="shared" si="61"/>
        <v>2.7051679221388954E-2</v>
      </c>
      <c r="AD57" s="360">
        <f t="shared" si="62"/>
        <v>0.10427012907835198</v>
      </c>
      <c r="AE57" s="360">
        <f t="shared" si="63"/>
        <v>-3.4229250000000003E-2</v>
      </c>
      <c r="AF57" s="360">
        <f t="shared" si="64"/>
        <v>0</v>
      </c>
      <c r="AG57" s="360">
        <f t="shared" si="65"/>
        <v>9.7493437200520477E-2</v>
      </c>
      <c r="AH57" s="360">
        <f t="shared" si="66"/>
        <v>5.9812956269709199</v>
      </c>
      <c r="AI57" s="360">
        <f t="shared" si="67"/>
        <v>8.9439743443053624E-2</v>
      </c>
      <c r="AJ57" s="360">
        <f t="shared" si="68"/>
        <v>2.4837119999999997E-2</v>
      </c>
      <c r="AK57" s="360">
        <f t="shared" si="69"/>
        <v>0.11635827428292184</v>
      </c>
      <c r="AL57" s="360">
        <f t="shared" si="70"/>
        <v>2.4837119999999997E-2</v>
      </c>
      <c r="AM57" s="360">
        <f t="shared" si="71"/>
        <v>0.28511999999999998</v>
      </c>
      <c r="AN57" s="360">
        <f t="shared" si="72"/>
        <v>0.1611380423231451</v>
      </c>
      <c r="AO57" s="360">
        <f t="shared" si="73"/>
        <v>1.5749999999999998E-3</v>
      </c>
      <c r="AP57" s="360">
        <f t="shared" si="74"/>
        <v>0.32669999999999993</v>
      </c>
      <c r="AQ57" s="360">
        <f t="shared" si="75"/>
        <v>0.31218000000000001</v>
      </c>
      <c r="AR57" s="360">
        <f t="shared" si="76"/>
        <v>0.29039999999999999</v>
      </c>
      <c r="AS57" s="360">
        <f t="shared" si="48"/>
        <v>0.32827499999999993</v>
      </c>
      <c r="AT57" s="360">
        <f t="shared" si="41"/>
        <v>1.5430764204937093</v>
      </c>
      <c r="AU57">
        <f t="shared" si="77"/>
        <v>28.799999999999997</v>
      </c>
      <c r="AV57" s="542">
        <f t="shared" si="42"/>
        <v>0.94914568321584181</v>
      </c>
      <c r="AW57" s="551">
        <f t="shared" si="78"/>
        <v>10.855560213619778</v>
      </c>
      <c r="AX57" s="551">
        <f t="shared" si="79"/>
        <v>7.9970192227510299</v>
      </c>
      <c r="AY57" s="9"/>
      <c r="AZ57" s="4">
        <f t="shared" si="43"/>
        <v>94.914568321584184</v>
      </c>
      <c r="BA57" s="360">
        <f t="shared" si="80"/>
        <v>0.50963470679928813</v>
      </c>
      <c r="BB57" s="360">
        <f t="shared" si="44"/>
        <v>0.49897171148344233</v>
      </c>
      <c r="BC57" s="360">
        <f t="shared" si="45"/>
        <v>0.2856726372005205</v>
      </c>
      <c r="BD57" s="360">
        <f t="shared" si="46"/>
        <v>0.21044787428292183</v>
      </c>
      <c r="BE57" s="360">
        <f t="shared" si="47"/>
        <v>0.1611380423231451</v>
      </c>
      <c r="BK57" s="18"/>
      <c r="BL57" s="19"/>
    </row>
    <row r="58" spans="1:64" x14ac:dyDescent="0.25">
      <c r="A58" s="23" t="s">
        <v>195</v>
      </c>
      <c r="B58" s="73">
        <f>VfdSky_Q4</f>
        <v>0</v>
      </c>
      <c r="C58" s="440" t="s">
        <v>0</v>
      </c>
      <c r="D58" s="76" t="s">
        <v>198</v>
      </c>
      <c r="G58">
        <v>49</v>
      </c>
      <c r="H58" s="548">
        <f t="shared" si="0"/>
        <v>45</v>
      </c>
      <c r="I58" s="4">
        <f t="shared" si="49"/>
        <v>2</v>
      </c>
      <c r="J58" s="360">
        <f t="shared" si="81"/>
        <v>5.88</v>
      </c>
      <c r="K58" s="4">
        <f t="shared" si="50"/>
        <v>0.72592592592592586</v>
      </c>
      <c r="L58" s="4"/>
      <c r="M58" s="360">
        <f t="shared" si="51"/>
        <v>0.11193610654501629</v>
      </c>
      <c r="N58" s="4">
        <f t="shared" si="52"/>
        <v>9.2359591620440469</v>
      </c>
      <c r="O58" s="4">
        <f t="shared" si="35"/>
        <v>10.497979581022022</v>
      </c>
      <c r="P58" s="4">
        <f t="shared" si="36"/>
        <v>1.2620204189779765</v>
      </c>
      <c r="Q58" s="4">
        <f t="shared" si="53"/>
        <v>0</v>
      </c>
      <c r="R58" s="4">
        <f t="shared" si="54"/>
        <v>6.4562356269149168</v>
      </c>
      <c r="S58" s="360">
        <f t="shared" si="55"/>
        <v>0.20841489235122726</v>
      </c>
      <c r="T58" s="360">
        <f t="shared" si="56"/>
        <v>0.3</v>
      </c>
      <c r="U58" s="360">
        <f t="shared" si="57"/>
        <v>0.51703552460745306</v>
      </c>
      <c r="V58" s="4">
        <f t="shared" si="37"/>
        <v>2.6661917542152604</v>
      </c>
      <c r="W58" s="360">
        <f t="shared" si="58"/>
        <v>1.4217156940490895E-2</v>
      </c>
      <c r="X58" s="360">
        <f t="shared" si="38"/>
        <v>1.4217156940490895E-2</v>
      </c>
      <c r="Y58" s="4">
        <f t="shared" si="59"/>
        <v>2.0355725090088694</v>
      </c>
      <c r="Z58" s="360">
        <f t="shared" si="12"/>
        <v>6.215333159148996E-3</v>
      </c>
      <c r="AA58" s="541">
        <f t="shared" si="39"/>
        <v>6.215333159148996E-3</v>
      </c>
      <c r="AB58" s="360">
        <f t="shared" si="60"/>
        <v>2.1600533139621843</v>
      </c>
      <c r="AC58" s="360">
        <f t="shared" si="61"/>
        <v>2.7994981914954087E-2</v>
      </c>
      <c r="AD58" s="360">
        <f t="shared" si="62"/>
        <v>0.10644242343415099</v>
      </c>
      <c r="AE58" s="360">
        <f t="shared" si="63"/>
        <v>-3.4229250000000003E-2</v>
      </c>
      <c r="AF58" s="360">
        <f t="shared" si="64"/>
        <v>0</v>
      </c>
      <c r="AG58" s="360">
        <f t="shared" si="65"/>
        <v>0.10063638705210258</v>
      </c>
      <c r="AH58" s="360">
        <f t="shared" si="66"/>
        <v>6.0841719363514395</v>
      </c>
      <c r="AI58" s="360">
        <f t="shared" si="67"/>
        <v>9.2542870377716066E-2</v>
      </c>
      <c r="AJ58" s="360">
        <f t="shared" si="68"/>
        <v>2.5354559999999998E-2</v>
      </c>
      <c r="AK58" s="360">
        <f t="shared" si="69"/>
        <v>0.12012069312441488</v>
      </c>
      <c r="AL58" s="360">
        <f t="shared" si="70"/>
        <v>2.5354559999999998E-2</v>
      </c>
      <c r="AM58" s="360">
        <f t="shared" si="71"/>
        <v>0.29105999999999999</v>
      </c>
      <c r="AN58" s="360">
        <f t="shared" si="72"/>
        <v>0.1667319138809818</v>
      </c>
      <c r="AO58" s="360">
        <f t="shared" si="73"/>
        <v>1.5749999999999998E-3</v>
      </c>
      <c r="AP58" s="360">
        <f t="shared" si="74"/>
        <v>0.32669999999999993</v>
      </c>
      <c r="AQ58" s="360">
        <f t="shared" si="75"/>
        <v>0.31218000000000001</v>
      </c>
      <c r="AR58" s="360">
        <f t="shared" si="76"/>
        <v>0.29039999999999999</v>
      </c>
      <c r="AS58" s="360">
        <f t="shared" si="48"/>
        <v>0.32827499999999993</v>
      </c>
      <c r="AT58" s="360">
        <f t="shared" si="41"/>
        <v>1.569646568764592</v>
      </c>
      <c r="AU58">
        <f t="shared" si="77"/>
        <v>29.4</v>
      </c>
      <c r="AV58" s="542">
        <f t="shared" si="42"/>
        <v>0.9493166134369867</v>
      </c>
      <c r="AW58" s="551">
        <f t="shared" si="78"/>
        <v>11.123967507979899</v>
      </c>
      <c r="AX58" s="551">
        <f t="shared" si="79"/>
        <v>8.2144787387277649</v>
      </c>
      <c r="AY58" s="9"/>
      <c r="AZ58" s="4">
        <f t="shared" si="43"/>
        <v>94.931661343698664</v>
      </c>
      <c r="BA58" s="360">
        <f t="shared" si="80"/>
        <v>0.51703552460745306</v>
      </c>
      <c r="BB58" s="360">
        <f t="shared" si="44"/>
        <v>0.51181708017651739</v>
      </c>
      <c r="BC58" s="360">
        <f t="shared" si="45"/>
        <v>0.29273598705210258</v>
      </c>
      <c r="BD58" s="360">
        <f t="shared" si="46"/>
        <v>0.21617049312441489</v>
      </c>
      <c r="BE58" s="360">
        <f t="shared" si="47"/>
        <v>0.1667319138809818</v>
      </c>
      <c r="BK58" s="18"/>
      <c r="BL58" s="19"/>
    </row>
    <row r="59" spans="1:64" x14ac:dyDescent="0.25">
      <c r="A59" s="23" t="s">
        <v>196</v>
      </c>
      <c r="B59" s="73">
        <f>QrrSky_Q4*1000000000</f>
        <v>0</v>
      </c>
      <c r="C59" s="440" t="s">
        <v>65</v>
      </c>
      <c r="D59" s="76" t="s">
        <v>199</v>
      </c>
      <c r="G59">
        <v>50</v>
      </c>
      <c r="H59" s="548">
        <f t="shared" si="0"/>
        <v>45</v>
      </c>
      <c r="I59" s="4">
        <f t="shared" si="49"/>
        <v>2</v>
      </c>
      <c r="J59" s="360">
        <f t="shared" si="81"/>
        <v>6</v>
      </c>
      <c r="K59" s="4">
        <f t="shared" si="50"/>
        <v>0.7407407407407407</v>
      </c>
      <c r="L59" s="4"/>
      <c r="M59" s="360">
        <f t="shared" si="51"/>
        <v>0.11195293824922468</v>
      </c>
      <c r="N59" s="4">
        <f t="shared" si="52"/>
        <v>9.2370426364556568</v>
      </c>
      <c r="O59" s="4">
        <f t="shared" si="35"/>
        <v>10.618521318227828</v>
      </c>
      <c r="P59" s="4">
        <f t="shared" si="36"/>
        <v>1.3814786817721716</v>
      </c>
      <c r="Q59" s="4">
        <f t="shared" si="53"/>
        <v>0</v>
      </c>
      <c r="R59" s="4">
        <f t="shared" si="54"/>
        <v>6.5658393514443354</v>
      </c>
      <c r="S59" s="360">
        <f t="shared" si="55"/>
        <v>0.21555123194487485</v>
      </c>
      <c r="T59" s="360">
        <f t="shared" si="56"/>
        <v>0.3</v>
      </c>
      <c r="U59" s="360">
        <f t="shared" si="57"/>
        <v>0.52459744193562308</v>
      </c>
      <c r="V59" s="4">
        <f t="shared" si="37"/>
        <v>2.6665045263368623</v>
      </c>
      <c r="W59" s="360">
        <f t="shared" si="58"/>
        <v>1.4220492777949949E-2</v>
      </c>
      <c r="X59" s="360">
        <f t="shared" si="38"/>
        <v>1.4220492777949949E-2</v>
      </c>
      <c r="Y59" s="4">
        <f t="shared" si="59"/>
        <v>2.0702652454919725</v>
      </c>
      <c r="Z59" s="360">
        <f t="shared" si="12"/>
        <v>6.4289972800379066E-3</v>
      </c>
      <c r="AA59" s="541">
        <f t="shared" si="39"/>
        <v>6.4289972800379066E-3</v>
      </c>
      <c r="AB59" s="360">
        <f t="shared" si="60"/>
        <v>2.1968884249988156</v>
      </c>
      <c r="AC59" s="360">
        <f t="shared" si="61"/>
        <v>2.8957912511362663E-2</v>
      </c>
      <c r="AD59" s="360">
        <f t="shared" si="62"/>
        <v>0.10861471778994998</v>
      </c>
      <c r="AE59" s="360">
        <f t="shared" si="63"/>
        <v>-3.4229250000000003E-2</v>
      </c>
      <c r="AF59" s="360">
        <f t="shared" si="64"/>
        <v>0</v>
      </c>
      <c r="AG59" s="360">
        <f t="shared" si="65"/>
        <v>0.10380026784068017</v>
      </c>
      <c r="AH59" s="360">
        <f t="shared" si="66"/>
        <v>6.187400717351446</v>
      </c>
      <c r="AI59" s="360">
        <f t="shared" si="67"/>
        <v>9.5709819092702986E-2</v>
      </c>
      <c r="AJ59" s="360">
        <f t="shared" si="68"/>
        <v>2.5871999999999999E-2</v>
      </c>
      <c r="AK59" s="360">
        <f t="shared" si="69"/>
        <v>0.12395455265476386</v>
      </c>
      <c r="AL59" s="360">
        <f t="shared" si="70"/>
        <v>2.5871999999999999E-2</v>
      </c>
      <c r="AM59" s="360">
        <f t="shared" si="71"/>
        <v>0.29699999999999999</v>
      </c>
      <c r="AN59" s="360">
        <f t="shared" si="72"/>
        <v>0.1724409855558999</v>
      </c>
      <c r="AO59" s="360">
        <f t="shared" si="73"/>
        <v>1.5749999999999998E-3</v>
      </c>
      <c r="AP59" s="360">
        <f t="shared" si="74"/>
        <v>0.32669999999999993</v>
      </c>
      <c r="AQ59" s="360">
        <f t="shared" si="75"/>
        <v>0.31218000000000001</v>
      </c>
      <c r="AR59" s="360">
        <f t="shared" si="76"/>
        <v>0.29039999999999999</v>
      </c>
      <c r="AS59" s="360">
        <f t="shared" si="48"/>
        <v>0.32827499999999993</v>
      </c>
      <c r="AT59" s="360">
        <f t="shared" si="41"/>
        <v>1.5965897380449547</v>
      </c>
      <c r="AU59">
        <f t="shared" si="77"/>
        <v>30</v>
      </c>
      <c r="AV59" s="542">
        <f t="shared" si="42"/>
        <v>0.94946955506016129</v>
      </c>
      <c r="AW59" s="551">
        <f t="shared" si="78"/>
        <v>11.393170177945846</v>
      </c>
      <c r="AX59" s="551">
        <f t="shared" si="79"/>
        <v>8.4346530008810277</v>
      </c>
      <c r="AY59" s="9"/>
      <c r="AZ59" s="4">
        <f t="shared" si="43"/>
        <v>94.946955506016124</v>
      </c>
      <c r="BA59" s="360">
        <f t="shared" si="80"/>
        <v>0.52459744193562308</v>
      </c>
      <c r="BB59" s="360">
        <f t="shared" si="44"/>
        <v>0.52475482049544397</v>
      </c>
      <c r="BC59" s="360">
        <f t="shared" si="45"/>
        <v>0.29982026784068017</v>
      </c>
      <c r="BD59" s="360">
        <f t="shared" si="46"/>
        <v>0.22196455265476386</v>
      </c>
      <c r="BE59" s="360">
        <f t="shared" si="47"/>
        <v>0.1724409855558999</v>
      </c>
      <c r="BK59" s="18"/>
      <c r="BL59" s="19"/>
    </row>
    <row r="60" spans="1:64" ht="13" x14ac:dyDescent="0.3">
      <c r="A60" s="23" t="s">
        <v>197</v>
      </c>
      <c r="B60" s="73">
        <f>Ireverse</f>
        <v>0</v>
      </c>
      <c r="C60" s="440" t="s">
        <v>64</v>
      </c>
      <c r="D60" s="76" t="s">
        <v>200</v>
      </c>
      <c r="E60" s="2"/>
      <c r="G60">
        <v>51</v>
      </c>
      <c r="H60" s="548">
        <f t="shared" si="0"/>
        <v>45</v>
      </c>
      <c r="I60" s="4">
        <f t="shared" si="49"/>
        <v>2</v>
      </c>
      <c r="J60" s="360">
        <f t="shared" si="81"/>
        <v>6.12</v>
      </c>
      <c r="K60" s="4">
        <f t="shared" si="50"/>
        <v>0.75555555555555554</v>
      </c>
      <c r="L60" s="4"/>
      <c r="M60" s="360">
        <f t="shared" si="51"/>
        <v>0.11196976975600012</v>
      </c>
      <c r="N60" s="4">
        <f t="shared" si="52"/>
        <v>9.2381260027686576</v>
      </c>
      <c r="O60" s="4">
        <f t="shared" si="35"/>
        <v>10.739063001384329</v>
      </c>
      <c r="P60" s="4">
        <f t="shared" si="36"/>
        <v>1.5009369986156713</v>
      </c>
      <c r="Q60" s="4">
        <f t="shared" si="53"/>
        <v>0</v>
      </c>
      <c r="R60" s="4">
        <f t="shared" si="54"/>
        <v>6.6758006513765222</v>
      </c>
      <c r="S60" s="360">
        <f t="shared" si="55"/>
        <v>0.222831571684596</v>
      </c>
      <c r="T60" s="360">
        <f t="shared" si="56"/>
        <v>0.3</v>
      </c>
      <c r="U60" s="360">
        <f t="shared" si="57"/>
        <v>0.53232100579353181</v>
      </c>
      <c r="V60" s="4">
        <f t="shared" si="37"/>
        <v>2.6668172672530832</v>
      </c>
      <c r="W60" s="360">
        <f t="shared" si="58"/>
        <v>1.4223828673838404E-2</v>
      </c>
      <c r="X60" s="360">
        <f t="shared" si="38"/>
        <v>1.4223828673838404E-2</v>
      </c>
      <c r="Y60" s="4">
        <f t="shared" si="59"/>
        <v>2.105075260301402</v>
      </c>
      <c r="Z60" s="360">
        <f t="shared" si="12"/>
        <v>6.6470127772995232E-3</v>
      </c>
      <c r="AA60" s="541">
        <f t="shared" si="39"/>
        <v>6.6470127772995232E-3</v>
      </c>
      <c r="AB60" s="360">
        <f t="shared" si="60"/>
        <v>2.2338486867239622</v>
      </c>
      <c r="AC60" s="360">
        <f t="shared" si="61"/>
        <v>2.9940479731070224E-2</v>
      </c>
      <c r="AD60" s="360">
        <f t="shared" si="62"/>
        <v>0.11078701214574896</v>
      </c>
      <c r="AE60" s="360">
        <f t="shared" si="63"/>
        <v>-3.4229250000000003E-2</v>
      </c>
      <c r="AF60" s="360">
        <f t="shared" si="64"/>
        <v>0</v>
      </c>
      <c r="AG60" s="360">
        <f t="shared" si="65"/>
        <v>0.10698512614896954</v>
      </c>
      <c r="AH60" s="360">
        <f t="shared" si="66"/>
        <v>6.2909645032968378</v>
      </c>
      <c r="AI60" s="360">
        <f t="shared" si="67"/>
        <v>9.8940585954352081E-2</v>
      </c>
      <c r="AJ60" s="360">
        <f t="shared" si="68"/>
        <v>2.638944E-2</v>
      </c>
      <c r="AK60" s="360">
        <f t="shared" si="69"/>
        <v>0.12786013733599758</v>
      </c>
      <c r="AL60" s="360">
        <f t="shared" si="70"/>
        <v>2.638944E-2</v>
      </c>
      <c r="AM60" s="360">
        <f t="shared" si="71"/>
        <v>0.30293999999999999</v>
      </c>
      <c r="AN60" s="360">
        <f t="shared" si="72"/>
        <v>0.17826525734767679</v>
      </c>
      <c r="AO60" s="360">
        <f t="shared" si="73"/>
        <v>1.5749999999999998E-3</v>
      </c>
      <c r="AP60" s="360">
        <f t="shared" si="74"/>
        <v>0.32669999999999993</v>
      </c>
      <c r="AQ60" s="360">
        <f t="shared" si="75"/>
        <v>0.31218000000000001</v>
      </c>
      <c r="AR60" s="360">
        <f t="shared" si="76"/>
        <v>0.29039999999999999</v>
      </c>
      <c r="AS60" s="360">
        <f t="shared" si="48"/>
        <v>0.32827499999999993</v>
      </c>
      <c r="AT60" s="360">
        <f t="shared" si="41"/>
        <v>1.6239068080773136</v>
      </c>
      <c r="AU60">
        <f t="shared" si="77"/>
        <v>30.6</v>
      </c>
      <c r="AV60" s="542">
        <f t="shared" si="42"/>
        <v>0.94960552679880939</v>
      </c>
      <c r="AW60" s="551">
        <f t="shared" si="78"/>
        <v>11.663169993660841</v>
      </c>
      <c r="AX60" s="551">
        <f t="shared" si="79"/>
        <v>8.6575528187679076</v>
      </c>
      <c r="AY60" s="9"/>
      <c r="AZ60" s="4">
        <f t="shared" si="43"/>
        <v>94.960552679880934</v>
      </c>
      <c r="BA60" s="360">
        <f t="shared" si="80"/>
        <v>0.53232100579353181</v>
      </c>
      <c r="BB60" s="360">
        <f t="shared" si="44"/>
        <v>0.53778526348496714</v>
      </c>
      <c r="BC60" s="360">
        <f t="shared" si="45"/>
        <v>0.30692552614896951</v>
      </c>
      <c r="BD60" s="360">
        <f t="shared" si="46"/>
        <v>0.22783033733599756</v>
      </c>
      <c r="BE60" s="360">
        <f t="shared" si="47"/>
        <v>0.17826525734767679</v>
      </c>
      <c r="BK60" s="18"/>
      <c r="BL60" s="19"/>
    </row>
    <row r="61" spans="1:64" ht="13" x14ac:dyDescent="0.3">
      <c r="A61" s="24" t="s">
        <v>117</v>
      </c>
      <c r="B61" s="15" t="s">
        <v>111</v>
      </c>
      <c r="C61" s="24" t="s">
        <v>76</v>
      </c>
      <c r="D61" s="24" t="s">
        <v>213</v>
      </c>
      <c r="G61">
        <v>52</v>
      </c>
      <c r="H61" s="548">
        <f t="shared" si="0"/>
        <v>45</v>
      </c>
      <c r="I61" s="4">
        <f t="shared" si="49"/>
        <v>2</v>
      </c>
      <c r="J61" s="360">
        <f t="shared" si="81"/>
        <v>6.24</v>
      </c>
      <c r="K61" s="4">
        <f t="shared" si="50"/>
        <v>0.77037037037037048</v>
      </c>
      <c r="L61" s="4"/>
      <c r="M61" s="360">
        <f t="shared" si="51"/>
        <v>0.11198660106534611</v>
      </c>
      <c r="N61" s="4">
        <f t="shared" si="52"/>
        <v>9.2392092609849552</v>
      </c>
      <c r="O61" s="4">
        <f t="shared" si="35"/>
        <v>10.859604630492477</v>
      </c>
      <c r="P61" s="4">
        <f t="shared" si="36"/>
        <v>1.6203953695075226</v>
      </c>
      <c r="Q61" s="4">
        <f t="shared" si="53"/>
        <v>0</v>
      </c>
      <c r="R61" s="4">
        <f t="shared" si="54"/>
        <v>6.7861021443846923</v>
      </c>
      <c r="S61" s="360">
        <f t="shared" si="55"/>
        <v>0.2302559115701126</v>
      </c>
      <c r="T61" s="360">
        <f t="shared" si="56"/>
        <v>0.3</v>
      </c>
      <c r="U61" s="360">
        <f t="shared" si="57"/>
        <v>0.54020677585905486</v>
      </c>
      <c r="V61" s="4">
        <f t="shared" si="37"/>
        <v>2.6671299769644738</v>
      </c>
      <c r="W61" s="360">
        <f t="shared" si="58"/>
        <v>1.422716462804503E-2</v>
      </c>
      <c r="X61" s="360">
        <f t="shared" si="38"/>
        <v>1.422716462804503E-2</v>
      </c>
      <c r="Y61" s="4">
        <f t="shared" si="59"/>
        <v>2.1399970933187085</v>
      </c>
      <c r="Z61" s="360">
        <f t="shared" si="12"/>
        <v>6.8693813391187816E-3</v>
      </c>
      <c r="AA61" s="541">
        <f t="shared" si="39"/>
        <v>6.8693813391187816E-3</v>
      </c>
      <c r="AB61" s="360">
        <f t="shared" si="60"/>
        <v>2.2709283085090912</v>
      </c>
      <c r="AC61" s="360">
        <f t="shared" si="61"/>
        <v>3.0942692294327775E-2</v>
      </c>
      <c r="AD61" s="360">
        <f t="shared" si="62"/>
        <v>0.11295930650154798</v>
      </c>
      <c r="AE61" s="360">
        <f t="shared" si="63"/>
        <v>-3.4229250000000003E-2</v>
      </c>
      <c r="AF61" s="360">
        <f t="shared" si="64"/>
        <v>0</v>
      </c>
      <c r="AG61" s="360">
        <f t="shared" si="65"/>
        <v>0.1101910089815223</v>
      </c>
      <c r="AH61" s="360">
        <f t="shared" si="66"/>
        <v>6.3948469044719563</v>
      </c>
      <c r="AI61" s="360">
        <f t="shared" si="67"/>
        <v>0.10223516732908641</v>
      </c>
      <c r="AJ61" s="360">
        <f t="shared" si="68"/>
        <v>2.6906880000000001E-2</v>
      </c>
      <c r="AK61" s="360">
        <f t="shared" si="69"/>
        <v>0.13183773796940448</v>
      </c>
      <c r="AL61" s="360">
        <f t="shared" si="70"/>
        <v>2.6906880000000001E-2</v>
      </c>
      <c r="AM61" s="360">
        <f t="shared" si="71"/>
        <v>0.30887999999999993</v>
      </c>
      <c r="AN61" s="360">
        <f t="shared" si="72"/>
        <v>0.18420472925609008</v>
      </c>
      <c r="AO61" s="360">
        <f t="shared" si="73"/>
        <v>1.5749999999999998E-3</v>
      </c>
      <c r="AP61" s="360">
        <f t="shared" si="74"/>
        <v>0.32669999999999993</v>
      </c>
      <c r="AQ61" s="360">
        <f t="shared" si="75"/>
        <v>0.31218000000000001</v>
      </c>
      <c r="AR61" s="360">
        <f t="shared" si="76"/>
        <v>0.29039999999999999</v>
      </c>
      <c r="AS61" s="360">
        <f t="shared" si="48"/>
        <v>0.32827499999999993</v>
      </c>
      <c r="AT61" s="360">
        <f t="shared" si="41"/>
        <v>1.6515986780332352</v>
      </c>
      <c r="AU61">
        <f t="shared" si="77"/>
        <v>31.200000000000003</v>
      </c>
      <c r="AV61" s="542">
        <f t="shared" si="42"/>
        <v>0.94972547015991626</v>
      </c>
      <c r="AW61" s="551">
        <f t="shared" si="78"/>
        <v>11.933968741297845</v>
      </c>
      <c r="AX61" s="551">
        <f t="shared" si="79"/>
        <v>8.8831892428373695</v>
      </c>
      <c r="AY61" s="9"/>
      <c r="AZ61" s="4">
        <f t="shared" si="43"/>
        <v>94.972547015991623</v>
      </c>
      <c r="BA61" s="360">
        <f t="shared" si="80"/>
        <v>0.54020677585905486</v>
      </c>
      <c r="BB61" s="360">
        <f t="shared" si="44"/>
        <v>0.55090874695092673</v>
      </c>
      <c r="BC61" s="360">
        <f t="shared" si="45"/>
        <v>0.31405180898152224</v>
      </c>
      <c r="BD61" s="360">
        <f t="shared" si="46"/>
        <v>0.23376813796940446</v>
      </c>
      <c r="BE61" s="360">
        <f t="shared" si="47"/>
        <v>0.18420472925609008</v>
      </c>
      <c r="BK61" s="18"/>
      <c r="BL61" s="19"/>
    </row>
    <row r="62" spans="1:64" ht="15.5" x14ac:dyDescent="0.4">
      <c r="A62" s="446" t="s">
        <v>470</v>
      </c>
      <c r="B62" s="74">
        <v>30</v>
      </c>
      <c r="C62" s="441" t="s">
        <v>205</v>
      </c>
      <c r="D62" s="76" t="s">
        <v>103</v>
      </c>
      <c r="G62">
        <v>53</v>
      </c>
      <c r="H62" s="548">
        <f t="shared" si="0"/>
        <v>45</v>
      </c>
      <c r="I62" s="4">
        <f t="shared" si="49"/>
        <v>2</v>
      </c>
      <c r="J62" s="360">
        <f t="shared" si="81"/>
        <v>6.36</v>
      </c>
      <c r="K62" s="4">
        <f t="shared" si="50"/>
        <v>0.78518518518518521</v>
      </c>
      <c r="L62" s="4"/>
      <c r="M62" s="360">
        <f t="shared" si="51"/>
        <v>0.11200343217726612</v>
      </c>
      <c r="N62" s="4">
        <f t="shared" si="52"/>
        <v>9.2402924111064504</v>
      </c>
      <c r="O62" s="4">
        <f t="shared" si="35"/>
        <v>10.980146205553226</v>
      </c>
      <c r="P62" s="4">
        <f t="shared" si="36"/>
        <v>1.7398537944467751</v>
      </c>
      <c r="Q62" s="4">
        <f t="shared" si="53"/>
        <v>0</v>
      </c>
      <c r="R62" s="4">
        <f t="shared" si="54"/>
        <v>6.8967275080453403</v>
      </c>
      <c r="S62" s="360">
        <f t="shared" si="55"/>
        <v>0.23782425160114645</v>
      </c>
      <c r="T62" s="360">
        <f t="shared" si="56"/>
        <v>0.3</v>
      </c>
      <c r="U62" s="360">
        <f t="shared" si="57"/>
        <v>0.54825532458154236</v>
      </c>
      <c r="V62" s="4">
        <f t="shared" si="37"/>
        <v>2.6674426554715827</v>
      </c>
      <c r="W62" s="360">
        <f t="shared" si="58"/>
        <v>1.4230500640458577E-2</v>
      </c>
      <c r="X62" s="360">
        <f t="shared" si="38"/>
        <v>1.4230500640458577E-2</v>
      </c>
      <c r="Y62" s="4">
        <f t="shared" si="59"/>
        <v>2.1750256172428903</v>
      </c>
      <c r="Z62" s="360">
        <f t="shared" si="12"/>
        <v>7.0961046534942247E-3</v>
      </c>
      <c r="AA62" s="541">
        <f t="shared" si="39"/>
        <v>7.0961046534942247E-3</v>
      </c>
      <c r="AB62" s="360">
        <f t="shared" si="60"/>
        <v>2.3081218526896747</v>
      </c>
      <c r="AC62" s="360">
        <f t="shared" si="61"/>
        <v>3.1964558921181704E-2</v>
      </c>
      <c r="AD62" s="360">
        <f t="shared" si="62"/>
        <v>0.11513160085734697</v>
      </c>
      <c r="AE62" s="360">
        <f t="shared" si="63"/>
        <v>-3.4229250000000003E-2</v>
      </c>
      <c r="AF62" s="360">
        <f t="shared" si="64"/>
        <v>0</v>
      </c>
      <c r="AG62" s="360">
        <f t="shared" si="65"/>
        <v>0.11341796376673108</v>
      </c>
      <c r="AH62" s="360">
        <f t="shared" si="66"/>
        <v>6.4990325305668124</v>
      </c>
      <c r="AI62" s="360">
        <f t="shared" si="67"/>
        <v>0.10559355958341417</v>
      </c>
      <c r="AJ62" s="360">
        <f t="shared" si="68"/>
        <v>2.7424320000000002E-2</v>
      </c>
      <c r="AK62" s="360">
        <f t="shared" si="69"/>
        <v>0.13588765175383796</v>
      </c>
      <c r="AL62" s="360">
        <f t="shared" si="70"/>
        <v>2.7424320000000002E-2</v>
      </c>
      <c r="AM62" s="360">
        <f t="shared" si="71"/>
        <v>0.31481999999999999</v>
      </c>
      <c r="AN62" s="360">
        <f t="shared" si="72"/>
        <v>0.19025940128091717</v>
      </c>
      <c r="AO62" s="360">
        <f t="shared" si="73"/>
        <v>1.5749999999999998E-3</v>
      </c>
      <c r="AP62" s="360">
        <f t="shared" si="74"/>
        <v>0.32669999999999993</v>
      </c>
      <c r="AQ62" s="360">
        <f t="shared" si="75"/>
        <v>0.31218000000000001</v>
      </c>
      <c r="AR62" s="360">
        <f t="shared" si="76"/>
        <v>0.29039999999999999</v>
      </c>
      <c r="AS62" s="360">
        <f t="shared" si="48"/>
        <v>0.32827499999999993</v>
      </c>
      <c r="AT62" s="360">
        <f t="shared" si="41"/>
        <v>1.6796662666769813</v>
      </c>
      <c r="AU62">
        <f t="shared" si="77"/>
        <v>31.8</v>
      </c>
      <c r="AV62" s="542">
        <f t="shared" si="42"/>
        <v>0.94983025657132114</v>
      </c>
      <c r="AW62" s="551">
        <f t="shared" si="78"/>
        <v>12.205568223135781</v>
      </c>
      <c r="AX62" s="551">
        <f t="shared" si="79"/>
        <v>9.1115735666458431</v>
      </c>
      <c r="AY62" s="9"/>
      <c r="AZ62" s="4">
        <f t="shared" si="43"/>
        <v>94.983025657132117</v>
      </c>
      <c r="BA62" s="360">
        <f t="shared" si="80"/>
        <v>0.54825532458154236</v>
      </c>
      <c r="BB62" s="360">
        <f t="shared" si="44"/>
        <v>0.56412561552056906</v>
      </c>
      <c r="BC62" s="360">
        <f t="shared" si="45"/>
        <v>0.32119916376673108</v>
      </c>
      <c r="BD62" s="360">
        <f t="shared" si="46"/>
        <v>0.23977825175383796</v>
      </c>
      <c r="BE62" s="360">
        <f t="shared" si="47"/>
        <v>0.19025940128091717</v>
      </c>
      <c r="BK62" s="18"/>
      <c r="BL62" s="19"/>
    </row>
    <row r="63" spans="1:64" x14ac:dyDescent="0.25">
      <c r="A63" s="23" t="s">
        <v>118</v>
      </c>
      <c r="B63" s="74">
        <v>2</v>
      </c>
      <c r="C63" s="441" t="s">
        <v>205</v>
      </c>
      <c r="D63" s="21" t="s">
        <v>103</v>
      </c>
      <c r="G63">
        <v>54</v>
      </c>
      <c r="H63" s="548">
        <f t="shared" si="0"/>
        <v>45</v>
      </c>
      <c r="I63" s="4">
        <f t="shared" si="49"/>
        <v>2</v>
      </c>
      <c r="J63" s="360">
        <f t="shared" si="81"/>
        <v>6.48</v>
      </c>
      <c r="K63" s="4">
        <f t="shared" si="50"/>
        <v>0.80000000000000016</v>
      </c>
      <c r="L63" s="4"/>
      <c r="M63" s="360">
        <f t="shared" si="51"/>
        <v>0.11202026309176363</v>
      </c>
      <c r="N63" s="4">
        <f t="shared" si="52"/>
        <v>9.2413754531350492</v>
      </c>
      <c r="O63" s="4">
        <f t="shared" si="35"/>
        <v>11.100687726567525</v>
      </c>
      <c r="P63" s="4">
        <f t="shared" si="36"/>
        <v>1.8593122734324758</v>
      </c>
      <c r="Q63" s="4">
        <f t="shared" si="53"/>
        <v>0</v>
      </c>
      <c r="R63" s="4">
        <f t="shared" si="54"/>
        <v>7.0076614041692915</v>
      </c>
      <c r="S63" s="360">
        <f t="shared" si="55"/>
        <v>0.24553659177741963</v>
      </c>
      <c r="T63" s="360">
        <f t="shared" si="56"/>
        <v>0.3</v>
      </c>
      <c r="U63" s="360">
        <f t="shared" si="57"/>
        <v>0.55646723728777459</v>
      </c>
      <c r="V63" s="4">
        <f t="shared" si="37"/>
        <v>2.6677553027749603</v>
      </c>
      <c r="W63" s="360">
        <f t="shared" si="58"/>
        <v>1.4233836710967842E-2</v>
      </c>
      <c r="X63" s="360">
        <f t="shared" si="38"/>
        <v>1.4233836710967842E-2</v>
      </c>
      <c r="Y63" s="4">
        <f t="shared" si="59"/>
        <v>2.2101560138352276</v>
      </c>
      <c r="Z63" s="360">
        <f t="shared" si="12"/>
        <v>7.327184408238035E-3</v>
      </c>
      <c r="AA63" s="541">
        <f t="shared" si="39"/>
        <v>7.327184408238035E-3</v>
      </c>
      <c r="AB63" s="360">
        <f t="shared" si="60"/>
        <v>2.3454242093728594</v>
      </c>
      <c r="AC63" s="360">
        <f t="shared" si="61"/>
        <v>3.3006088331473817E-2</v>
      </c>
      <c r="AD63" s="360">
        <f t="shared" si="62"/>
        <v>0.11730389521314599</v>
      </c>
      <c r="AE63" s="360">
        <f t="shared" si="63"/>
        <v>-3.4229250000000003E-2</v>
      </c>
      <c r="AF63" s="360">
        <f t="shared" si="64"/>
        <v>0</v>
      </c>
      <c r="AG63" s="360">
        <f t="shared" si="65"/>
        <v>0.11666603835885786</v>
      </c>
      <c r="AH63" s="360">
        <f t="shared" si="66"/>
        <v>6.6035069193248841</v>
      </c>
      <c r="AI63" s="360">
        <f t="shared" si="67"/>
        <v>0.10901575908392905</v>
      </c>
      <c r="AJ63" s="360">
        <f t="shared" si="68"/>
        <v>2.794176E-2</v>
      </c>
      <c r="AK63" s="360">
        <f t="shared" si="69"/>
        <v>0.14001018234550394</v>
      </c>
      <c r="AL63" s="360">
        <f t="shared" si="70"/>
        <v>2.794176E-2</v>
      </c>
      <c r="AM63" s="360">
        <f t="shared" si="71"/>
        <v>0.32075999999999999</v>
      </c>
      <c r="AN63" s="360">
        <f t="shared" si="72"/>
        <v>0.1964292734219357</v>
      </c>
      <c r="AO63" s="360">
        <f t="shared" si="73"/>
        <v>1.5749999999999998E-3</v>
      </c>
      <c r="AP63" s="360">
        <f t="shared" si="74"/>
        <v>0.32669999999999993</v>
      </c>
      <c r="AQ63" s="360">
        <f t="shared" si="75"/>
        <v>0.31218000000000001</v>
      </c>
      <c r="AR63" s="360">
        <f t="shared" si="76"/>
        <v>0.29039999999999999</v>
      </c>
      <c r="AS63" s="360">
        <f t="shared" si="48"/>
        <v>0.32827499999999993</v>
      </c>
      <c r="AT63" s="360">
        <f t="shared" si="41"/>
        <v>1.7081105125332778</v>
      </c>
      <c r="AU63">
        <f t="shared" si="77"/>
        <v>32.400000000000006</v>
      </c>
      <c r="AV63" s="542">
        <f t="shared" si="42"/>
        <v>0.94992069373336807</v>
      </c>
      <c r="AW63" s="551">
        <f t="shared" si="78"/>
        <v>12.477970257636599</v>
      </c>
      <c r="AX63" s="551">
        <f t="shared" si="79"/>
        <v>9.3427173291291492</v>
      </c>
      <c r="AY63" s="9"/>
      <c r="AZ63" s="4">
        <f t="shared" si="43"/>
        <v>94.992069373336804</v>
      </c>
      <c r="BA63" s="360">
        <f t="shared" si="80"/>
        <v>0.55646723728777459</v>
      </c>
      <c r="BB63" s="360">
        <f t="shared" si="44"/>
        <v>0.57743622070436174</v>
      </c>
      <c r="BC63" s="360">
        <f t="shared" si="45"/>
        <v>0.32836763835885785</v>
      </c>
      <c r="BD63" s="360">
        <f t="shared" si="46"/>
        <v>0.24586098234550394</v>
      </c>
      <c r="BE63" s="360">
        <f t="shared" si="47"/>
        <v>0.1964292734219357</v>
      </c>
      <c r="BK63" s="18"/>
      <c r="BL63" s="19"/>
    </row>
    <row r="64" spans="1:64" x14ac:dyDescent="0.25">
      <c r="A64" s="75"/>
      <c r="B64" s="30"/>
      <c r="G64">
        <v>55</v>
      </c>
      <c r="H64" s="548">
        <f t="shared" si="0"/>
        <v>45</v>
      </c>
      <c r="I64" s="4">
        <f t="shared" si="49"/>
        <v>2</v>
      </c>
      <c r="J64" s="360">
        <f t="shared" si="81"/>
        <v>6.6</v>
      </c>
      <c r="K64" s="4">
        <f t="shared" si="50"/>
        <v>0.81481481481481477</v>
      </c>
      <c r="L64" s="4"/>
      <c r="M64" s="360">
        <f t="shared" si="51"/>
        <v>0.11203709380884212</v>
      </c>
      <c r="N64" s="4">
        <f t="shared" si="52"/>
        <v>9.2424583870726487</v>
      </c>
      <c r="O64" s="4">
        <f t="shared" si="35"/>
        <v>11.221229193536324</v>
      </c>
      <c r="P64" s="4">
        <f t="shared" si="36"/>
        <v>1.9787708064636753</v>
      </c>
      <c r="Q64" s="4">
        <f t="shared" si="53"/>
        <v>0</v>
      </c>
      <c r="R64" s="4">
        <f t="shared" si="54"/>
        <v>7.1188894091515982</v>
      </c>
      <c r="S64" s="360">
        <f t="shared" si="55"/>
        <v>0.25339293209865399</v>
      </c>
      <c r="T64" s="360">
        <f t="shared" si="56"/>
        <v>0.3</v>
      </c>
      <c r="U64" s="360">
        <f t="shared" si="57"/>
        <v>0.56484311229057693</v>
      </c>
      <c r="V64" s="4">
        <f t="shared" si="37"/>
        <v>2.6680679188751544</v>
      </c>
      <c r="W64" s="360">
        <f t="shared" si="58"/>
        <v>1.4237172839461595E-2</v>
      </c>
      <c r="X64" s="360">
        <f t="shared" si="38"/>
        <v>1.4237172839461595E-2</v>
      </c>
      <c r="Y64" s="4">
        <f t="shared" si="59"/>
        <v>2.2453837520530913</v>
      </c>
      <c r="Z64" s="360">
        <f t="shared" si="12"/>
        <v>7.5626222909760277E-3</v>
      </c>
      <c r="AA64" s="541">
        <f t="shared" si="39"/>
        <v>7.5626222909760277E-3</v>
      </c>
      <c r="AB64" s="360">
        <f t="shared" si="60"/>
        <v>2.3828305732483144</v>
      </c>
      <c r="AC64" s="360">
        <f t="shared" si="61"/>
        <v>3.4067289244841342E-2</v>
      </c>
      <c r="AD64" s="360">
        <f t="shared" si="62"/>
        <v>0.11947618956894497</v>
      </c>
      <c r="AE64" s="360">
        <f t="shared" si="63"/>
        <v>-3.4229250000000003E-2</v>
      </c>
      <c r="AF64" s="360">
        <f t="shared" si="64"/>
        <v>0</v>
      </c>
      <c r="AG64" s="360">
        <f t="shared" si="65"/>
        <v>0.11993528104008409</v>
      </c>
      <c r="AH64" s="360">
        <f t="shared" si="66"/>
        <v>6.7082564708666217</v>
      </c>
      <c r="AI64" s="360">
        <f t="shared" si="67"/>
        <v>0.11250176219730977</v>
      </c>
      <c r="AJ64" s="360">
        <f t="shared" si="68"/>
        <v>2.8459199999999997E-2</v>
      </c>
      <c r="AK64" s="360">
        <f t="shared" si="69"/>
        <v>0.14420563991925106</v>
      </c>
      <c r="AL64" s="360">
        <f t="shared" si="70"/>
        <v>2.8459199999999997E-2</v>
      </c>
      <c r="AM64" s="360">
        <f t="shared" si="71"/>
        <v>0.32669999999999993</v>
      </c>
      <c r="AN64" s="360">
        <f t="shared" si="72"/>
        <v>0.20271434567892316</v>
      </c>
      <c r="AO64" s="360">
        <f t="shared" si="73"/>
        <v>1.5749999999999998E-3</v>
      </c>
      <c r="AP64" s="360">
        <f t="shared" si="74"/>
        <v>0.32669999999999993</v>
      </c>
      <c r="AQ64" s="360">
        <f t="shared" si="75"/>
        <v>0.31218000000000001</v>
      </c>
      <c r="AR64" s="360">
        <f t="shared" si="76"/>
        <v>0.29039999999999999</v>
      </c>
      <c r="AS64" s="360">
        <f t="shared" si="48"/>
        <v>0.32827499999999993</v>
      </c>
      <c r="AT64" s="360">
        <f t="shared" si="41"/>
        <v>1.7369323740592726</v>
      </c>
      <c r="AU64">
        <f t="shared" si="77"/>
        <v>33</v>
      </c>
      <c r="AV64" s="542">
        <f t="shared" si="42"/>
        <v>0.94999753129161246</v>
      </c>
      <c r="AW64" s="551">
        <f t="shared" si="78"/>
        <v>12.751176679523196</v>
      </c>
      <c r="AX64" s="551">
        <f t="shared" si="79"/>
        <v>9.5766323169315406</v>
      </c>
      <c r="AY64" s="9"/>
      <c r="AZ64" s="4">
        <f t="shared" si="43"/>
        <v>94.999753129161249</v>
      </c>
      <c r="BA64" s="360">
        <f t="shared" si="80"/>
        <v>0.56484311229057693</v>
      </c>
      <c r="BB64" s="360">
        <f t="shared" si="44"/>
        <v>0.59084092095933505</v>
      </c>
      <c r="BC64" s="360">
        <f t="shared" si="45"/>
        <v>0.33555728104008409</v>
      </c>
      <c r="BD64" s="360">
        <f t="shared" si="46"/>
        <v>0.25201663991925105</v>
      </c>
      <c r="BE64" s="360">
        <f t="shared" si="47"/>
        <v>0.20271434567892316</v>
      </c>
      <c r="BK64" s="18"/>
      <c r="BL64" s="19"/>
    </row>
    <row r="65" spans="1:64" x14ac:dyDescent="0.25">
      <c r="G65">
        <v>56</v>
      </c>
      <c r="H65" s="548">
        <f t="shared" si="0"/>
        <v>45</v>
      </c>
      <c r="I65" s="4">
        <f t="shared" si="49"/>
        <v>2</v>
      </c>
      <c r="J65" s="360">
        <f t="shared" si="81"/>
        <v>6.72</v>
      </c>
      <c r="K65" s="4">
        <f t="shared" si="50"/>
        <v>0.82962962962962972</v>
      </c>
      <c r="L65" s="4"/>
      <c r="M65" s="360">
        <f t="shared" si="51"/>
        <v>0.11205392432850506</v>
      </c>
      <c r="N65" s="4">
        <f t="shared" si="52"/>
        <v>9.2435412129211549</v>
      </c>
      <c r="O65" s="4">
        <f t="shared" si="35"/>
        <v>11.341770606460578</v>
      </c>
      <c r="P65" s="4">
        <f t="shared" si="36"/>
        <v>2.0982293935394223</v>
      </c>
      <c r="Q65" s="4">
        <f t="shared" si="53"/>
        <v>0</v>
      </c>
      <c r="R65" s="4">
        <f t="shared" si="54"/>
        <v>7.2303979498305839</v>
      </c>
      <c r="S65" s="360">
        <f t="shared" si="55"/>
        <v>0.26139327256457157</v>
      </c>
      <c r="T65" s="360">
        <f t="shared" si="56"/>
        <v>0.3</v>
      </c>
      <c r="U65" s="360">
        <f t="shared" si="57"/>
        <v>0.57338356100013588</v>
      </c>
      <c r="V65" s="4">
        <f t="shared" si="37"/>
        <v>2.6683805037727146</v>
      </c>
      <c r="W65" s="360">
        <f t="shared" si="58"/>
        <v>1.4240509025828652E-2</v>
      </c>
      <c r="X65" s="360">
        <f t="shared" si="38"/>
        <v>1.4240509025828652E-2</v>
      </c>
      <c r="Y65" s="4">
        <f t="shared" si="59"/>
        <v>2.2807045679128302</v>
      </c>
      <c r="Z65" s="360">
        <f t="shared" si="12"/>
        <v>7.8024199891476749E-3</v>
      </c>
      <c r="AA65" s="541">
        <f t="shared" si="39"/>
        <v>7.8024199891476749E-3</v>
      </c>
      <c r="AB65" s="360">
        <f t="shared" si="60"/>
        <v>2.4203364222326944</v>
      </c>
      <c r="AC65" s="360">
        <f t="shared" si="61"/>
        <v>3.5148170380716957E-2</v>
      </c>
      <c r="AD65" s="360">
        <f t="shared" si="62"/>
        <v>0.12164848392474396</v>
      </c>
      <c r="AE65" s="360">
        <f t="shared" si="63"/>
        <v>-3.4229250000000003E-2</v>
      </c>
      <c r="AF65" s="360">
        <f t="shared" si="64"/>
        <v>0</v>
      </c>
      <c r="AG65" s="360">
        <f t="shared" si="65"/>
        <v>0.12322574052258395</v>
      </c>
      <c r="AH65" s="360">
        <f t="shared" si="66"/>
        <v>6.8132683872080184</v>
      </c>
      <c r="AI65" s="360">
        <f t="shared" si="67"/>
        <v>0.11605156529032039</v>
      </c>
      <c r="AJ65" s="360">
        <f t="shared" si="68"/>
        <v>2.8976639999999998E-2</v>
      </c>
      <c r="AK65" s="360">
        <f t="shared" si="69"/>
        <v>0.14847434123139081</v>
      </c>
      <c r="AL65" s="360">
        <f t="shared" si="70"/>
        <v>2.8976639999999998E-2</v>
      </c>
      <c r="AM65" s="360">
        <f t="shared" si="71"/>
        <v>0.33263999999999999</v>
      </c>
      <c r="AN65" s="360">
        <f t="shared" si="72"/>
        <v>0.20911461805165724</v>
      </c>
      <c r="AO65" s="360">
        <f t="shared" si="73"/>
        <v>1.5749999999999998E-3</v>
      </c>
      <c r="AP65" s="360">
        <f t="shared" si="74"/>
        <v>0.32669999999999993</v>
      </c>
      <c r="AQ65" s="360">
        <f t="shared" si="75"/>
        <v>0.31218000000000001</v>
      </c>
      <c r="AR65" s="360">
        <f t="shared" si="76"/>
        <v>0.29039999999999999</v>
      </c>
      <c r="AS65" s="360">
        <f t="shared" si="48"/>
        <v>0.32827499999999993</v>
      </c>
      <c r="AT65" s="360">
        <f t="shared" si="41"/>
        <v>1.7661328298207439</v>
      </c>
      <c r="AU65">
        <f t="shared" si="77"/>
        <v>33.6</v>
      </c>
      <c r="AV65" s="542">
        <f t="shared" si="42"/>
        <v>0.95006146591375307</v>
      </c>
      <c r="AW65" s="551">
        <f t="shared" si="78"/>
        <v>13.025189339858191</v>
      </c>
      <c r="AX65" s="551">
        <f t="shared" si="79"/>
        <v>9.8133305667928514</v>
      </c>
      <c r="AY65" s="9"/>
      <c r="AZ65" s="4">
        <f t="shared" si="43"/>
        <v>95.006146591375312</v>
      </c>
      <c r="BA65" s="360">
        <f t="shared" si="80"/>
        <v>0.57338356100013588</v>
      </c>
      <c r="BB65" s="360">
        <f t="shared" si="44"/>
        <v>0.6043400817539748</v>
      </c>
      <c r="BC65" s="360">
        <f t="shared" si="45"/>
        <v>0.34276814052258398</v>
      </c>
      <c r="BD65" s="360">
        <f t="shared" si="46"/>
        <v>0.25824554123139082</v>
      </c>
      <c r="BE65" s="360">
        <f t="shared" si="47"/>
        <v>0.20911461805165724</v>
      </c>
      <c r="BK65" s="18"/>
      <c r="BL65" s="19"/>
    </row>
    <row r="66" spans="1:64" ht="13" x14ac:dyDescent="0.3">
      <c r="A66" s="11" t="s">
        <v>77</v>
      </c>
      <c r="B66" s="31"/>
      <c r="C66" s="31"/>
      <c r="G66">
        <v>57</v>
      </c>
      <c r="H66" s="548">
        <f t="shared" si="0"/>
        <v>45</v>
      </c>
      <c r="I66" s="4">
        <f t="shared" si="49"/>
        <v>2</v>
      </c>
      <c r="J66" s="360">
        <f t="shared" si="81"/>
        <v>6.84</v>
      </c>
      <c r="K66" s="4">
        <f t="shared" si="50"/>
        <v>0.84444444444444455</v>
      </c>
      <c r="L66" s="4"/>
      <c r="M66" s="360">
        <f t="shared" si="51"/>
        <v>0.11207075465075589</v>
      </c>
      <c r="N66" s="4">
        <f t="shared" si="52"/>
        <v>9.2446239306824634</v>
      </c>
      <c r="O66" s="4">
        <f t="shared" si="35"/>
        <v>11.462311965341232</v>
      </c>
      <c r="P66" s="4">
        <f t="shared" si="36"/>
        <v>2.2176880346587682</v>
      </c>
      <c r="Q66" s="4">
        <f t="shared" si="53"/>
        <v>0</v>
      </c>
      <c r="R66" s="4">
        <f t="shared" si="54"/>
        <v>7.3421742443896623</v>
      </c>
      <c r="S66" s="360">
        <f t="shared" si="55"/>
        <v>0.26953761317489455</v>
      </c>
      <c r="T66" s="360">
        <f t="shared" si="56"/>
        <v>0.3</v>
      </c>
      <c r="U66" s="360">
        <f t="shared" si="57"/>
        <v>0.58208920803804987</v>
      </c>
      <c r="V66" s="4">
        <f t="shared" si="37"/>
        <v>2.6686930574681882</v>
      </c>
      <c r="W66" s="360">
        <f t="shared" si="58"/>
        <v>1.4243845269957813E-2</v>
      </c>
      <c r="X66" s="360">
        <f t="shared" si="38"/>
        <v>1.4243845269957813E-2</v>
      </c>
      <c r="Y66" s="4">
        <f t="shared" si="59"/>
        <v>2.3161144459354208</v>
      </c>
      <c r="Z66" s="360">
        <f t="shared" si="12"/>
        <v>8.0465791900061114E-3</v>
      </c>
      <c r="AA66" s="541">
        <f t="shared" si="39"/>
        <v>8.0465791900061114E-3</v>
      </c>
      <c r="AB66" s="360">
        <f t="shared" si="60"/>
        <v>2.4579374977925683</v>
      </c>
      <c r="AC66" s="360">
        <f t="shared" si="61"/>
        <v>3.6248740458328751E-2</v>
      </c>
      <c r="AD66" s="360">
        <f t="shared" si="62"/>
        <v>0.12382077828054297</v>
      </c>
      <c r="AE66" s="360">
        <f t="shared" si="63"/>
        <v>-3.4229250000000003E-2</v>
      </c>
      <c r="AF66" s="360">
        <f t="shared" si="64"/>
        <v>0</v>
      </c>
      <c r="AG66" s="360">
        <f t="shared" si="65"/>
        <v>0.12653746595061952</v>
      </c>
      <c r="AH66" s="360">
        <f t="shared" si="66"/>
        <v>6.9185306165344178</v>
      </c>
      <c r="AI66" s="360">
        <f t="shared" si="67"/>
        <v>0.11966516472981027</v>
      </c>
      <c r="AJ66" s="360">
        <f t="shared" si="68"/>
        <v>2.9494079999999999E-2</v>
      </c>
      <c r="AK66" s="360">
        <f t="shared" si="69"/>
        <v>0.15281660968406932</v>
      </c>
      <c r="AL66" s="360">
        <f t="shared" si="70"/>
        <v>2.9494079999999999E-2</v>
      </c>
      <c r="AM66" s="360">
        <f t="shared" si="71"/>
        <v>0.33857999999999994</v>
      </c>
      <c r="AN66" s="360">
        <f t="shared" si="72"/>
        <v>0.21563009053991564</v>
      </c>
      <c r="AO66" s="360">
        <f t="shared" si="73"/>
        <v>1.5749999999999998E-3</v>
      </c>
      <c r="AP66" s="360">
        <f t="shared" si="74"/>
        <v>0.32669999999999993</v>
      </c>
      <c r="AQ66" s="360">
        <f t="shared" si="75"/>
        <v>0.31218000000000001</v>
      </c>
      <c r="AR66" s="360">
        <f t="shared" si="76"/>
        <v>0.29039999999999999</v>
      </c>
      <c r="AS66" s="360">
        <f t="shared" si="48"/>
        <v>0.32827499999999993</v>
      </c>
      <c r="AT66" s="360">
        <f t="shared" si="41"/>
        <v>1.795712878672618</v>
      </c>
      <c r="AU66">
        <f t="shared" si="77"/>
        <v>34.200000000000003</v>
      </c>
      <c r="AV66" s="542">
        <f t="shared" si="42"/>
        <v>0.95011314584252693</v>
      </c>
      <c r="AW66" s="551">
        <f t="shared" si="78"/>
        <v>13.300010106123541</v>
      </c>
      <c r="AX66" s="551">
        <f t="shared" si="79"/>
        <v>10.052824367994635</v>
      </c>
      <c r="AY66" s="9"/>
      <c r="AZ66" s="4">
        <f t="shared" si="43"/>
        <v>95.011314584252688</v>
      </c>
      <c r="BA66" s="360">
        <f t="shared" si="80"/>
        <v>0.58208920803804987</v>
      </c>
      <c r="BB66" s="360">
        <f t="shared" si="44"/>
        <v>0.61793407563468872</v>
      </c>
      <c r="BC66" s="360">
        <f t="shared" si="45"/>
        <v>0.3500002659506195</v>
      </c>
      <c r="BD66" s="360">
        <f t="shared" si="46"/>
        <v>0.26454800968406933</v>
      </c>
      <c r="BE66" s="360">
        <f t="shared" si="47"/>
        <v>0.21563009053991564</v>
      </c>
      <c r="BK66" s="18"/>
      <c r="BL66" s="19"/>
    </row>
    <row r="67" spans="1:64" ht="13" x14ac:dyDescent="0.3">
      <c r="A67" s="14" t="s">
        <v>55</v>
      </c>
      <c r="B67" s="15" t="s">
        <v>7</v>
      </c>
      <c r="C67" s="15" t="s">
        <v>76</v>
      </c>
      <c r="G67">
        <v>58</v>
      </c>
      <c r="H67" s="548">
        <f t="shared" si="0"/>
        <v>45</v>
      </c>
      <c r="I67" s="4">
        <f t="shared" si="49"/>
        <v>2</v>
      </c>
      <c r="J67" s="360">
        <f t="shared" si="81"/>
        <v>6.96</v>
      </c>
      <c r="K67" s="4">
        <f t="shared" si="50"/>
        <v>0.85925925925925917</v>
      </c>
      <c r="L67" s="4"/>
      <c r="M67" s="360">
        <f t="shared" si="51"/>
        <v>0.11208758477559813</v>
      </c>
      <c r="N67" s="4">
        <f t="shared" si="52"/>
        <v>9.2457065403584817</v>
      </c>
      <c r="O67" s="4">
        <f t="shared" si="35"/>
        <v>11.582853270179241</v>
      </c>
      <c r="P67" s="4">
        <f t="shared" si="36"/>
        <v>2.3371467298207591</v>
      </c>
      <c r="Q67" s="4">
        <f t="shared" si="53"/>
        <v>0</v>
      </c>
      <c r="R67" s="4">
        <f t="shared" si="54"/>
        <v>7.4542062478756899</v>
      </c>
      <c r="S67" s="360">
        <f t="shared" si="55"/>
        <v>0.27782595392934484</v>
      </c>
      <c r="T67" s="360">
        <f t="shared" si="56"/>
        <v>0.3</v>
      </c>
      <c r="U67" s="360">
        <f t="shared" si="57"/>
        <v>0.59096069135416207</v>
      </c>
      <c r="V67" s="4">
        <f t="shared" si="37"/>
        <v>2.6690055799621266</v>
      </c>
      <c r="W67" s="360">
        <f t="shared" si="58"/>
        <v>1.4247181571737936E-2</v>
      </c>
      <c r="X67" s="360">
        <f t="shared" si="38"/>
        <v>1.4247181571737936E-2</v>
      </c>
      <c r="Y67" s="4">
        <f t="shared" si="59"/>
        <v>2.3516096020411417</v>
      </c>
      <c r="Z67" s="360">
        <f t="shared" si="12"/>
        <v>8.2951015806181447E-3</v>
      </c>
      <c r="AA67" s="541">
        <f t="shared" si="39"/>
        <v>8.2951015806181447E-3</v>
      </c>
      <c r="AB67" s="360">
        <f t="shared" si="60"/>
        <v>2.4956297868039989</v>
      </c>
      <c r="AC67" s="360">
        <f t="shared" si="61"/>
        <v>3.7369008196700242E-2</v>
      </c>
      <c r="AD67" s="360">
        <f t="shared" si="62"/>
        <v>0.12599307263634196</v>
      </c>
      <c r="AE67" s="360">
        <f t="shared" si="63"/>
        <v>-3.4229250000000003E-2</v>
      </c>
      <c r="AF67" s="360">
        <f t="shared" si="64"/>
        <v>0</v>
      </c>
      <c r="AG67" s="360">
        <f t="shared" si="65"/>
        <v>0.12987050690265936</v>
      </c>
      <c r="AH67" s="360">
        <f t="shared" si="66"/>
        <v>7.0240318018276087</v>
      </c>
      <c r="AI67" s="360">
        <f t="shared" si="67"/>
        <v>0.12334255688271402</v>
      </c>
      <c r="AJ67" s="360">
        <f t="shared" si="68"/>
        <v>3.001152E-2</v>
      </c>
      <c r="AK67" s="360">
        <f t="shared" si="69"/>
        <v>0.15723277539121766</v>
      </c>
      <c r="AL67" s="360">
        <f t="shared" si="70"/>
        <v>3.001152E-2</v>
      </c>
      <c r="AM67" s="360">
        <f t="shared" si="71"/>
        <v>0.34452000000000005</v>
      </c>
      <c r="AN67" s="360">
        <f t="shared" si="72"/>
        <v>0.2222607631434759</v>
      </c>
      <c r="AO67" s="360">
        <f t="shared" si="73"/>
        <v>1.5749999999999998E-3</v>
      </c>
      <c r="AP67" s="360">
        <f t="shared" si="74"/>
        <v>0.32669999999999993</v>
      </c>
      <c r="AQ67" s="360">
        <f t="shared" si="75"/>
        <v>0.31218000000000001</v>
      </c>
      <c r="AR67" s="360">
        <f t="shared" si="76"/>
        <v>0.29039999999999999</v>
      </c>
      <c r="AS67" s="360">
        <f t="shared" si="48"/>
        <v>0.32827499999999993</v>
      </c>
      <c r="AT67" s="360">
        <f t="shared" si="41"/>
        <v>1.8256735399438708</v>
      </c>
      <c r="AU67">
        <f t="shared" si="77"/>
        <v>34.799999999999997</v>
      </c>
      <c r="AV67" s="542">
        <f t="shared" si="42"/>
        <v>0.9501531749865898</v>
      </c>
      <c r="AW67" s="551">
        <f t="shared" si="78"/>
        <v>13.575640862301057</v>
      </c>
      <c r="AX67" s="551">
        <f t="shared" si="79"/>
        <v>10.295126264866271</v>
      </c>
      <c r="AY67" s="9"/>
      <c r="AZ67" s="4">
        <f t="shared" si="43"/>
        <v>95.015317498658973</v>
      </c>
      <c r="BA67" s="360">
        <f t="shared" si="80"/>
        <v>0.59096069135416207</v>
      </c>
      <c r="BB67" s="360">
        <f t="shared" si="44"/>
        <v>0.6316232822938771</v>
      </c>
      <c r="BC67" s="360">
        <f t="shared" si="45"/>
        <v>0.3572537069026594</v>
      </c>
      <c r="BD67" s="360">
        <f t="shared" si="46"/>
        <v>0.27092437539121766</v>
      </c>
      <c r="BE67" s="360">
        <f t="shared" si="47"/>
        <v>0.2222607631434759</v>
      </c>
      <c r="BK67" s="18"/>
      <c r="BL67" s="19"/>
    </row>
    <row r="68" spans="1:64" x14ac:dyDescent="0.25">
      <c r="A68" s="32" t="s">
        <v>208</v>
      </c>
      <c r="B68" s="449">
        <f>D2_Vinmin</f>
        <v>0.1388888888888889</v>
      </c>
      <c r="C68" s="21" t="s">
        <v>18</v>
      </c>
      <c r="G68">
        <v>59</v>
      </c>
      <c r="H68" s="548">
        <f t="shared" si="0"/>
        <v>45</v>
      </c>
      <c r="I68" s="4">
        <f t="shared" si="49"/>
        <v>2</v>
      </c>
      <c r="J68" s="360">
        <f t="shared" si="81"/>
        <v>7.08</v>
      </c>
      <c r="K68" s="4">
        <f t="shared" si="50"/>
        <v>0.874074074074074</v>
      </c>
      <c r="L68" s="4"/>
      <c r="M68" s="360">
        <f t="shared" si="51"/>
        <v>0.11210441470303523</v>
      </c>
      <c r="N68" s="4">
        <f t="shared" si="52"/>
        <v>9.2467890419511072</v>
      </c>
      <c r="O68" s="4">
        <f t="shared" si="35"/>
        <v>11.703394520975554</v>
      </c>
      <c r="P68" s="4">
        <f t="shared" si="36"/>
        <v>2.4566054790244465</v>
      </c>
      <c r="Q68" s="4">
        <f t="shared" si="53"/>
        <v>0</v>
      </c>
      <c r="R68" s="4">
        <f t="shared" si="54"/>
        <v>7.5664826019445073</v>
      </c>
      <c r="S68" s="360">
        <f t="shared" si="55"/>
        <v>0.28625829482764459</v>
      </c>
      <c r="T68" s="360">
        <f t="shared" si="56"/>
        <v>0.3</v>
      </c>
      <c r="U68" s="360">
        <f t="shared" si="57"/>
        <v>0.59999866234621213</v>
      </c>
      <c r="V68" s="4">
        <f t="shared" si="37"/>
        <v>2.669318071255077</v>
      </c>
      <c r="W68" s="360">
        <f t="shared" si="58"/>
        <v>1.425051793105785E-2</v>
      </c>
      <c r="X68" s="360">
        <f t="shared" si="38"/>
        <v>1.425051793105785E-2</v>
      </c>
      <c r="Y68" s="4">
        <f t="shared" si="59"/>
        <v>2.3871864677711074</v>
      </c>
      <c r="Z68" s="360">
        <f t="shared" si="12"/>
        <v>8.5479888478642452E-3</v>
      </c>
      <c r="AA68" s="541">
        <f t="shared" si="39"/>
        <v>8.5479888478642452E-3</v>
      </c>
      <c r="AB68" s="360">
        <f t="shared" si="60"/>
        <v>2.5334095048192267</v>
      </c>
      <c r="AC68" s="360">
        <f t="shared" si="61"/>
        <v>3.85089823146504E-2</v>
      </c>
      <c r="AD68" s="360">
        <f t="shared" si="62"/>
        <v>0.12816536699214098</v>
      </c>
      <c r="AE68" s="360">
        <f t="shared" si="63"/>
        <v>-3.4229250000000003E-2</v>
      </c>
      <c r="AF68" s="360">
        <f t="shared" si="64"/>
        <v>0</v>
      </c>
      <c r="AG68" s="360">
        <f t="shared" si="65"/>
        <v>0.13322491339352016</v>
      </c>
      <c r="AH68" s="360">
        <f t="shared" si="66"/>
        <v>7.1297612334790372</v>
      </c>
      <c r="AI68" s="360">
        <f t="shared" si="67"/>
        <v>0.12708373811605131</v>
      </c>
      <c r="AJ68" s="360">
        <f t="shared" si="68"/>
        <v>3.0528960000000001E-2</v>
      </c>
      <c r="AK68" s="360">
        <f t="shared" si="69"/>
        <v>0.16172317524610577</v>
      </c>
      <c r="AL68" s="360">
        <f t="shared" si="70"/>
        <v>3.0528960000000001E-2</v>
      </c>
      <c r="AM68" s="360">
        <f t="shared" si="71"/>
        <v>0.35045999999999999</v>
      </c>
      <c r="AN68" s="360">
        <f t="shared" si="72"/>
        <v>0.22900663586211567</v>
      </c>
      <c r="AO68" s="360">
        <f t="shared" si="73"/>
        <v>1.5749999999999998E-3</v>
      </c>
      <c r="AP68" s="360">
        <f t="shared" si="74"/>
        <v>0.32669999999999993</v>
      </c>
      <c r="AQ68" s="360">
        <f t="shared" si="75"/>
        <v>0.31218000000000001</v>
      </c>
      <c r="AR68" s="360">
        <f t="shared" si="76"/>
        <v>0.29039999999999999</v>
      </c>
      <c r="AS68" s="360">
        <f t="shared" si="48"/>
        <v>0.32827499999999993</v>
      </c>
      <c r="AT68" s="360">
        <f t="shared" si="41"/>
        <v>1.8560158536268756</v>
      </c>
      <c r="AU68">
        <f t="shared" si="77"/>
        <v>35.4</v>
      </c>
      <c r="AV68" s="542">
        <f t="shared" si="42"/>
        <v>0.9501821166031581</v>
      </c>
      <c r="AW68" s="551">
        <f t="shared" si="78"/>
        <v>13.852083508953767</v>
      </c>
      <c r="AX68" s="551">
        <f t="shared" si="79"/>
        <v>10.54024905935202</v>
      </c>
      <c r="AY68" s="9"/>
      <c r="AZ68" s="4">
        <f t="shared" si="43"/>
        <v>95.018211660315814</v>
      </c>
      <c r="BA68" s="360">
        <f t="shared" si="80"/>
        <v>0.59999866234621213</v>
      </c>
      <c r="BB68" s="360">
        <f t="shared" si="44"/>
        <v>0.64540808863962595</v>
      </c>
      <c r="BC68" s="360">
        <f t="shared" si="45"/>
        <v>0.36452851339352016</v>
      </c>
      <c r="BD68" s="360">
        <f t="shared" si="46"/>
        <v>0.27737497524610577</v>
      </c>
      <c r="BE68" s="360">
        <f t="shared" si="47"/>
        <v>0.22900663586211567</v>
      </c>
      <c r="BK68" s="18"/>
      <c r="BL68" s="19"/>
    </row>
    <row r="69" spans="1:64" x14ac:dyDescent="0.25">
      <c r="A69" s="23" t="s">
        <v>78</v>
      </c>
      <c r="B69" s="449">
        <f>1-B68</f>
        <v>0.86111111111111116</v>
      </c>
      <c r="C69" s="21" t="s">
        <v>18</v>
      </c>
      <c r="G69">
        <v>60</v>
      </c>
      <c r="H69" s="548">
        <f t="shared" si="0"/>
        <v>45</v>
      </c>
      <c r="I69" s="4">
        <f t="shared" si="49"/>
        <v>2</v>
      </c>
      <c r="J69" s="360">
        <f t="shared" si="81"/>
        <v>7.2</v>
      </c>
      <c r="K69" s="4">
        <f t="shared" si="50"/>
        <v>0.88888888888888884</v>
      </c>
      <c r="L69" s="4"/>
      <c r="M69" s="360">
        <f t="shared" si="51"/>
        <v>0.11212124443307069</v>
      </c>
      <c r="N69" s="4">
        <f t="shared" si="52"/>
        <v>9.2478714354622475</v>
      </c>
      <c r="O69" s="4">
        <f t="shared" si="35"/>
        <v>11.823935717731125</v>
      </c>
      <c r="P69" s="4">
        <f t="shared" si="36"/>
        <v>2.5760642822688764</v>
      </c>
      <c r="Q69" s="4">
        <f t="shared" si="53"/>
        <v>0</v>
      </c>
      <c r="R69" s="4">
        <f t="shared" si="54"/>
        <v>7.6789925884782058</v>
      </c>
      <c r="S69" s="360">
        <f t="shared" si="55"/>
        <v>0.29483463586951608</v>
      </c>
      <c r="T69" s="360">
        <f t="shared" si="56"/>
        <v>0.3</v>
      </c>
      <c r="U69" s="360">
        <f t="shared" si="57"/>
        <v>0.60920378598235103</v>
      </c>
      <c r="V69" s="4">
        <f t="shared" si="37"/>
        <v>2.6696305313475901</v>
      </c>
      <c r="W69" s="360">
        <f t="shared" si="58"/>
        <v>1.4253854347806433E-2</v>
      </c>
      <c r="X69" s="360">
        <f t="shared" si="38"/>
        <v>1.4253854347806433E-2</v>
      </c>
      <c r="Y69" s="4">
        <f t="shared" si="59"/>
        <v>2.4228416757241336</v>
      </c>
      <c r="Z69" s="360">
        <f t="shared" si="12"/>
        <v>8.8052426784385913E-3</v>
      </c>
      <c r="AA69" s="541">
        <f t="shared" si="39"/>
        <v>8.8052426784385913E-3</v>
      </c>
      <c r="AB69" s="360">
        <f t="shared" si="60"/>
        <v>2.5712730806221811</v>
      </c>
      <c r="AC69" s="360">
        <f t="shared" si="61"/>
        <v>3.9668671530793689E-2</v>
      </c>
      <c r="AD69" s="360">
        <f t="shared" si="62"/>
        <v>0.13033766134793998</v>
      </c>
      <c r="AE69" s="360">
        <f t="shared" si="63"/>
        <v>-3.4229250000000003E-2</v>
      </c>
      <c r="AF69" s="360">
        <f t="shared" si="64"/>
        <v>0</v>
      </c>
      <c r="AG69" s="360">
        <f t="shared" si="65"/>
        <v>0.13660073587653099</v>
      </c>
      <c r="AH69" s="360">
        <f t="shared" si="66"/>
        <v>7.2357088055539469</v>
      </c>
      <c r="AI69" s="360">
        <f t="shared" si="67"/>
        <v>0.13088870479692732</v>
      </c>
      <c r="AJ69" s="360">
        <f t="shared" si="68"/>
        <v>3.1046399999999998E-2</v>
      </c>
      <c r="AK69" s="360">
        <f t="shared" si="69"/>
        <v>0.16628815299052804</v>
      </c>
      <c r="AL69" s="360">
        <f t="shared" si="70"/>
        <v>3.1046399999999998E-2</v>
      </c>
      <c r="AM69" s="360">
        <f t="shared" si="71"/>
        <v>0.35639999999999999</v>
      </c>
      <c r="AN69" s="360">
        <f t="shared" si="72"/>
        <v>0.23586770869561285</v>
      </c>
      <c r="AO69" s="360">
        <f t="shared" si="73"/>
        <v>1.5749999999999998E-3</v>
      </c>
      <c r="AP69" s="360">
        <f t="shared" si="74"/>
        <v>0.32669999999999993</v>
      </c>
      <c r="AQ69" s="360">
        <f t="shared" si="75"/>
        <v>0.31218000000000001</v>
      </c>
      <c r="AR69" s="360">
        <f t="shared" si="76"/>
        <v>0.29039999999999999</v>
      </c>
      <c r="AS69" s="360">
        <f t="shared" si="48"/>
        <v>0.32827499999999993</v>
      </c>
      <c r="AT69" s="360">
        <f t="shared" si="41"/>
        <v>1.886740880571268</v>
      </c>
      <c r="AU69">
        <f t="shared" si="77"/>
        <v>36</v>
      </c>
      <c r="AV69" s="542">
        <f t="shared" si="42"/>
        <v>0.9502004966191534</v>
      </c>
      <c r="AW69" s="551">
        <f t="shared" si="78"/>
        <v>14.129339963308176</v>
      </c>
      <c r="AX69" s="551">
        <f t="shared" si="79"/>
        <v>10.788205813640067</v>
      </c>
      <c r="AY69" s="9"/>
      <c r="AZ69" s="4">
        <f t="shared" si="43"/>
        <v>95.020049661915337</v>
      </c>
      <c r="BA69" s="360">
        <f t="shared" si="80"/>
        <v>0.60920378598235103</v>
      </c>
      <c r="BB69" s="360">
        <f t="shared" si="44"/>
        <v>0.65928888886705894</v>
      </c>
      <c r="BC69" s="360">
        <f t="shared" si="45"/>
        <v>0.37182473587653098</v>
      </c>
      <c r="BD69" s="360">
        <f t="shared" si="46"/>
        <v>0.28390015299052807</v>
      </c>
      <c r="BE69" s="360">
        <f t="shared" si="47"/>
        <v>0.23586770869561285</v>
      </c>
      <c r="BK69" s="18"/>
      <c r="BL69" s="19"/>
    </row>
    <row r="70" spans="1:64" x14ac:dyDescent="0.25">
      <c r="A70" s="33" t="s">
        <v>209</v>
      </c>
      <c r="B70" s="449">
        <f>Iripple2_Vinnom</f>
        <v>9.3710877359833606</v>
      </c>
      <c r="C70" s="21" t="s">
        <v>1</v>
      </c>
      <c r="G70">
        <v>61</v>
      </c>
      <c r="H70" s="548">
        <f t="shared" si="0"/>
        <v>45</v>
      </c>
      <c r="I70" s="4">
        <f t="shared" si="49"/>
        <v>2</v>
      </c>
      <c r="J70" s="360">
        <f t="shared" si="81"/>
        <v>7.32</v>
      </c>
      <c r="K70" s="4">
        <f t="shared" si="50"/>
        <v>0.90370370370370379</v>
      </c>
      <c r="L70" s="4"/>
      <c r="M70" s="360">
        <f t="shared" si="51"/>
        <v>0.11213807396570791</v>
      </c>
      <c r="N70" s="4">
        <f t="shared" si="52"/>
        <v>9.2489537208937964</v>
      </c>
      <c r="O70" s="4">
        <f t="shared" si="35"/>
        <v>11.944476860446898</v>
      </c>
      <c r="P70" s="4">
        <f t="shared" si="36"/>
        <v>2.6955231395531021</v>
      </c>
      <c r="Q70" s="4">
        <f t="shared" si="53"/>
        <v>0</v>
      </c>
      <c r="R70" s="4">
        <f t="shared" si="54"/>
        <v>7.7917260867497307</v>
      </c>
      <c r="S70" s="360">
        <f t="shared" si="55"/>
        <v>0.30355497705468137</v>
      </c>
      <c r="T70" s="360">
        <f t="shared" si="56"/>
        <v>0.3</v>
      </c>
      <c r="U70" s="360">
        <f t="shared" si="57"/>
        <v>0.61857674092656312</v>
      </c>
      <c r="V70" s="4">
        <f t="shared" si="37"/>
        <v>2.669942960240212</v>
      </c>
      <c r="W70" s="360">
        <f t="shared" si="58"/>
        <v>1.4257190821872533E-2</v>
      </c>
      <c r="X70" s="360">
        <f t="shared" si="38"/>
        <v>1.4257190821872533E-2</v>
      </c>
      <c r="Y70" s="4">
        <f t="shared" si="59"/>
        <v>2.4585720461071241</v>
      </c>
      <c r="Z70" s="360">
        <f t="shared" si="12"/>
        <v>9.0668647588490556E-3</v>
      </c>
      <c r="AA70" s="541">
        <f t="shared" si="39"/>
        <v>9.0668647588490556E-3</v>
      </c>
      <c r="AB70" s="360">
        <f t="shared" si="60"/>
        <v>2.6092171419648702</v>
      </c>
      <c r="AC70" s="360">
        <f t="shared" si="61"/>
        <v>4.0848084563539958E-2</v>
      </c>
      <c r="AD70" s="360">
        <f t="shared" si="62"/>
        <v>0.132509955703739</v>
      </c>
      <c r="AE70" s="360">
        <f t="shared" si="63"/>
        <v>-3.4229250000000003E-2</v>
      </c>
      <c r="AF70" s="360">
        <f t="shared" si="64"/>
        <v>0</v>
      </c>
      <c r="AG70" s="360">
        <f t="shared" si="65"/>
        <v>0.13999802524572177</v>
      </c>
      <c r="AH70" s="360">
        <f t="shared" si="66"/>
        <v>7.341864975400525</v>
      </c>
      <c r="AI70" s="360">
        <f t="shared" si="67"/>
        <v>0.13475745329253239</v>
      </c>
      <c r="AJ70" s="360">
        <f t="shared" si="68"/>
        <v>3.1563840000000003E-2</v>
      </c>
      <c r="AK70" s="360">
        <f t="shared" si="69"/>
        <v>0.17092805928564611</v>
      </c>
      <c r="AL70" s="360">
        <f t="shared" si="70"/>
        <v>3.1563840000000003E-2</v>
      </c>
      <c r="AM70" s="360">
        <f t="shared" si="71"/>
        <v>0.36234</v>
      </c>
      <c r="AN70" s="360">
        <f t="shared" si="72"/>
        <v>0.2428439816437451</v>
      </c>
      <c r="AO70" s="360">
        <f t="shared" si="73"/>
        <v>1.5749999999999998E-3</v>
      </c>
      <c r="AP70" s="360">
        <f t="shared" si="74"/>
        <v>0.32669999999999993</v>
      </c>
      <c r="AQ70" s="360">
        <f t="shared" si="75"/>
        <v>0.31218000000000001</v>
      </c>
      <c r="AR70" s="360">
        <f t="shared" si="76"/>
        <v>0.29039999999999999</v>
      </c>
      <c r="AS70" s="360">
        <f t="shared" si="48"/>
        <v>0.32827499999999993</v>
      </c>
      <c r="AT70" s="360">
        <f t="shared" si="41"/>
        <v>1.9178497026823977</v>
      </c>
      <c r="AU70">
        <f t="shared" si="77"/>
        <v>36.6</v>
      </c>
      <c r="AV70" s="542">
        <f t="shared" si="42"/>
        <v>0.9502088066315697</v>
      </c>
      <c r="AW70" s="551">
        <f t="shared" si="78"/>
        <v>14.407412159337428</v>
      </c>
      <c r="AX70" s="551">
        <f t="shared" si="79"/>
        <v>11.039009852854551</v>
      </c>
      <c r="AY70" s="9"/>
      <c r="AZ70" s="4">
        <f t="shared" si="43"/>
        <v>95.020880663156973</v>
      </c>
      <c r="BA70" s="360">
        <f t="shared" si="80"/>
        <v>0.61857674092656312</v>
      </c>
      <c r="BB70" s="360">
        <f t="shared" si="44"/>
        <v>0.67326608453136783</v>
      </c>
      <c r="BC70" s="360">
        <f t="shared" si="45"/>
        <v>0.37914242524572178</v>
      </c>
      <c r="BD70" s="360">
        <f t="shared" si="46"/>
        <v>0.2905002592856461</v>
      </c>
      <c r="BE70" s="360">
        <f t="shared" si="47"/>
        <v>0.2428439816437451</v>
      </c>
      <c r="BK70" s="18"/>
      <c r="BL70" s="19"/>
    </row>
    <row r="71" spans="1:64" ht="13" x14ac:dyDescent="0.3">
      <c r="A71" s="14" t="s">
        <v>59</v>
      </c>
      <c r="B71" s="15" t="s">
        <v>7</v>
      </c>
      <c r="C71" s="17" t="s">
        <v>76</v>
      </c>
      <c r="G71">
        <v>62</v>
      </c>
      <c r="H71" s="548">
        <f t="shared" si="0"/>
        <v>45</v>
      </c>
      <c r="I71" s="4">
        <f t="shared" si="49"/>
        <v>2</v>
      </c>
      <c r="J71" s="360">
        <f t="shared" si="81"/>
        <v>7.44</v>
      </c>
      <c r="K71" s="4">
        <f t="shared" si="50"/>
        <v>0.91851851851851862</v>
      </c>
      <c r="L71" s="4"/>
      <c r="M71" s="360">
        <f t="shared" si="51"/>
        <v>0.11215490330095045</v>
      </c>
      <c r="N71" s="4">
        <f t="shared" si="52"/>
        <v>9.2500358982476598</v>
      </c>
      <c r="O71" s="4">
        <f t="shared" si="35"/>
        <v>12.065017949123831</v>
      </c>
      <c r="P71" s="4">
        <f t="shared" si="36"/>
        <v>2.8149820508761705</v>
      </c>
      <c r="Q71" s="4">
        <f t="shared" si="53"/>
        <v>0</v>
      </c>
      <c r="R71" s="4">
        <f t="shared" si="54"/>
        <v>7.904673533838861</v>
      </c>
      <c r="S71" s="360">
        <f t="shared" si="55"/>
        <v>0.31241931838286274</v>
      </c>
      <c r="T71" s="360">
        <f t="shared" si="56"/>
        <v>0.3</v>
      </c>
      <c r="U71" s="360">
        <f t="shared" si="57"/>
        <v>0.62811821966704151</v>
      </c>
      <c r="V71" s="4">
        <f t="shared" si="37"/>
        <v>2.6702553579334944</v>
      </c>
      <c r="W71" s="360">
        <f t="shared" si="58"/>
        <v>1.4260527353145069E-2</v>
      </c>
      <c r="X71" s="360">
        <f t="shared" si="38"/>
        <v>1.4260527353145069E-2</v>
      </c>
      <c r="Y71" s="4">
        <f t="shared" si="59"/>
        <v>2.4943745743061143</v>
      </c>
      <c r="Z71" s="360">
        <f t="shared" si="12"/>
        <v>9.3328567754172136E-3</v>
      </c>
      <c r="AA71" s="541">
        <f t="shared" si="39"/>
        <v>9.3328567754172136E-3</v>
      </c>
      <c r="AB71" s="360">
        <f t="shared" si="60"/>
        <v>2.6472385023861684</v>
      </c>
      <c r="AC71" s="360">
        <f t="shared" si="61"/>
        <v>4.2047230131094585E-2</v>
      </c>
      <c r="AD71" s="360">
        <f t="shared" si="62"/>
        <v>0.13468225005953796</v>
      </c>
      <c r="AE71" s="360">
        <f t="shared" si="63"/>
        <v>-3.4229250000000003E-2</v>
      </c>
      <c r="AF71" s="360">
        <f t="shared" si="64"/>
        <v>0</v>
      </c>
      <c r="AG71" s="360">
        <f t="shared" si="65"/>
        <v>0.14341683283803461</v>
      </c>
      <c r="AH71" s="360">
        <f t="shared" si="66"/>
        <v>7.4482207263249647</v>
      </c>
      <c r="AI71" s="360">
        <f t="shared" si="67"/>
        <v>0.13868997997014196</v>
      </c>
      <c r="AJ71" s="360">
        <f t="shared" si="68"/>
        <v>3.2081280000000004E-2</v>
      </c>
      <c r="AK71" s="360">
        <f t="shared" si="69"/>
        <v>0.17564325178451909</v>
      </c>
      <c r="AL71" s="360">
        <f t="shared" si="70"/>
        <v>3.2081280000000004E-2</v>
      </c>
      <c r="AM71" s="360">
        <f t="shared" si="71"/>
        <v>0.36827999999999994</v>
      </c>
      <c r="AN71" s="360">
        <f t="shared" si="72"/>
        <v>0.24993545470629019</v>
      </c>
      <c r="AO71" s="360">
        <f t="shared" si="73"/>
        <v>1.5749999999999998E-3</v>
      </c>
      <c r="AP71" s="360">
        <f t="shared" si="74"/>
        <v>0.32669999999999993</v>
      </c>
      <c r="AQ71" s="360">
        <f t="shared" si="75"/>
        <v>0.31218000000000001</v>
      </c>
      <c r="AR71" s="360">
        <f t="shared" si="76"/>
        <v>0.29039999999999999</v>
      </c>
      <c r="AS71" s="360">
        <f t="shared" si="48"/>
        <v>0.32827499999999993</v>
      </c>
      <c r="AT71" s="360">
        <f t="shared" si="41"/>
        <v>1.9493434231244475</v>
      </c>
      <c r="AU71">
        <f t="shared" si="77"/>
        <v>37.200000000000003</v>
      </c>
      <c r="AV71" s="542">
        <f t="shared" si="42"/>
        <v>0.95020750662262643</v>
      </c>
      <c r="AW71" s="551">
        <f t="shared" si="78"/>
        <v>14.686302047845315</v>
      </c>
      <c r="AX71" s="551">
        <f t="shared" si="79"/>
        <v>11.292674767811725</v>
      </c>
      <c r="AY71" s="9"/>
      <c r="AZ71" s="4">
        <f t="shared" si="43"/>
        <v>95.020750662262643</v>
      </c>
      <c r="BA71" s="360">
        <f t="shared" si="80"/>
        <v>0.62811821966704151</v>
      </c>
      <c r="BB71" s="360">
        <f t="shared" si="44"/>
        <v>0.68734008462255369</v>
      </c>
      <c r="BC71" s="360">
        <f t="shared" si="45"/>
        <v>0.38648163283803461</v>
      </c>
      <c r="BD71" s="360">
        <f t="shared" si="46"/>
        <v>0.2971756517845191</v>
      </c>
      <c r="BE71" s="360">
        <f t="shared" si="47"/>
        <v>0.24993545470629019</v>
      </c>
      <c r="BK71" s="18"/>
      <c r="BL71" s="19"/>
    </row>
    <row r="72" spans="1:64" x14ac:dyDescent="0.25">
      <c r="A72" s="32" t="s">
        <v>88</v>
      </c>
      <c r="B72" s="450">
        <f>(Qgd_Q3+Qgs_Q3/2)*(RdsonDRT+Rgate3)/(VCC-Vsp_Q3)*1000000000</f>
        <v>2.5882352941176467</v>
      </c>
      <c r="C72" s="21" t="s">
        <v>75</v>
      </c>
      <c r="D72" s="114" t="s">
        <v>508</v>
      </c>
      <c r="G72">
        <v>63</v>
      </c>
      <c r="H72" s="548">
        <f t="shared" si="0"/>
        <v>45</v>
      </c>
      <c r="I72" s="4">
        <f t="shared" si="49"/>
        <v>2</v>
      </c>
      <c r="J72" s="360">
        <f t="shared" si="81"/>
        <v>7.56</v>
      </c>
      <c r="K72" s="4">
        <f t="shared" si="50"/>
        <v>0.93333333333333324</v>
      </c>
      <c r="L72" s="4"/>
      <c r="M72" s="360">
        <f t="shared" si="51"/>
        <v>0.11217173243880171</v>
      </c>
      <c r="N72" s="4">
        <f t="shared" si="52"/>
        <v>9.2511179675257385</v>
      </c>
      <c r="O72" s="4">
        <f t="shared" si="35"/>
        <v>12.185558983762869</v>
      </c>
      <c r="P72" s="4">
        <f t="shared" si="36"/>
        <v>2.9344410162371304</v>
      </c>
      <c r="Q72" s="4">
        <f t="shared" si="53"/>
        <v>0</v>
      </c>
      <c r="R72" s="4">
        <f t="shared" si="54"/>
        <v>8.0178258880295257</v>
      </c>
      <c r="S72" s="360">
        <f t="shared" si="55"/>
        <v>0.32142765985378224</v>
      </c>
      <c r="T72" s="360">
        <f t="shared" si="56"/>
        <v>0.3</v>
      </c>
      <c r="U72" s="360">
        <f t="shared" si="57"/>
        <v>0.63782892864756069</v>
      </c>
      <c r="V72" s="4">
        <f t="shared" si="37"/>
        <v>2.6705677244279844</v>
      </c>
      <c r="W72" s="360">
        <f t="shared" si="58"/>
        <v>1.4263863941512925E-2</v>
      </c>
      <c r="X72" s="360">
        <f t="shared" si="38"/>
        <v>1.4263863941512925E-2</v>
      </c>
      <c r="Y72" s="4">
        <f t="shared" si="59"/>
        <v>2.5302464193932268</v>
      </c>
      <c r="Z72" s="360">
        <f t="shared" si="12"/>
        <v>9.6032204142783677E-3</v>
      </c>
      <c r="AA72" s="541">
        <f t="shared" si="39"/>
        <v>9.6032204142783677E-3</v>
      </c>
      <c r="AB72" s="360">
        <f t="shared" si="60"/>
        <v>2.6853341490231202</v>
      </c>
      <c r="AC72" s="360">
        <f t="shared" si="61"/>
        <v>4.326611695145835E-2</v>
      </c>
      <c r="AD72" s="360">
        <f t="shared" si="62"/>
        <v>0.13685454441533698</v>
      </c>
      <c r="AE72" s="360">
        <f t="shared" si="63"/>
        <v>-3.4229250000000003E-2</v>
      </c>
      <c r="AF72" s="360">
        <f t="shared" si="64"/>
        <v>0</v>
      </c>
      <c r="AG72" s="360">
        <f t="shared" si="65"/>
        <v>0.14685721043555955</v>
      </c>
      <c r="AH72" s="360">
        <f t="shared" si="66"/>
        <v>7.5547675330778192</v>
      </c>
      <c r="AI72" s="360">
        <f t="shared" si="67"/>
        <v>0.14268628119711679</v>
      </c>
      <c r="AJ72" s="360">
        <f t="shared" si="68"/>
        <v>3.2598719999999998E-2</v>
      </c>
      <c r="AK72" s="360">
        <f t="shared" si="69"/>
        <v>0.18043409520634887</v>
      </c>
      <c r="AL72" s="360">
        <f t="shared" si="70"/>
        <v>3.2598719999999998E-2</v>
      </c>
      <c r="AM72" s="360">
        <f t="shared" si="71"/>
        <v>0.37421999999999994</v>
      </c>
      <c r="AN72" s="360">
        <f t="shared" si="72"/>
        <v>0.25714212788302582</v>
      </c>
      <c r="AO72" s="360">
        <f t="shared" si="73"/>
        <v>1.5749999999999998E-3</v>
      </c>
      <c r="AP72" s="360">
        <f t="shared" si="74"/>
        <v>0.32669999999999993</v>
      </c>
      <c r="AQ72" s="360">
        <f t="shared" si="75"/>
        <v>0.31218000000000001</v>
      </c>
      <c r="AR72" s="360">
        <f t="shared" si="76"/>
        <v>0.29039999999999999</v>
      </c>
      <c r="AS72" s="360">
        <f t="shared" si="48"/>
        <v>0.32827499999999993</v>
      </c>
      <c r="AT72" s="360">
        <f t="shared" si="41"/>
        <v>1.9812231665282862</v>
      </c>
      <c r="AU72">
        <f t="shared" si="77"/>
        <v>37.799999999999997</v>
      </c>
      <c r="AV72" s="542">
        <f t="shared" si="42"/>
        <v>0.95019702742083412</v>
      </c>
      <c r="AW72" s="551">
        <f t="shared" si="78"/>
        <v>14.966011596551262</v>
      </c>
      <c r="AX72" s="551">
        <f t="shared" si="79"/>
        <v>11.549214417841256</v>
      </c>
      <c r="AY72" s="9"/>
      <c r="AZ72" s="4">
        <f t="shared" si="43"/>
        <v>95.01970274208341</v>
      </c>
      <c r="BA72" s="360">
        <f t="shared" si="80"/>
        <v>0.63782892864756069</v>
      </c>
      <c r="BB72" s="360">
        <f t="shared" si="44"/>
        <v>0.70151130564190844</v>
      </c>
      <c r="BC72" s="360">
        <f t="shared" si="45"/>
        <v>0.39384241043555951</v>
      </c>
      <c r="BD72" s="360">
        <f t="shared" si="46"/>
        <v>0.30392669520634885</v>
      </c>
      <c r="BE72" s="360">
        <f t="shared" si="47"/>
        <v>0.25714212788302582</v>
      </c>
      <c r="BK72" s="18"/>
      <c r="BL72" s="19"/>
    </row>
    <row r="73" spans="1:64" x14ac:dyDescent="0.25">
      <c r="A73" s="33" t="s">
        <v>89</v>
      </c>
      <c r="B73" s="450">
        <f>(Qgd_Q3+Qgs_Q3/2)*(RdsonDRT2+Rgate3)/(Vsp_Q3)*1000000000</f>
        <v>1.068825910931174</v>
      </c>
      <c r="C73" s="21" t="s">
        <v>75</v>
      </c>
      <c r="D73" s="114" t="s">
        <v>509</v>
      </c>
      <c r="G73">
        <v>64</v>
      </c>
      <c r="H73" s="548">
        <f t="shared" ref="H73:H109" si="82">Vin</f>
        <v>45</v>
      </c>
      <c r="I73" s="4">
        <f t="shared" ref="I73:I109" si="83">MODE</f>
        <v>2</v>
      </c>
      <c r="J73" s="360">
        <f t="shared" si="81"/>
        <v>7.68</v>
      </c>
      <c r="K73" s="4">
        <f t="shared" ref="K73:K104" si="84">Vout2*J73/(Vin*Efficiency)</f>
        <v>0.94814814814814807</v>
      </c>
      <c r="L73" s="4"/>
      <c r="M73" s="360">
        <f t="shared" ref="M73:M109" si="85">(Vout2+(Rdson4+Rs+Rdcr)*J73)/(Vin+(Rs+Rdson2-Rdson1)*J73)</f>
        <v>0.11218856137926524</v>
      </c>
      <c r="N73" s="4">
        <f t="shared" ref="N73:N104" si="86">(Vin-(Rdson3+Rdcr2)*J73-Vout2)*M73/(Fsw*Lo_2)</f>
        <v>9.2521999287299348</v>
      </c>
      <c r="O73" s="4">
        <f t="shared" si="35"/>
        <v>12.306099964364968</v>
      </c>
      <c r="P73" s="4">
        <f t="shared" si="36"/>
        <v>3.0539000356350323</v>
      </c>
      <c r="Q73" s="4">
        <f t="shared" ref="Q73:Q104" si="87">IF(MIN(Vin, -P73/(Coss_Q3+Coss_Q4)*0.00000002)&lt;0, 0, MIN(Vin, -P73/(Coss_Q3+Coss_Q4)*0.00000002))</f>
        <v>0</v>
      </c>
      <c r="R73" s="4">
        <f t="shared" ref="R73:R109" si="88">SQRT(J73^2+(N73^2)/12)</f>
        <v>8.1311745949421432</v>
      </c>
      <c r="S73" s="360">
        <f t="shared" ref="S73:S104" si="89">R73^2*Rdcr2</f>
        <v>0.3305800014671626</v>
      </c>
      <c r="T73" s="360">
        <f t="shared" ref="T73:T109" si="90">Core_Loss_Ch1</f>
        <v>0.3</v>
      </c>
      <c r="U73" s="360">
        <f t="shared" ref="U73:U104" si="91">(T73+S73*(1+Ltc*(Ta-25)))/(1-S73*Ltc*ThetaCa)</f>
        <v>0.64770958840189807</v>
      </c>
      <c r="V73" s="4">
        <f t="shared" si="37"/>
        <v>2.6708800597242321</v>
      </c>
      <c r="W73" s="360">
        <f t="shared" ref="W73:W104" si="92">Cout2_ESR*V73^2</f>
        <v>1.4267200586865036E-2</v>
      </c>
      <c r="X73" s="360">
        <f t="shared" si="38"/>
        <v>1.4267200586865036E-2</v>
      </c>
      <c r="Y73" s="4">
        <f t="shared" ref="Y73:Y109" si="93">SQRT(M73*(1-M73))*SQRT(J73^2+(N73^2)/12)</f>
        <v>2.5661848934922249</v>
      </c>
      <c r="Z73" s="360">
        <f t="shared" si="12"/>
        <v>9.8779573613815529E-3</v>
      </c>
      <c r="AA73" s="541">
        <f t="shared" si="39"/>
        <v>9.8779573613815529E-3</v>
      </c>
      <c r="AB73" s="360">
        <f t="shared" ref="AB73:AB109" si="94">SQRT(M73)*SQRT(J73^2+(N73^2)/12)</f>
        <v>2.7235012313327993</v>
      </c>
      <c r="AC73" s="360">
        <f t="shared" ref="AC73:AC104" si="95">Rdson3*AB73^2</f>
        <v>4.4504753742427641E-2</v>
      </c>
      <c r="AD73" s="360">
        <f t="shared" ref="AD73:AD109" si="96">(Vin*J73/2)*Fsw*(Tr_Ch2+Tf_Ch2)</f>
        <v>0.13902683877113595</v>
      </c>
      <c r="AE73" s="360">
        <f t="shared" ref="AE73:AE109" si="97">(0.5*Coss_Q3*(Vin-Q73)^2-0.5*Coss_Q4*(Vin-Q73)^2+(Qoss_Q4*(Vin-Q73)/Vin)*Vin)*Fsw</f>
        <v>-3.4229250000000003E-2</v>
      </c>
      <c r="AF73" s="360">
        <f t="shared" ref="AF73:AF109" si="98">IF(J73&gt;N73/2,0,ABS(J73-N73/2)*Vsd_Q3*Deadtime*Fsw)</f>
        <v>0</v>
      </c>
      <c r="AG73" s="360">
        <f t="shared" ref="AG73:AG104" si="99">(AF73+AE73+AD73+AC73*(1+RdsonTopTc*Ta-RdsonTopTc*25))/(1-AC73*RdsonTopTc*ThetaJA_Q2)</f>
        <v>0.15031921026779368</v>
      </c>
      <c r="AH73" s="360">
        <f t="shared" ref="AH73:AH109" si="100">SQRT((1-M73))*SQRT(J73^2+(N73^2)/12)</f>
        <v>7.661497329919345</v>
      </c>
      <c r="AI73" s="360">
        <f t="shared" ref="AI73:AI104" si="101">Rdson4*AH73^2</f>
        <v>0.14674635334090314</v>
      </c>
      <c r="AJ73" s="360">
        <f t="shared" ref="AJ73:AJ109" si="102">IF(J73&lt;N73/2,Deadtime*Fsw*IF(VfdSky_Q4&gt;0,0,Vsd_Q4)*(J73+N73/2),2*Deadtime*Fsw*IF(VfdSky_Q4&gt;0,0,Vsd_Q4)*J73)</f>
        <v>3.3116159999999999E-2</v>
      </c>
      <c r="AK73" s="360">
        <f t="shared" ref="AK73:AK104" si="103">(AJ73+AI73*(1+RdsonBotTc*Ta-RdsonBotTc*25))/(1-AI73*RdsonBotTc*ThetaJA_Q3)</f>
        <v>0.18530096141247188</v>
      </c>
      <c r="AL73" s="360">
        <f t="shared" ref="AL73:AL109" si="104">2*Deadtime*Fsw*IF(VfdSky_Q4&gt;0,VfdSky_Q4,Vsd_Q4)*J73</f>
        <v>3.3116159999999999E-2</v>
      </c>
      <c r="AM73" s="360">
        <f t="shared" ref="AM73:AM109" si="105">IF(QrrSky_Q4&gt;0,QrrSky_Q4,Qrr_Q4*J73/Iout2)*Fsw*Vin</f>
        <v>0.38015999999999994</v>
      </c>
      <c r="AN73" s="360">
        <f t="shared" ref="AN73:AN109" si="106">CHOOSE(SENSING_TYPE, Rs_Ch2*R73^2, 0)</f>
        <v>0.26446400117373009</v>
      </c>
      <c r="AO73" s="360">
        <f t="shared" ref="AO73:AO109" si="107">Iq*Vin</f>
        <v>1.5749999999999998E-3</v>
      </c>
      <c r="AP73" s="360">
        <f t="shared" ref="AP73:AP109" si="108">IF(Ext_VCC=1,  (Qg_Q3+Qg_Q4)*Fsw*VCC, (Qg_Q3+Qg_Q4)*Fsw*Vin)</f>
        <v>0.32669999999999993</v>
      </c>
      <c r="AQ73" s="360">
        <f t="shared" ref="AQ73:AQ109" si="109">(Vin-VCC)*Fsw*(Qg_Q3+Qg_Q4)+(RdsonDRT+RdsonDRT2)*Fsw*Qg_Q3*VCC/(RdsonDRT+2*Rgate3+RdsonDRT2)+(RdsonDRB+RdsonDRB2)*Fsw*Qg_Q4*VCC/(RdsonDRB+2*Rgate4+RdsonDRB2)</f>
        <v>0.31218000000000001</v>
      </c>
      <c r="AR73" s="360">
        <f t="shared" ref="AR73:AR109" si="110">(Qg_Q3+Qg_Q4)*Fsw*(Vin-VCC)</f>
        <v>0.29039999999999999</v>
      </c>
      <c r="AS73" s="360">
        <f t="shared" si="48"/>
        <v>0.32827499999999993</v>
      </c>
      <c r="AT73" s="360">
        <f t="shared" si="41"/>
        <v>2.0134900792041401</v>
      </c>
      <c r="AU73">
        <f t="shared" ref="AU73:AU109" si="111">Vout2*J73</f>
        <v>38.4</v>
      </c>
      <c r="AV73" s="542">
        <f t="shared" si="42"/>
        <v>0.9501777729352745</v>
      </c>
      <c r="AW73" s="551">
        <f t="shared" ref="AW73:AW109" si="112">ThetaJA_Q1*BC73</f>
        <v>15.246542790176159</v>
      </c>
      <c r="AX73" s="551">
        <f t="shared" ref="AX73:AX109" si="113">ThetaJA_Q2*BD73</f>
        <v>11.80864293367393</v>
      </c>
      <c r="AY73" s="9"/>
      <c r="AZ73" s="4">
        <f t="shared" si="43"/>
        <v>95.017777293527445</v>
      </c>
      <c r="BA73" s="360">
        <f t="shared" ref="BA73:BA109" si="114">U73</f>
        <v>0.64770958840189807</v>
      </c>
      <c r="BB73" s="360">
        <f t="shared" si="44"/>
        <v>0.71578017168026553</v>
      </c>
      <c r="BC73" s="360">
        <f t="shared" si="45"/>
        <v>0.40122481026779366</v>
      </c>
      <c r="BD73" s="360">
        <f t="shared" si="46"/>
        <v>0.31075376141247185</v>
      </c>
      <c r="BE73" s="360">
        <f t="shared" si="47"/>
        <v>0.26446400117373009</v>
      </c>
      <c r="BK73" s="18"/>
      <c r="BL73" s="19"/>
    </row>
    <row r="74" spans="1:64" ht="13" x14ac:dyDescent="0.3">
      <c r="A74" s="14" t="s">
        <v>114</v>
      </c>
      <c r="B74" s="15" t="s">
        <v>7</v>
      </c>
      <c r="C74" s="17" t="s">
        <v>76</v>
      </c>
      <c r="G74">
        <v>65</v>
      </c>
      <c r="H74" s="548">
        <f t="shared" si="82"/>
        <v>45</v>
      </c>
      <c r="I74" s="4">
        <f t="shared" si="83"/>
        <v>2</v>
      </c>
      <c r="J74" s="360">
        <f t="shared" ref="J74:J109" si="115">Iout2*G74/100</f>
        <v>7.8</v>
      </c>
      <c r="K74" s="4">
        <f t="shared" si="84"/>
        <v>0.96296296296296291</v>
      </c>
      <c r="L74" s="4"/>
      <c r="M74" s="360">
        <f t="shared" si="85"/>
        <v>0.11220539012234446</v>
      </c>
      <c r="N74" s="4">
        <f t="shared" si="86"/>
        <v>9.2532817818621513</v>
      </c>
      <c r="O74" s="4">
        <f t="shared" ref="O74:O109" si="116">J74+N74/2</f>
        <v>12.426640890931075</v>
      </c>
      <c r="P74" s="4">
        <f t="shared" ref="P74:P109" si="117">J74-N74/2</f>
        <v>3.1733591090689242</v>
      </c>
      <c r="Q74" s="4">
        <f t="shared" si="87"/>
        <v>0</v>
      </c>
      <c r="R74" s="4">
        <f t="shared" si="88"/>
        <v>8.2447115561761866</v>
      </c>
      <c r="S74" s="360">
        <f t="shared" si="89"/>
        <v>0.33987634322272575</v>
      </c>
      <c r="T74" s="360">
        <f t="shared" si="90"/>
        <v>0.3</v>
      </c>
      <c r="U74" s="360">
        <f t="shared" si="91"/>
        <v>0.65776093369134814</v>
      </c>
      <c r="V74" s="4">
        <f t="shared" ref="V74:V109" si="118">N74/SQRT(12)</f>
        <v>2.6711923638227866</v>
      </c>
      <c r="W74" s="360">
        <f t="shared" si="92"/>
        <v>1.4270537289090333E-2</v>
      </c>
      <c r="X74" s="360">
        <f t="shared" ref="X74:X109" si="119">W74</f>
        <v>1.4270537289090333E-2</v>
      </c>
      <c r="Y74" s="4">
        <f t="shared" si="93"/>
        <v>2.6021874519321275</v>
      </c>
      <c r="Z74" s="360">
        <f t="shared" ref="Z74:Z109" si="120">RCinEsr*Y74^2</f>
        <v>1.0157069302489528E-2</v>
      </c>
      <c r="AA74" s="541">
        <f t="shared" ref="AA74:AA109" si="121">Z74</f>
        <v>1.0157069302489528E-2</v>
      </c>
      <c r="AB74" s="360">
        <f t="shared" si="94"/>
        <v>2.7617370506498911</v>
      </c>
      <c r="AC74" s="360">
        <f t="shared" si="95"/>
        <v>4.5763149221594156E-2</v>
      </c>
      <c r="AD74" s="360">
        <f t="shared" si="96"/>
        <v>0.14119913312693497</v>
      </c>
      <c r="AE74" s="360">
        <f t="shared" si="97"/>
        <v>-3.4229250000000003E-2</v>
      </c>
      <c r="AF74" s="360">
        <f t="shared" si="98"/>
        <v>0</v>
      </c>
      <c r="AG74" s="360">
        <f t="shared" si="99"/>
        <v>0.15380288501392492</v>
      </c>
      <c r="AH74" s="360">
        <f t="shared" si="100"/>
        <v>7.7684024810518668</v>
      </c>
      <c r="AI74" s="360">
        <f t="shared" si="101"/>
        <v>0.15087019276903202</v>
      </c>
      <c r="AJ74" s="360">
        <f t="shared" si="102"/>
        <v>3.36336E-2</v>
      </c>
      <c r="AK74" s="360">
        <f t="shared" si="103"/>
        <v>0.1902442294841252</v>
      </c>
      <c r="AL74" s="360">
        <f t="shared" si="104"/>
        <v>3.36336E-2</v>
      </c>
      <c r="AM74" s="360">
        <f t="shared" si="105"/>
        <v>0.38609999999999994</v>
      </c>
      <c r="AN74" s="360">
        <f t="shared" si="106"/>
        <v>0.27190107457818063</v>
      </c>
      <c r="AO74" s="360">
        <f t="shared" si="107"/>
        <v>1.5749999999999998E-3</v>
      </c>
      <c r="AP74" s="360">
        <f t="shared" si="108"/>
        <v>0.32669999999999993</v>
      </c>
      <c r="AQ74" s="360">
        <f t="shared" si="109"/>
        <v>0.31218000000000001</v>
      </c>
      <c r="AR74" s="360">
        <f t="shared" si="110"/>
        <v>0.29039999999999999</v>
      </c>
      <c r="AS74" s="360">
        <f t="shared" si="48"/>
        <v>0.32827499999999993</v>
      </c>
      <c r="AT74" s="360">
        <f t="shared" ref="AT74:AT109" si="122">SUM(U74,X74,AA74,AG74,AK74,AL74,AM74,AS74,AN74)</f>
        <v>2.0461453293591583</v>
      </c>
      <c r="AU74">
        <f t="shared" si="111"/>
        <v>39</v>
      </c>
      <c r="AV74" s="542">
        <f t="shared" ref="AV74:AV109" si="123">AU74/(AU74+AT74)</f>
        <v>0.95015012218709838</v>
      </c>
      <c r="AW74" s="551">
        <f t="shared" si="112"/>
        <v>15.527897630529147</v>
      </c>
      <c r="AX74" s="551">
        <f t="shared" si="113"/>
        <v>12.070974720396759</v>
      </c>
      <c r="AY74" s="9"/>
      <c r="AZ74" s="4">
        <f t="shared" ref="AZ74:AZ109" si="124">AV74*100</f>
        <v>95.015012218709842</v>
      </c>
      <c r="BA74" s="360">
        <f t="shared" si="114"/>
        <v>0.65776093369134814</v>
      </c>
      <c r="BB74" s="360">
        <f t="shared" ref="BB74:BB109" si="125">AG74+AK74+AM74</f>
        <v>0.73014711449805003</v>
      </c>
      <c r="BC74" s="360">
        <f t="shared" ref="BC74:BC109" si="126">AG74+AM74*0.66</f>
        <v>0.40862888501392491</v>
      </c>
      <c r="BD74" s="360">
        <f t="shared" ref="BD74:BD109" si="127">AK74+AM74*0.33</f>
        <v>0.31765722948412523</v>
      </c>
      <c r="BE74" s="360">
        <f t="shared" ref="BE74:BE109" si="128">AN74</f>
        <v>0.27190107457818063</v>
      </c>
      <c r="BK74" s="18"/>
      <c r="BL74" s="19"/>
    </row>
    <row r="75" spans="1:64" ht="13" x14ac:dyDescent="0.3">
      <c r="A75" s="34" t="s">
        <v>115</v>
      </c>
      <c r="B75" s="603">
        <f>AS9</f>
        <v>0.32827499999999993</v>
      </c>
      <c r="C75" s="78" t="s">
        <v>116</v>
      </c>
      <c r="G75">
        <v>66</v>
      </c>
      <c r="H75" s="548">
        <f t="shared" si="82"/>
        <v>45</v>
      </c>
      <c r="I75" s="4">
        <f t="shared" si="83"/>
        <v>2</v>
      </c>
      <c r="J75" s="360">
        <f t="shared" si="115"/>
        <v>7.92</v>
      </c>
      <c r="K75" s="4">
        <f t="shared" si="84"/>
        <v>0.97777777777777786</v>
      </c>
      <c r="L75" s="4"/>
      <c r="M75" s="360">
        <f t="shared" si="85"/>
        <v>0.11222221866804286</v>
      </c>
      <c r="N75" s="4">
        <f t="shared" si="86"/>
        <v>9.2543635269242852</v>
      </c>
      <c r="O75" s="4">
        <f t="shared" si="116"/>
        <v>12.547181763462142</v>
      </c>
      <c r="P75" s="4">
        <f t="shared" si="117"/>
        <v>3.2928182365378573</v>
      </c>
      <c r="Q75" s="4">
        <f t="shared" si="87"/>
        <v>0</v>
      </c>
      <c r="R75" s="4">
        <f t="shared" si="88"/>
        <v>8.3584291002579469</v>
      </c>
      <c r="S75" s="360">
        <f t="shared" si="89"/>
        <v>0.34931668512019437</v>
      </c>
      <c r="T75" s="360">
        <f t="shared" si="90"/>
        <v>0.3</v>
      </c>
      <c r="U75" s="360">
        <f t="shared" si="91"/>
        <v>0.667983713645385</v>
      </c>
      <c r="V75" s="4">
        <f t="shared" si="118"/>
        <v>2.6715046367241952</v>
      </c>
      <c r="W75" s="360">
        <f t="shared" si="92"/>
        <v>1.4273874048077749E-2</v>
      </c>
      <c r="X75" s="360">
        <f t="shared" si="119"/>
        <v>1.4273874048077749E-2</v>
      </c>
      <c r="Y75" s="4">
        <f t="shared" si="93"/>
        <v>2.6382516841245223</v>
      </c>
      <c r="Z75" s="360">
        <f t="shared" si="120"/>
        <v>1.0440557923178816E-2</v>
      </c>
      <c r="AA75" s="541">
        <f t="shared" si="121"/>
        <v>1.0440557923178816E-2</v>
      </c>
      <c r="AB75" s="360">
        <f t="shared" si="94"/>
        <v>2.800039050511772</v>
      </c>
      <c r="AC75" s="360">
        <f t="shared" si="95"/>
        <v>4.7041312106345198E-2</v>
      </c>
      <c r="AD75" s="360">
        <f t="shared" si="96"/>
        <v>0.14337142748273396</v>
      </c>
      <c r="AE75" s="360">
        <f t="shared" si="97"/>
        <v>-3.4229250000000003E-2</v>
      </c>
      <c r="AF75" s="360">
        <f t="shared" si="98"/>
        <v>0</v>
      </c>
      <c r="AG75" s="360">
        <f t="shared" si="99"/>
        <v>0.15730828780513972</v>
      </c>
      <c r="AH75" s="360">
        <f t="shared" si="100"/>
        <v>7.8754757532258335</v>
      </c>
      <c r="AI75" s="360">
        <f t="shared" si="101"/>
        <v>0.15505779584912002</v>
      </c>
      <c r="AJ75" s="360">
        <f t="shared" si="102"/>
        <v>3.4151040000000001E-2</v>
      </c>
      <c r="AK75" s="360">
        <f t="shared" si="103"/>
        <v>0.19526428580202287</v>
      </c>
      <c r="AL75" s="360">
        <f t="shared" si="104"/>
        <v>3.4151040000000001E-2</v>
      </c>
      <c r="AM75" s="360">
        <f t="shared" si="105"/>
        <v>0.39203999999999994</v>
      </c>
      <c r="AN75" s="360">
        <f t="shared" si="106"/>
        <v>0.27945334809615546</v>
      </c>
      <c r="AO75" s="360">
        <f t="shared" si="107"/>
        <v>1.5749999999999998E-3</v>
      </c>
      <c r="AP75" s="360">
        <f t="shared" si="108"/>
        <v>0.32669999999999993</v>
      </c>
      <c r="AQ75" s="360">
        <f t="shared" si="109"/>
        <v>0.31218000000000001</v>
      </c>
      <c r="AR75" s="360">
        <f t="shared" si="110"/>
        <v>0.29039999999999999</v>
      </c>
      <c r="AS75" s="360">
        <f t="shared" ref="AS75:AS109" si="129">SUM(AO75:AP75)</f>
        <v>0.32827499999999993</v>
      </c>
      <c r="AT75" s="360">
        <f t="shared" si="122"/>
        <v>2.0791901073199597</v>
      </c>
      <c r="AU75">
        <f t="shared" si="111"/>
        <v>39.6</v>
      </c>
      <c r="AV75" s="542">
        <f t="shared" si="123"/>
        <v>0.95011443115938088</v>
      </c>
      <c r="AW75" s="551">
        <f t="shared" si="112"/>
        <v>15.810078136595308</v>
      </c>
      <c r="AX75" s="551">
        <f t="shared" si="113"/>
        <v>12.33622446047687</v>
      </c>
      <c r="AY75" s="9"/>
      <c r="AZ75" s="4">
        <f t="shared" si="124"/>
        <v>95.011443115938093</v>
      </c>
      <c r="BA75" s="360">
        <f t="shared" si="114"/>
        <v>0.667983713645385</v>
      </c>
      <c r="BB75" s="360">
        <f t="shared" si="125"/>
        <v>0.74461257360716249</v>
      </c>
      <c r="BC75" s="360">
        <f t="shared" si="126"/>
        <v>0.41605468780513971</v>
      </c>
      <c r="BD75" s="360">
        <f t="shared" si="127"/>
        <v>0.3246374858020229</v>
      </c>
      <c r="BE75" s="360">
        <f t="shared" si="128"/>
        <v>0.27945334809615546</v>
      </c>
      <c r="BK75" s="18"/>
      <c r="BL75" s="19"/>
    </row>
    <row r="76" spans="1:64" ht="13" x14ac:dyDescent="0.3">
      <c r="A76" s="34" t="s">
        <v>119</v>
      </c>
      <c r="B76" s="604">
        <f>B75*B62</f>
        <v>9.8482499999999984</v>
      </c>
      <c r="C76" s="440" t="s">
        <v>465</v>
      </c>
      <c r="G76">
        <v>67</v>
      </c>
      <c r="H76" s="548">
        <f t="shared" si="82"/>
        <v>45</v>
      </c>
      <c r="I76" s="4">
        <f t="shared" si="83"/>
        <v>2</v>
      </c>
      <c r="J76" s="360">
        <f t="shared" si="115"/>
        <v>8.0399999999999991</v>
      </c>
      <c r="K76" s="4">
        <f t="shared" si="84"/>
        <v>0.99259259259259247</v>
      </c>
      <c r="L76" s="4"/>
      <c r="M76" s="360">
        <f t="shared" si="85"/>
        <v>0.11223904701636388</v>
      </c>
      <c r="N76" s="4">
        <f t="shared" si="86"/>
        <v>9.2554451639182389</v>
      </c>
      <c r="O76" s="4">
        <f t="shared" si="116"/>
        <v>12.667722581959119</v>
      </c>
      <c r="P76" s="4">
        <f t="shared" si="117"/>
        <v>3.4122774180408797</v>
      </c>
      <c r="Q76" s="4">
        <f t="shared" si="87"/>
        <v>0</v>
      </c>
      <c r="R76" s="4">
        <f t="shared" si="88"/>
        <v>8.4723199557062348</v>
      </c>
      <c r="S76" s="360">
        <f t="shared" si="89"/>
        <v>0.35890102715929045</v>
      </c>
      <c r="T76" s="360">
        <f t="shared" si="90"/>
        <v>0.3</v>
      </c>
      <c r="U76" s="360">
        <f t="shared" si="91"/>
        <v>0.6783786919055198</v>
      </c>
      <c r="V76" s="4">
        <f t="shared" si="118"/>
        <v>2.6718168784290079</v>
      </c>
      <c r="W76" s="360">
        <f t="shared" si="92"/>
        <v>1.4277210863716257E-2</v>
      </c>
      <c r="X76" s="360">
        <f t="shared" si="119"/>
        <v>1.4277210863716257E-2</v>
      </c>
      <c r="Y76" s="4">
        <f t="shared" si="93"/>
        <v>2.674375305105809</v>
      </c>
      <c r="Z76" s="360">
        <f t="shared" si="120"/>
        <v>1.0728424908839683E-2</v>
      </c>
      <c r="AA76" s="541">
        <f t="shared" si="121"/>
        <v>1.0728424908839683E-2</v>
      </c>
      <c r="AB76" s="360">
        <f t="shared" si="94"/>
        <v>2.8384048076887445</v>
      </c>
      <c r="AC76" s="360">
        <f t="shared" si="95"/>
        <v>4.8339251113863474E-2</v>
      </c>
      <c r="AD76" s="360">
        <f t="shared" si="96"/>
        <v>0.14554372183853295</v>
      </c>
      <c r="AE76" s="360">
        <f t="shared" si="97"/>
        <v>-3.4229250000000003E-2</v>
      </c>
      <c r="AF76" s="360">
        <f t="shared" si="98"/>
        <v>0</v>
      </c>
      <c r="AG76" s="360">
        <f t="shared" si="99"/>
        <v>0.16083547222695577</v>
      </c>
      <c r="AH76" s="360">
        <f t="shared" si="100"/>
        <v>7.9827102903429683</v>
      </c>
      <c r="AI76" s="360">
        <f t="shared" si="101"/>
        <v>0.1593091589488688</v>
      </c>
      <c r="AJ76" s="360">
        <f t="shared" si="102"/>
        <v>3.4668479999999995E-2</v>
      </c>
      <c r="AK76" s="360">
        <f t="shared" si="103"/>
        <v>0.20036152412777053</v>
      </c>
      <c r="AL76" s="360">
        <f t="shared" si="104"/>
        <v>3.4668479999999995E-2</v>
      </c>
      <c r="AM76" s="360">
        <f t="shared" si="105"/>
        <v>0.39798</v>
      </c>
      <c r="AN76" s="360">
        <f t="shared" si="106"/>
        <v>0.28712082172743236</v>
      </c>
      <c r="AO76" s="360">
        <f t="shared" si="107"/>
        <v>1.5749999999999998E-3</v>
      </c>
      <c r="AP76" s="360">
        <f t="shared" si="108"/>
        <v>0.32669999999999993</v>
      </c>
      <c r="AQ76" s="360">
        <f t="shared" si="109"/>
        <v>0.31218000000000001</v>
      </c>
      <c r="AR76" s="360">
        <f t="shared" si="110"/>
        <v>0.29039999999999999</v>
      </c>
      <c r="AS76" s="360">
        <f t="shared" si="129"/>
        <v>0.32827499999999993</v>
      </c>
      <c r="AT76" s="360">
        <f t="shared" si="122"/>
        <v>2.1126256257602343</v>
      </c>
      <c r="AU76">
        <f t="shared" si="111"/>
        <v>40.199999999999996</v>
      </c>
      <c r="AV76" s="542">
        <f t="shared" si="123"/>
        <v>0.95007103448399444</v>
      </c>
      <c r="AW76" s="551">
        <f t="shared" si="112"/>
        <v>16.093086344624322</v>
      </c>
      <c r="AX76" s="551">
        <f t="shared" si="113"/>
        <v>12.604407116855281</v>
      </c>
      <c r="AY76" s="9"/>
      <c r="AZ76" s="4">
        <f t="shared" si="124"/>
        <v>95.007103448399448</v>
      </c>
      <c r="BA76" s="360">
        <f t="shared" si="114"/>
        <v>0.6783786919055198</v>
      </c>
      <c r="BB76" s="360">
        <f t="shared" si="125"/>
        <v>0.75917699635472635</v>
      </c>
      <c r="BC76" s="360">
        <f t="shared" si="126"/>
        <v>0.4235022722269558</v>
      </c>
      <c r="BD76" s="360">
        <f t="shared" si="127"/>
        <v>0.33169492412777057</v>
      </c>
      <c r="BE76" s="360">
        <f t="shared" si="128"/>
        <v>0.28712082172743236</v>
      </c>
      <c r="BK76" s="18"/>
      <c r="BL76" s="19"/>
    </row>
    <row r="77" spans="1:64" ht="13" x14ac:dyDescent="0.3">
      <c r="A77" s="34" t="s">
        <v>210</v>
      </c>
      <c r="B77" s="604">
        <f>(Qg_Q3+Qg_Q4)*Fsw+Iq</f>
        <v>7.2949999999999994E-3</v>
      </c>
      <c r="C77" s="21" t="s">
        <v>1</v>
      </c>
      <c r="G77">
        <v>68</v>
      </c>
      <c r="H77" s="548">
        <f t="shared" si="82"/>
        <v>45</v>
      </c>
      <c r="I77" s="4">
        <f t="shared" si="83"/>
        <v>2</v>
      </c>
      <c r="J77" s="360">
        <f t="shared" si="115"/>
        <v>8.16</v>
      </c>
      <c r="K77" s="4">
        <f t="shared" si="84"/>
        <v>1.0074074074074073</v>
      </c>
      <c r="L77" s="4"/>
      <c r="M77" s="360">
        <f t="shared" si="85"/>
        <v>0.11225587516731103</v>
      </c>
      <c r="N77" s="4">
        <f t="shared" si="86"/>
        <v>9.2565266928459149</v>
      </c>
      <c r="O77" s="4">
        <f t="shared" si="116"/>
        <v>12.788263346422958</v>
      </c>
      <c r="P77" s="4">
        <f t="shared" si="117"/>
        <v>3.5317366535770427</v>
      </c>
      <c r="Q77" s="4">
        <f t="shared" si="87"/>
        <v>0</v>
      </c>
      <c r="R77" s="4">
        <f t="shared" si="88"/>
        <v>8.5863772260451849</v>
      </c>
      <c r="S77" s="360">
        <f t="shared" si="89"/>
        <v>0.368629369339737</v>
      </c>
      <c r="T77" s="360">
        <f t="shared" si="90"/>
        <v>0.3</v>
      </c>
      <c r="U77" s="360">
        <f t="shared" si="91"/>
        <v>0.68894664677241224</v>
      </c>
      <c r="V77" s="4">
        <f t="shared" si="118"/>
        <v>2.6721290889377727</v>
      </c>
      <c r="W77" s="360">
        <f t="shared" si="92"/>
        <v>1.4280547735894824E-2</v>
      </c>
      <c r="X77" s="360">
        <f t="shared" si="119"/>
        <v>1.4280547735894824E-2</v>
      </c>
      <c r="Y77" s="4">
        <f t="shared" si="93"/>
        <v>2.7105561476907507</v>
      </c>
      <c r="Z77" s="360">
        <f t="shared" si="120"/>
        <v>1.1020671944676185E-2</v>
      </c>
      <c r="AA77" s="541">
        <f t="shared" si="121"/>
        <v>1.1020671944676185E-2</v>
      </c>
      <c r="AB77" s="360">
        <f t="shared" si="94"/>
        <v>2.8768320238625722</v>
      </c>
      <c r="AC77" s="360">
        <f t="shared" si="95"/>
        <v>4.9656974961127344E-2</v>
      </c>
      <c r="AD77" s="360">
        <f t="shared" si="96"/>
        <v>0.14771601619433197</v>
      </c>
      <c r="AE77" s="360">
        <f t="shared" si="97"/>
        <v>-3.4229250000000003E-2</v>
      </c>
      <c r="AF77" s="360">
        <f t="shared" si="98"/>
        <v>0</v>
      </c>
      <c r="AG77" s="360">
        <f t="shared" si="99"/>
        <v>0.16438449232157928</v>
      </c>
      <c r="AH77" s="360">
        <f t="shared" si="100"/>
        <v>8.0900995898954289</v>
      </c>
      <c r="AI77" s="360">
        <f t="shared" si="101"/>
        <v>0.16362427843606547</v>
      </c>
      <c r="AJ77" s="360">
        <f t="shared" si="102"/>
        <v>3.5185920000000002E-2</v>
      </c>
      <c r="AK77" s="360">
        <f t="shared" si="103"/>
        <v>0.20553634568715476</v>
      </c>
      <c r="AL77" s="360">
        <f t="shared" si="104"/>
        <v>3.5185920000000002E-2</v>
      </c>
      <c r="AM77" s="360">
        <f t="shared" si="105"/>
        <v>0.40392</v>
      </c>
      <c r="AN77" s="360">
        <f t="shared" si="106"/>
        <v>0.29490349547178962</v>
      </c>
      <c r="AO77" s="360">
        <f t="shared" si="107"/>
        <v>1.5749999999999998E-3</v>
      </c>
      <c r="AP77" s="360">
        <f t="shared" si="108"/>
        <v>0.32669999999999993</v>
      </c>
      <c r="AQ77" s="360">
        <f t="shared" si="109"/>
        <v>0.31218000000000001</v>
      </c>
      <c r="AR77" s="360">
        <f t="shared" si="110"/>
        <v>0.29039999999999999</v>
      </c>
      <c r="AS77" s="360">
        <f t="shared" si="129"/>
        <v>0.32827499999999993</v>
      </c>
      <c r="AT77" s="360">
        <f t="shared" si="122"/>
        <v>2.1464531199335068</v>
      </c>
      <c r="AU77">
        <f t="shared" si="111"/>
        <v>40.799999999999997</v>
      </c>
      <c r="AV77" s="542">
        <f t="shared" si="123"/>
        <v>0.95002024698199738</v>
      </c>
      <c r="AW77" s="551">
        <f t="shared" si="112"/>
        <v>16.376924308220012</v>
      </c>
      <c r="AX77" s="551">
        <f t="shared" si="113"/>
        <v>12.875537936111881</v>
      </c>
      <c r="AY77" s="9"/>
      <c r="AZ77" s="4">
        <f t="shared" si="124"/>
        <v>95.002024698199733</v>
      </c>
      <c r="BA77" s="360">
        <f t="shared" si="114"/>
        <v>0.68894664677241224</v>
      </c>
      <c r="BB77" s="360">
        <f t="shared" si="125"/>
        <v>0.77384083800873404</v>
      </c>
      <c r="BC77" s="360">
        <f t="shared" si="126"/>
        <v>0.43097169232157928</v>
      </c>
      <c r="BD77" s="360">
        <f t="shared" si="127"/>
        <v>0.33882994568715474</v>
      </c>
      <c r="BE77" s="360">
        <f t="shared" si="128"/>
        <v>0.29490349547178962</v>
      </c>
      <c r="BK77" s="18"/>
      <c r="BL77" s="19"/>
    </row>
    <row r="78" spans="1:64" ht="13" x14ac:dyDescent="0.3">
      <c r="A78" s="34" t="s">
        <v>211</v>
      </c>
      <c r="B78" s="605">
        <f>Qrr_Q4*Fsw</f>
        <v>1.3199999999999998E-2</v>
      </c>
      <c r="C78" s="21" t="s">
        <v>1</v>
      </c>
      <c r="G78">
        <v>69</v>
      </c>
      <c r="H78" s="548">
        <f t="shared" si="82"/>
        <v>45</v>
      </c>
      <c r="I78" s="4">
        <f t="shared" si="83"/>
        <v>2</v>
      </c>
      <c r="J78" s="360">
        <f t="shared" si="115"/>
        <v>8.2799999999999994</v>
      </c>
      <c r="K78" s="4">
        <f t="shared" si="84"/>
        <v>1.0222222222222221</v>
      </c>
      <c r="L78" s="4"/>
      <c r="M78" s="360">
        <f t="shared" si="85"/>
        <v>0.11227270312088776</v>
      </c>
      <c r="N78" s="4">
        <f t="shared" si="86"/>
        <v>9.2576081137092139</v>
      </c>
      <c r="O78" s="4">
        <f t="shared" si="116"/>
        <v>12.908804056854606</v>
      </c>
      <c r="P78" s="4">
        <f t="shared" si="117"/>
        <v>3.6511959431453924</v>
      </c>
      <c r="Q78" s="4">
        <f t="shared" si="87"/>
        <v>0</v>
      </c>
      <c r="R78" s="4">
        <f t="shared" si="88"/>
        <v>8.7005943666080192</v>
      </c>
      <c r="S78" s="360">
        <f t="shared" si="89"/>
        <v>0.37850171166125601</v>
      </c>
      <c r="T78" s="360">
        <f t="shared" si="90"/>
        <v>0.3</v>
      </c>
      <c r="U78" s="360">
        <f t="shared" si="91"/>
        <v>0.69968837135628226</v>
      </c>
      <c r="V78" s="4">
        <f t="shared" si="118"/>
        <v>2.6724412682510392</v>
      </c>
      <c r="W78" s="360">
        <f t="shared" si="92"/>
        <v>1.4283884664502446E-2</v>
      </c>
      <c r="X78" s="360">
        <f t="shared" si="119"/>
        <v>1.4283884664502446E-2</v>
      </c>
      <c r="Y78" s="4">
        <f t="shared" si="93"/>
        <v>2.7467921551883179</v>
      </c>
      <c r="Z78" s="360">
        <f t="shared" si="120"/>
        <v>1.1317300715706127E-2</v>
      </c>
      <c r="AA78" s="541">
        <f t="shared" si="121"/>
        <v>1.1317300715706127E-2</v>
      </c>
      <c r="AB78" s="360">
        <f t="shared" si="94"/>
        <v>2.9153185179013308</v>
      </c>
      <c r="AC78" s="360">
        <f t="shared" si="95"/>
        <v>5.0994492364910465E-2</v>
      </c>
      <c r="AD78" s="360">
        <f t="shared" si="96"/>
        <v>0.14988831055013094</v>
      </c>
      <c r="AE78" s="360">
        <f t="shared" si="97"/>
        <v>-3.4229250000000003E-2</v>
      </c>
      <c r="AF78" s="360">
        <f t="shared" si="98"/>
        <v>0</v>
      </c>
      <c r="AG78" s="360">
        <f t="shared" si="99"/>
        <v>0.16795540259028688</v>
      </c>
      <c r="AH78" s="360">
        <f t="shared" si="100"/>
        <v>8.1976374810937322</v>
      </c>
      <c r="AI78" s="360">
        <f t="shared" si="101"/>
        <v>0.16800315067858196</v>
      </c>
      <c r="AJ78" s="360">
        <f t="shared" si="102"/>
        <v>3.5703359999999996E-2</v>
      </c>
      <c r="AK78" s="360">
        <f t="shared" si="103"/>
        <v>0.2107891592553392</v>
      </c>
      <c r="AL78" s="360">
        <f t="shared" si="104"/>
        <v>3.5703359999999996E-2</v>
      </c>
      <c r="AM78" s="360">
        <f t="shared" si="105"/>
        <v>0.40985999999999989</v>
      </c>
      <c r="AN78" s="360">
        <f t="shared" si="106"/>
        <v>0.30280136932900481</v>
      </c>
      <c r="AO78" s="360">
        <f t="shared" si="107"/>
        <v>1.5749999999999998E-3</v>
      </c>
      <c r="AP78" s="360">
        <f t="shared" si="108"/>
        <v>0.32669999999999993</v>
      </c>
      <c r="AQ78" s="360">
        <f t="shared" si="109"/>
        <v>0.31218000000000001</v>
      </c>
      <c r="AR78" s="360">
        <f t="shared" si="110"/>
        <v>0.29039999999999999</v>
      </c>
      <c r="AS78" s="360">
        <f t="shared" si="129"/>
        <v>0.32827499999999993</v>
      </c>
      <c r="AT78" s="360">
        <f t="shared" si="122"/>
        <v>2.1806738479111214</v>
      </c>
      <c r="AU78">
        <f t="shared" si="111"/>
        <v>41.4</v>
      </c>
      <c r="AV78" s="542">
        <f t="shared" si="123"/>
        <v>0.94996236507215814</v>
      </c>
      <c r="AW78" s="551">
        <f t="shared" si="112"/>
        <v>16.6615940984309</v>
      </c>
      <c r="AX78" s="551">
        <f t="shared" si="113"/>
        <v>13.149632451702889</v>
      </c>
      <c r="AY78" s="9"/>
      <c r="AZ78" s="4">
        <f t="shared" si="124"/>
        <v>94.996236507215812</v>
      </c>
      <c r="BA78" s="360">
        <f t="shared" si="114"/>
        <v>0.69968837135628226</v>
      </c>
      <c r="BB78" s="360">
        <f t="shared" si="125"/>
        <v>0.788604561845626</v>
      </c>
      <c r="BC78" s="360">
        <f t="shared" si="126"/>
        <v>0.43846300259028681</v>
      </c>
      <c r="BD78" s="360">
        <f t="shared" si="127"/>
        <v>0.34604295925533918</v>
      </c>
      <c r="BE78" s="360">
        <f t="shared" si="128"/>
        <v>0.30280136932900481</v>
      </c>
      <c r="BK78" s="18"/>
      <c r="BL78" s="19"/>
    </row>
    <row r="79" spans="1:64" ht="13" x14ac:dyDescent="0.3">
      <c r="A79" s="34" t="s">
        <v>212</v>
      </c>
      <c r="B79" s="605">
        <f>Deadtime*Fsw*(Iripple2_Vinnom/2)*(Vsd_Q4)/Vin</f>
        <v>2.2448961287533468E-4</v>
      </c>
      <c r="C79" s="21"/>
      <c r="G79">
        <v>70</v>
      </c>
      <c r="H79" s="548">
        <f t="shared" si="82"/>
        <v>45</v>
      </c>
      <c r="I79" s="4">
        <f t="shared" si="83"/>
        <v>2</v>
      </c>
      <c r="J79" s="360">
        <f t="shared" si="115"/>
        <v>8.4</v>
      </c>
      <c r="K79" s="4">
        <f t="shared" si="84"/>
        <v>1.037037037037037</v>
      </c>
      <c r="L79" s="4"/>
      <c r="M79" s="360">
        <f t="shared" si="85"/>
        <v>0.11228953087709759</v>
      </c>
      <c r="N79" s="4">
        <f t="shared" si="86"/>
        <v>9.2586894265100419</v>
      </c>
      <c r="O79" s="4">
        <f t="shared" si="116"/>
        <v>13.029344713255021</v>
      </c>
      <c r="P79" s="4">
        <f t="shared" si="117"/>
        <v>3.7706552867449794</v>
      </c>
      <c r="Q79" s="4">
        <f t="shared" si="87"/>
        <v>0</v>
      </c>
      <c r="R79" s="4">
        <f t="shared" si="88"/>
        <v>8.8149651629892496</v>
      </c>
      <c r="S79" s="360">
        <f t="shared" si="89"/>
        <v>0.38851805412357043</v>
      </c>
      <c r="T79" s="360">
        <f t="shared" si="90"/>
        <v>0.3</v>
      </c>
      <c r="U79" s="360">
        <f t="shared" si="91"/>
        <v>0.71060467373068747</v>
      </c>
      <c r="V79" s="4">
        <f t="shared" si="118"/>
        <v>2.6727534163693574</v>
      </c>
      <c r="W79" s="360">
        <f t="shared" si="92"/>
        <v>1.4287221649428142E-2</v>
      </c>
      <c r="X79" s="360">
        <f t="shared" si="119"/>
        <v>1.4287221649428142E-2</v>
      </c>
      <c r="Y79" s="4">
        <f t="shared" si="93"/>
        <v>2.7830813746350924</v>
      </c>
      <c r="Z79" s="360">
        <f t="shared" si="120"/>
        <v>1.1618312906761134E-2</v>
      </c>
      <c r="AA79" s="541">
        <f t="shared" si="121"/>
        <v>1.1618312906761134E-2</v>
      </c>
      <c r="AB79" s="360">
        <f t="shared" si="94"/>
        <v>2.953862218683144</v>
      </c>
      <c r="AC79" s="360">
        <f t="shared" si="95"/>
        <v>5.2351812041782242E-2</v>
      </c>
      <c r="AD79" s="360">
        <f t="shared" si="96"/>
        <v>0.15206060490592996</v>
      </c>
      <c r="AE79" s="360">
        <f t="shared" si="97"/>
        <v>-3.4229250000000003E-2</v>
      </c>
      <c r="AF79" s="360">
        <f t="shared" si="98"/>
        <v>0</v>
      </c>
      <c r="AG79" s="360">
        <f t="shared" si="99"/>
        <v>0.17154825799583351</v>
      </c>
      <c r="AH79" s="360">
        <f t="shared" si="100"/>
        <v>8.3053181045490589</v>
      </c>
      <c r="AI79" s="360">
        <f t="shared" si="101"/>
        <v>0.17244577204437594</v>
      </c>
      <c r="AJ79" s="360">
        <f t="shared" si="102"/>
        <v>3.6220799999999997E-2</v>
      </c>
      <c r="AK79" s="360">
        <f t="shared" si="103"/>
        <v>0.21612038124400543</v>
      </c>
      <c r="AL79" s="360">
        <f t="shared" si="104"/>
        <v>3.6220799999999997E-2</v>
      </c>
      <c r="AM79" s="360">
        <f t="shared" si="105"/>
        <v>0.4158</v>
      </c>
      <c r="AN79" s="360">
        <f t="shared" si="106"/>
        <v>0.31081444329885638</v>
      </c>
      <c r="AO79" s="360">
        <f t="shared" si="107"/>
        <v>1.5749999999999998E-3</v>
      </c>
      <c r="AP79" s="360">
        <f t="shared" si="108"/>
        <v>0.32669999999999993</v>
      </c>
      <c r="AQ79" s="360">
        <f t="shared" si="109"/>
        <v>0.31218000000000001</v>
      </c>
      <c r="AR79" s="360">
        <f t="shared" si="110"/>
        <v>0.29039999999999999</v>
      </c>
      <c r="AS79" s="360">
        <f t="shared" si="129"/>
        <v>0.32827499999999993</v>
      </c>
      <c r="AT79" s="360">
        <f t="shared" si="122"/>
        <v>2.2152890908255718</v>
      </c>
      <c r="AU79">
        <f t="shared" si="111"/>
        <v>42</v>
      </c>
      <c r="AV79" s="542">
        <f t="shared" si="123"/>
        <v>0.94989766806058873</v>
      </c>
      <c r="AW79" s="551">
        <f t="shared" si="112"/>
        <v>16.947097803841672</v>
      </c>
      <c r="AX79" s="551">
        <f t="shared" si="113"/>
        <v>13.426706487272206</v>
      </c>
      <c r="AY79" s="9"/>
      <c r="AZ79" s="4">
        <f t="shared" si="124"/>
        <v>94.989766806058867</v>
      </c>
      <c r="BA79" s="360">
        <f t="shared" si="114"/>
        <v>0.71060467373068747</v>
      </c>
      <c r="BB79" s="360">
        <f t="shared" si="125"/>
        <v>0.80346863923983891</v>
      </c>
      <c r="BC79" s="360">
        <f t="shared" si="126"/>
        <v>0.44597625799583351</v>
      </c>
      <c r="BD79" s="360">
        <f t="shared" si="127"/>
        <v>0.3533343812440054</v>
      </c>
      <c r="BE79" s="360">
        <f t="shared" si="128"/>
        <v>0.31081444329885638</v>
      </c>
      <c r="BK79" s="18"/>
      <c r="BL79" s="19"/>
    </row>
    <row r="80" spans="1:64" ht="13" x14ac:dyDescent="0.3">
      <c r="A80" s="34" t="s">
        <v>45</v>
      </c>
      <c r="B80" s="605">
        <f>SUM(B77:B79)</f>
        <v>2.0719489612875334E-2</v>
      </c>
      <c r="C80" s="21" t="s">
        <v>1</v>
      </c>
      <c r="G80">
        <v>71</v>
      </c>
      <c r="H80" s="548">
        <f t="shared" si="82"/>
        <v>45</v>
      </c>
      <c r="I80" s="4">
        <f t="shared" si="83"/>
        <v>2</v>
      </c>
      <c r="J80" s="360">
        <f t="shared" si="115"/>
        <v>8.52</v>
      </c>
      <c r="K80" s="4">
        <f t="shared" si="84"/>
        <v>1.0518518518518518</v>
      </c>
      <c r="L80" s="4"/>
      <c r="M80" s="360">
        <f t="shared" si="85"/>
        <v>0.11230635843594391</v>
      </c>
      <c r="N80" s="4">
        <f t="shared" si="86"/>
        <v>9.259770631250289</v>
      </c>
      <c r="O80" s="4">
        <f t="shared" si="116"/>
        <v>13.149885315625145</v>
      </c>
      <c r="P80" s="4">
        <f t="shared" si="117"/>
        <v>3.8901146843748551</v>
      </c>
      <c r="Q80" s="4">
        <f t="shared" si="87"/>
        <v>0</v>
      </c>
      <c r="R80" s="4">
        <f t="shared" si="88"/>
        <v>8.9294837110148997</v>
      </c>
      <c r="S80" s="360">
        <f t="shared" si="89"/>
        <v>0.39867839672640215</v>
      </c>
      <c r="T80" s="360">
        <f t="shared" si="90"/>
        <v>0.3</v>
      </c>
      <c r="U80" s="360">
        <f t="shared" si="91"/>
        <v>0.72169637708971246</v>
      </c>
      <c r="V80" s="4">
        <f t="shared" si="118"/>
        <v>2.6730655332932729</v>
      </c>
      <c r="W80" s="360">
        <f t="shared" si="92"/>
        <v>1.4290558690560898E-2</v>
      </c>
      <c r="X80" s="360">
        <f t="shared" si="119"/>
        <v>1.4290558690560898E-2</v>
      </c>
      <c r="Y80" s="4">
        <f t="shared" si="93"/>
        <v>2.8194219505052898</v>
      </c>
      <c r="Z80" s="360">
        <f t="shared" si="120"/>
        <v>1.192371020248658E-2</v>
      </c>
      <c r="AA80" s="541">
        <f t="shared" si="121"/>
        <v>1.192371020248658E-2</v>
      </c>
      <c r="AB80" s="360">
        <f t="shared" si="94"/>
        <v>2.9924611584253773</v>
      </c>
      <c r="AC80" s="360">
        <f t="shared" si="95"/>
        <v>5.3728942708107311E-2</v>
      </c>
      <c r="AD80" s="360">
        <f t="shared" si="96"/>
        <v>0.15423289926172895</v>
      </c>
      <c r="AE80" s="360">
        <f t="shared" si="97"/>
        <v>-3.4229250000000003E-2</v>
      </c>
      <c r="AF80" s="360">
        <f t="shared" si="98"/>
        <v>0</v>
      </c>
      <c r="AG80" s="360">
        <f t="shared" si="99"/>
        <v>0.17516311396488479</v>
      </c>
      <c r="AH80" s="360">
        <f t="shared" si="100"/>
        <v>8.4131358933869524</v>
      </c>
      <c r="AI80" s="360">
        <f t="shared" si="101"/>
        <v>0.1769521389014897</v>
      </c>
      <c r="AJ80" s="360">
        <f t="shared" si="102"/>
        <v>3.6738239999999998E-2</v>
      </c>
      <c r="AK80" s="360">
        <f t="shared" si="103"/>
        <v>0.22153043579047027</v>
      </c>
      <c r="AL80" s="360">
        <f t="shared" si="104"/>
        <v>3.6738239999999998E-2</v>
      </c>
      <c r="AM80" s="360">
        <f t="shared" si="105"/>
        <v>0.42174</v>
      </c>
      <c r="AN80" s="360">
        <f t="shared" si="106"/>
        <v>0.31894271738112173</v>
      </c>
      <c r="AO80" s="360">
        <f t="shared" si="107"/>
        <v>1.5749999999999998E-3</v>
      </c>
      <c r="AP80" s="360">
        <f t="shared" si="108"/>
        <v>0.32669999999999993</v>
      </c>
      <c r="AQ80" s="360">
        <f t="shared" si="109"/>
        <v>0.31218000000000001</v>
      </c>
      <c r="AR80" s="360">
        <f t="shared" si="110"/>
        <v>0.29039999999999999</v>
      </c>
      <c r="AS80" s="360">
        <f t="shared" si="129"/>
        <v>0.32827499999999993</v>
      </c>
      <c r="AT80" s="360">
        <f t="shared" si="122"/>
        <v>2.250300153119237</v>
      </c>
      <c r="AU80">
        <f t="shared" si="111"/>
        <v>42.599999999999994</v>
      </c>
      <c r="AV80" s="542">
        <f t="shared" si="123"/>
        <v>0.94982641932302136</v>
      </c>
      <c r="AW80" s="551">
        <f t="shared" si="112"/>
        <v>17.233437530665622</v>
      </c>
      <c r="AX80" s="551">
        <f t="shared" si="113"/>
        <v>13.706776160037871</v>
      </c>
      <c r="AY80" s="9"/>
      <c r="AZ80" s="4">
        <f t="shared" si="124"/>
        <v>94.98264193230213</v>
      </c>
      <c r="BA80" s="360">
        <f t="shared" si="114"/>
        <v>0.72169637708971246</v>
      </c>
      <c r="BB80" s="360">
        <f t="shared" si="125"/>
        <v>0.81843354975535509</v>
      </c>
      <c r="BC80" s="360">
        <f t="shared" si="126"/>
        <v>0.45351151396488476</v>
      </c>
      <c r="BD80" s="360">
        <f t="shared" si="127"/>
        <v>0.3607046357904703</v>
      </c>
      <c r="BE80" s="360">
        <f t="shared" si="128"/>
        <v>0.31894271738112173</v>
      </c>
      <c r="BK80" s="18"/>
      <c r="BL80" s="19"/>
    </row>
    <row r="81" spans="1:64" ht="13" x14ac:dyDescent="0.3">
      <c r="A81" s="2"/>
      <c r="G81">
        <v>72</v>
      </c>
      <c r="H81" s="548">
        <f t="shared" si="82"/>
        <v>45</v>
      </c>
      <c r="I81" s="4">
        <f t="shared" si="83"/>
        <v>2</v>
      </c>
      <c r="J81" s="360">
        <f t="shared" si="115"/>
        <v>8.64</v>
      </c>
      <c r="K81" s="4">
        <f t="shared" si="84"/>
        <v>1.0666666666666667</v>
      </c>
      <c r="L81" s="4"/>
      <c r="M81" s="360">
        <f t="shared" si="85"/>
        <v>0.11232318579743028</v>
      </c>
      <c r="N81" s="4">
        <f t="shared" si="86"/>
        <v>9.2608517279318665</v>
      </c>
      <c r="O81" s="4">
        <f t="shared" si="116"/>
        <v>13.270425863965933</v>
      </c>
      <c r="P81" s="4">
        <f t="shared" si="117"/>
        <v>4.0095741360340673</v>
      </c>
      <c r="Q81" s="4">
        <f t="shared" si="87"/>
        <v>0</v>
      </c>
      <c r="R81" s="4">
        <f t="shared" si="88"/>
        <v>9.0441443981116816</v>
      </c>
      <c r="S81" s="360">
        <f t="shared" si="89"/>
        <v>0.40898273946947455</v>
      </c>
      <c r="T81" s="360">
        <f t="shared" si="90"/>
        <v>0.3</v>
      </c>
      <c r="U81" s="360">
        <f t="shared" si="91"/>
        <v>0.73296431990864386</v>
      </c>
      <c r="V81" s="4">
        <f t="shared" si="118"/>
        <v>2.6733776190233374</v>
      </c>
      <c r="W81" s="360">
        <f t="shared" si="92"/>
        <v>1.4293895787789777E-2</v>
      </c>
      <c r="X81" s="360">
        <f t="shared" si="119"/>
        <v>1.4293895787789777E-2</v>
      </c>
      <c r="Y81" s="4">
        <f t="shared" si="93"/>
        <v>2.8558121188600296</v>
      </c>
      <c r="Z81" s="360">
        <f t="shared" si="120"/>
        <v>1.2233494287341717E-2</v>
      </c>
      <c r="AA81" s="541">
        <f t="shared" si="121"/>
        <v>1.2233494287341717E-2</v>
      </c>
      <c r="AB81" s="360">
        <f t="shared" si="94"/>
        <v>3.0311134664796633</v>
      </c>
      <c r="AC81" s="360">
        <f t="shared" si="95"/>
        <v>5.5125893080046159E-2</v>
      </c>
      <c r="AD81" s="360">
        <f t="shared" si="96"/>
        <v>0.15640519361752797</v>
      </c>
      <c r="AE81" s="360">
        <f t="shared" si="97"/>
        <v>-3.4229250000000003E-2</v>
      </c>
      <c r="AF81" s="360">
        <f t="shared" si="98"/>
        <v>0</v>
      </c>
      <c r="AG81" s="360">
        <f t="shared" si="99"/>
        <v>0.17880002639047579</v>
      </c>
      <c r="AH81" s="360">
        <f t="shared" si="100"/>
        <v>8.5210855556801306</v>
      </c>
      <c r="AI81" s="360">
        <f t="shared" si="101"/>
        <v>0.18152224761805141</v>
      </c>
      <c r="AJ81" s="360">
        <f t="shared" si="102"/>
        <v>3.7255679999999999E-2</v>
      </c>
      <c r="AK81" s="360">
        <f t="shared" si="103"/>
        <v>0.22701975484882289</v>
      </c>
      <c r="AL81" s="360">
        <f t="shared" si="104"/>
        <v>3.7255679999999999E-2</v>
      </c>
      <c r="AM81" s="360">
        <f t="shared" si="105"/>
        <v>0.42767999999999995</v>
      </c>
      <c r="AN81" s="360">
        <f t="shared" si="106"/>
        <v>0.32718619157557965</v>
      </c>
      <c r="AO81" s="360">
        <f t="shared" si="107"/>
        <v>1.5749999999999998E-3</v>
      </c>
      <c r="AP81" s="360">
        <f t="shared" si="108"/>
        <v>0.32669999999999993</v>
      </c>
      <c r="AQ81" s="360">
        <f t="shared" si="109"/>
        <v>0.31218000000000001</v>
      </c>
      <c r="AR81" s="360">
        <f t="shared" si="110"/>
        <v>0.29039999999999999</v>
      </c>
      <c r="AS81" s="360">
        <f t="shared" si="129"/>
        <v>0.32827499999999993</v>
      </c>
      <c r="AT81" s="360">
        <f t="shared" si="122"/>
        <v>2.2857083627986534</v>
      </c>
      <c r="AU81">
        <f t="shared" si="111"/>
        <v>43.2</v>
      </c>
      <c r="AV81" s="542">
        <f t="shared" si="123"/>
        <v>0.94974886739000286</v>
      </c>
      <c r="AW81" s="551">
        <f t="shared" si="112"/>
        <v>17.520615402838079</v>
      </c>
      <c r="AX81" s="551">
        <f t="shared" si="113"/>
        <v>13.989857884255269</v>
      </c>
      <c r="AY81" s="9"/>
      <c r="AZ81" s="4">
        <f t="shared" si="124"/>
        <v>94.974886739000283</v>
      </c>
      <c r="BA81" s="360">
        <f t="shared" si="114"/>
        <v>0.73296431990864386</v>
      </c>
      <c r="BB81" s="360">
        <f t="shared" si="125"/>
        <v>0.83349978123929858</v>
      </c>
      <c r="BC81" s="360">
        <f t="shared" si="126"/>
        <v>0.46106882639047575</v>
      </c>
      <c r="BD81" s="360">
        <f t="shared" si="127"/>
        <v>0.36815415484882286</v>
      </c>
      <c r="BE81" s="360">
        <f t="shared" si="128"/>
        <v>0.32718619157557965</v>
      </c>
      <c r="BK81" s="18"/>
      <c r="BL81" s="19"/>
    </row>
    <row r="82" spans="1:64" ht="13" x14ac:dyDescent="0.3">
      <c r="A82" s="2"/>
      <c r="G82">
        <v>73</v>
      </c>
      <c r="H82" s="548">
        <f t="shared" si="82"/>
        <v>45</v>
      </c>
      <c r="I82" s="4">
        <f t="shared" si="83"/>
        <v>2</v>
      </c>
      <c r="J82" s="360">
        <f t="shared" si="115"/>
        <v>8.76</v>
      </c>
      <c r="K82" s="4">
        <f t="shared" si="84"/>
        <v>1.0814814814814815</v>
      </c>
      <c r="L82" s="4"/>
      <c r="M82" s="360">
        <f t="shared" si="85"/>
        <v>0.1123400129615601</v>
      </c>
      <c r="N82" s="4">
        <f t="shared" si="86"/>
        <v>9.2619327165566681</v>
      </c>
      <c r="O82" s="4">
        <f t="shared" si="116"/>
        <v>13.390966358278334</v>
      </c>
      <c r="P82" s="4">
        <f t="shared" si="117"/>
        <v>4.1290336417216658</v>
      </c>
      <c r="Q82" s="4">
        <f t="shared" si="87"/>
        <v>0</v>
      </c>
      <c r="R82" s="4">
        <f t="shared" si="88"/>
        <v>9.1589418859659713</v>
      </c>
      <c r="S82" s="360">
        <f t="shared" si="89"/>
        <v>0.41943108235250953</v>
      </c>
      <c r="T82" s="360">
        <f t="shared" si="90"/>
        <v>0.3</v>
      </c>
      <c r="U82" s="360">
        <f t="shared" si="91"/>
        <v>0.74440935610817227</v>
      </c>
      <c r="V82" s="4">
        <f t="shared" si="118"/>
        <v>2.673689673560097</v>
      </c>
      <c r="W82" s="360">
        <f t="shared" si="92"/>
        <v>1.4297232941003797E-2</v>
      </c>
      <c r="X82" s="360">
        <f t="shared" si="119"/>
        <v>1.4297232941003797E-2</v>
      </c>
      <c r="Y82" s="4">
        <f t="shared" si="93"/>
        <v>2.8922502019015734</v>
      </c>
      <c r="Z82" s="360">
        <f t="shared" si="120"/>
        <v>1.2547666845599539E-2</v>
      </c>
      <c r="AA82" s="541">
        <f t="shared" si="121"/>
        <v>1.2547666845599539E-2</v>
      </c>
      <c r="AB82" s="360">
        <f t="shared" si="94"/>
        <v>3.069817363556409</v>
      </c>
      <c r="AC82" s="360">
        <f t="shared" si="95"/>
        <v>5.6542671873554537E-2</v>
      </c>
      <c r="AD82" s="360">
        <f t="shared" si="96"/>
        <v>0.15857748797332696</v>
      </c>
      <c r="AE82" s="360">
        <f t="shared" si="97"/>
        <v>-3.4229250000000003E-2</v>
      </c>
      <c r="AF82" s="360">
        <f t="shared" si="98"/>
        <v>0</v>
      </c>
      <c r="AG82" s="360">
        <f t="shared" si="99"/>
        <v>0.18245905163449475</v>
      </c>
      <c r="AH82" s="360">
        <f t="shared" si="100"/>
        <v>8.6291620580974993</v>
      </c>
      <c r="AI82" s="360">
        <f t="shared" si="101"/>
        <v>0.18615609456227369</v>
      </c>
      <c r="AJ82" s="360">
        <f t="shared" si="102"/>
        <v>3.777312E-2</v>
      </c>
      <c r="AK82" s="360">
        <f t="shared" si="103"/>
        <v>0.23258877828311264</v>
      </c>
      <c r="AL82" s="360">
        <f t="shared" si="104"/>
        <v>3.777312E-2</v>
      </c>
      <c r="AM82" s="360">
        <f t="shared" si="105"/>
        <v>0.43361999999999984</v>
      </c>
      <c r="AN82" s="360">
        <f t="shared" si="106"/>
        <v>0.33554486588200766</v>
      </c>
      <c r="AO82" s="360">
        <f t="shared" si="107"/>
        <v>1.5749999999999998E-3</v>
      </c>
      <c r="AP82" s="360">
        <f t="shared" si="108"/>
        <v>0.32669999999999993</v>
      </c>
      <c r="AQ82" s="360">
        <f t="shared" si="109"/>
        <v>0.31218000000000001</v>
      </c>
      <c r="AR82" s="360">
        <f t="shared" si="110"/>
        <v>0.29039999999999999</v>
      </c>
      <c r="AS82" s="360">
        <f t="shared" si="129"/>
        <v>0.32827499999999993</v>
      </c>
      <c r="AT82" s="360">
        <f t="shared" si="122"/>
        <v>2.3215150716943902</v>
      </c>
      <c r="AU82">
        <f t="shared" si="111"/>
        <v>43.8</v>
      </c>
      <c r="AV82" s="542">
        <f t="shared" si="123"/>
        <v>0.94966524694417187</v>
      </c>
      <c r="AW82" s="551">
        <f t="shared" si="112"/>
        <v>17.808633562110796</v>
      </c>
      <c r="AX82" s="551">
        <f t="shared" si="113"/>
        <v>14.275968374758278</v>
      </c>
      <c r="AY82" s="9"/>
      <c r="AZ82" s="4">
        <f t="shared" si="124"/>
        <v>94.966524694417188</v>
      </c>
      <c r="BA82" s="360">
        <f t="shared" si="114"/>
        <v>0.74440935610817227</v>
      </c>
      <c r="BB82" s="360">
        <f t="shared" si="125"/>
        <v>0.84866782991760714</v>
      </c>
      <c r="BC82" s="360">
        <f t="shared" si="126"/>
        <v>0.46864825163449464</v>
      </c>
      <c r="BD82" s="360">
        <f t="shared" si="127"/>
        <v>0.3756833782831126</v>
      </c>
      <c r="BE82" s="360">
        <f t="shared" si="128"/>
        <v>0.33554486588200766</v>
      </c>
      <c r="BK82" s="18"/>
      <c r="BL82" s="19"/>
    </row>
    <row r="83" spans="1:64" ht="13" x14ac:dyDescent="0.3">
      <c r="A83" s="2"/>
      <c r="G83">
        <v>74</v>
      </c>
      <c r="H83" s="548">
        <f t="shared" si="82"/>
        <v>45</v>
      </c>
      <c r="I83" s="4">
        <f t="shared" si="83"/>
        <v>2</v>
      </c>
      <c r="J83" s="360">
        <f t="shared" si="115"/>
        <v>8.8800000000000008</v>
      </c>
      <c r="K83" s="4">
        <f t="shared" si="84"/>
        <v>1.0962962962962965</v>
      </c>
      <c r="L83" s="4"/>
      <c r="M83" s="360">
        <f t="shared" si="85"/>
        <v>0.11235683992833688</v>
      </c>
      <c r="N83" s="4">
        <f t="shared" si="86"/>
        <v>9.2630135971266014</v>
      </c>
      <c r="O83" s="4">
        <f t="shared" si="116"/>
        <v>13.511506798563302</v>
      </c>
      <c r="P83" s="4">
        <f t="shared" si="117"/>
        <v>4.2484932014367001</v>
      </c>
      <c r="Q83" s="4">
        <f t="shared" si="87"/>
        <v>0</v>
      </c>
      <c r="R83" s="4">
        <f t="shared" si="88"/>
        <v>9.2738710943729448</v>
      </c>
      <c r="S83" s="360">
        <f t="shared" si="89"/>
        <v>0.43002342537523019</v>
      </c>
      <c r="T83" s="360">
        <f t="shared" si="90"/>
        <v>0.3</v>
      </c>
      <c r="U83" s="360">
        <f t="shared" si="91"/>
        <v>0.75603235522220258</v>
      </c>
      <c r="V83" s="4">
        <f t="shared" si="118"/>
        <v>2.6740016969041038</v>
      </c>
      <c r="W83" s="360">
        <f t="shared" si="92"/>
        <v>1.4300570150092054E-2</v>
      </c>
      <c r="X83" s="360">
        <f t="shared" si="119"/>
        <v>1.4300570150092054E-2</v>
      </c>
      <c r="Y83" s="4">
        <f t="shared" si="93"/>
        <v>2.9287346029012742</v>
      </c>
      <c r="Z83" s="360">
        <f t="shared" si="120"/>
        <v>1.2866229561346927E-2</v>
      </c>
      <c r="AA83" s="541">
        <f t="shared" si="121"/>
        <v>1.2866229561346927E-2</v>
      </c>
      <c r="AB83" s="360">
        <f t="shared" si="94"/>
        <v>3.1085711563456244</v>
      </c>
      <c r="AC83" s="360">
        <f t="shared" si="95"/>
        <v>5.7979287804383842E-2</v>
      </c>
      <c r="AD83" s="360">
        <f t="shared" si="96"/>
        <v>0.16074978232912596</v>
      </c>
      <c r="AE83" s="360">
        <f t="shared" si="97"/>
        <v>-3.4229250000000003E-2</v>
      </c>
      <c r="AF83" s="360">
        <f t="shared" si="98"/>
        <v>0</v>
      </c>
      <c r="AG83" s="360">
        <f t="shared" si="99"/>
        <v>0.18614024653019387</v>
      </c>
      <c r="AH83" s="360">
        <f t="shared" si="100"/>
        <v>8.7373606106754043</v>
      </c>
      <c r="AI83" s="360">
        <f t="shared" si="101"/>
        <v>0.19085367610245521</v>
      </c>
      <c r="AJ83" s="360">
        <f t="shared" si="102"/>
        <v>3.8290560000000001E-2</v>
      </c>
      <c r="AK83" s="360">
        <f t="shared" si="103"/>
        <v>0.23823795396263447</v>
      </c>
      <c r="AL83" s="360">
        <f t="shared" si="104"/>
        <v>3.8290560000000001E-2</v>
      </c>
      <c r="AM83" s="360">
        <f t="shared" si="105"/>
        <v>0.43956000000000001</v>
      </c>
      <c r="AN83" s="360">
        <f t="shared" si="106"/>
        <v>0.34401874030018414</v>
      </c>
      <c r="AO83" s="360">
        <f t="shared" si="107"/>
        <v>1.5749999999999998E-3</v>
      </c>
      <c r="AP83" s="360">
        <f t="shared" si="108"/>
        <v>0.32669999999999993</v>
      </c>
      <c r="AQ83" s="360">
        <f t="shared" si="109"/>
        <v>0.31218000000000001</v>
      </c>
      <c r="AR83" s="360">
        <f t="shared" si="110"/>
        <v>0.29039999999999999</v>
      </c>
      <c r="AS83" s="360">
        <f t="shared" si="129"/>
        <v>0.32827499999999993</v>
      </c>
      <c r="AT83" s="360">
        <f t="shared" si="122"/>
        <v>2.357721655726654</v>
      </c>
      <c r="AU83">
        <f t="shared" si="111"/>
        <v>44.400000000000006</v>
      </c>
      <c r="AV83" s="542">
        <f t="shared" si="123"/>
        <v>0.94957577973780738</v>
      </c>
      <c r="AW83" s="551">
        <f t="shared" si="112"/>
        <v>18.097494168147367</v>
      </c>
      <c r="AX83" s="551">
        <f t="shared" si="113"/>
        <v>14.565124650580112</v>
      </c>
      <c r="AY83" s="9"/>
      <c r="AZ83" s="4">
        <f t="shared" si="124"/>
        <v>94.957577973780744</v>
      </c>
      <c r="BA83" s="360">
        <f t="shared" si="114"/>
        <v>0.75603235522220258</v>
      </c>
      <c r="BB83" s="360">
        <f t="shared" si="125"/>
        <v>0.86393820049282843</v>
      </c>
      <c r="BC83" s="360">
        <f t="shared" si="126"/>
        <v>0.47624984653019387</v>
      </c>
      <c r="BD83" s="360">
        <f t="shared" si="127"/>
        <v>0.38329275396263451</v>
      </c>
      <c r="BE83" s="360">
        <f t="shared" si="128"/>
        <v>0.34401874030018414</v>
      </c>
      <c r="BK83" s="18"/>
      <c r="BL83" s="19"/>
    </row>
    <row r="84" spans="1:64" x14ac:dyDescent="0.25">
      <c r="G84">
        <v>75</v>
      </c>
      <c r="H84" s="548">
        <f t="shared" si="82"/>
        <v>45</v>
      </c>
      <c r="I84" s="4">
        <f t="shared" si="83"/>
        <v>2</v>
      </c>
      <c r="J84" s="360">
        <f t="shared" si="115"/>
        <v>9</v>
      </c>
      <c r="K84" s="4">
        <f t="shared" si="84"/>
        <v>1.1111111111111112</v>
      </c>
      <c r="L84" s="4"/>
      <c r="M84" s="360">
        <f t="shared" si="85"/>
        <v>0.11237366669776411</v>
      </c>
      <c r="N84" s="4">
        <f t="shared" si="86"/>
        <v>9.2640943696435656</v>
      </c>
      <c r="O84" s="4">
        <f t="shared" si="116"/>
        <v>13.632047184821783</v>
      </c>
      <c r="P84" s="4">
        <f t="shared" si="117"/>
        <v>4.3679528151782172</v>
      </c>
      <c r="Q84" s="4">
        <f t="shared" si="87"/>
        <v>0</v>
      </c>
      <c r="R84" s="4">
        <f t="shared" si="88"/>
        <v>9.3889271861843628</v>
      </c>
      <c r="S84" s="360">
        <f t="shared" si="89"/>
        <v>0.4407597685373591</v>
      </c>
      <c r="T84" s="360">
        <f t="shared" si="90"/>
        <v>0.3</v>
      </c>
      <c r="U84" s="360">
        <f t="shared" si="91"/>
        <v>0.76783420256932078</v>
      </c>
      <c r="V84" s="4">
        <f t="shared" si="118"/>
        <v>2.6743136890559045</v>
      </c>
      <c r="W84" s="360">
        <f t="shared" si="92"/>
        <v>1.4303907414943601E-2</v>
      </c>
      <c r="X84" s="360">
        <f t="shared" si="119"/>
        <v>1.4303907414943601E-2</v>
      </c>
      <c r="Y84" s="4">
        <f t="shared" si="93"/>
        <v>2.9652638014724824</v>
      </c>
      <c r="Z84" s="360">
        <f t="shared" si="120"/>
        <v>1.3189184118484555E-2</v>
      </c>
      <c r="AA84" s="541">
        <f t="shared" si="121"/>
        <v>1.3189184118484555E-2</v>
      </c>
      <c r="AB84" s="360">
        <f t="shared" si="94"/>
        <v>3.1473732325036012</v>
      </c>
      <c r="AC84" s="360">
        <f t="shared" si="95"/>
        <v>5.9435749588081004E-2</v>
      </c>
      <c r="AD84" s="360">
        <f t="shared" si="96"/>
        <v>0.16292207668492495</v>
      </c>
      <c r="AE84" s="360">
        <f t="shared" si="97"/>
        <v>-3.4229250000000003E-2</v>
      </c>
      <c r="AF84" s="360">
        <f t="shared" si="98"/>
        <v>0</v>
      </c>
      <c r="AG84" s="360">
        <f t="shared" si="99"/>
        <v>0.18984366838472552</v>
      </c>
      <c r="AH84" s="360">
        <f t="shared" si="100"/>
        <v>8.8456766526248085</v>
      </c>
      <c r="AI84" s="360">
        <f t="shared" si="101"/>
        <v>0.1956149886069791</v>
      </c>
      <c r="AJ84" s="360">
        <f t="shared" si="102"/>
        <v>3.8807999999999995E-2</v>
      </c>
      <c r="AK84" s="360">
        <f t="shared" si="103"/>
        <v>0.24396773785934431</v>
      </c>
      <c r="AL84" s="360">
        <f t="shared" si="104"/>
        <v>3.8807999999999995E-2</v>
      </c>
      <c r="AM84" s="360">
        <f t="shared" si="105"/>
        <v>0.44549999999999995</v>
      </c>
      <c r="AN84" s="360">
        <f t="shared" si="106"/>
        <v>0.35260781482988729</v>
      </c>
      <c r="AO84" s="360">
        <f t="shared" si="107"/>
        <v>1.5749999999999998E-3</v>
      </c>
      <c r="AP84" s="360">
        <f t="shared" si="108"/>
        <v>0.32669999999999993</v>
      </c>
      <c r="AQ84" s="360">
        <f t="shared" si="109"/>
        <v>0.31218000000000001</v>
      </c>
      <c r="AR84" s="360">
        <f t="shared" si="110"/>
        <v>0.29039999999999999</v>
      </c>
      <c r="AS84" s="360">
        <f t="shared" si="129"/>
        <v>0.32827499999999993</v>
      </c>
      <c r="AT84" s="360">
        <f t="shared" si="122"/>
        <v>2.3943295151767061</v>
      </c>
      <c r="AU84">
        <f t="shared" si="111"/>
        <v>45</v>
      </c>
      <c r="AV84" s="542">
        <f t="shared" si="123"/>
        <v>0.94948067543797643</v>
      </c>
      <c r="AW84" s="551">
        <f t="shared" si="112"/>
        <v>18.387199398619568</v>
      </c>
      <c r="AX84" s="551">
        <f t="shared" si="113"/>
        <v>14.857344038655082</v>
      </c>
      <c r="AY84" s="9"/>
      <c r="AZ84" s="4">
        <f t="shared" si="124"/>
        <v>94.948067543797649</v>
      </c>
      <c r="BA84" s="360">
        <f t="shared" si="114"/>
        <v>0.76783420256932078</v>
      </c>
      <c r="BB84" s="360">
        <f t="shared" si="125"/>
        <v>0.87931140624406978</v>
      </c>
      <c r="BC84" s="360">
        <f t="shared" si="126"/>
        <v>0.48387366838472545</v>
      </c>
      <c r="BD84" s="360">
        <f t="shared" si="127"/>
        <v>0.39098273785934429</v>
      </c>
      <c r="BE84" s="360">
        <f t="shared" si="128"/>
        <v>0.35260781482988729</v>
      </c>
      <c r="BK84" s="18"/>
      <c r="BL84" s="19"/>
    </row>
    <row r="85" spans="1:64" x14ac:dyDescent="0.25">
      <c r="G85">
        <v>76</v>
      </c>
      <c r="H85" s="548">
        <f t="shared" si="82"/>
        <v>45</v>
      </c>
      <c r="I85" s="4">
        <f t="shared" si="83"/>
        <v>2</v>
      </c>
      <c r="J85" s="360">
        <f t="shared" si="115"/>
        <v>9.1199999999999992</v>
      </c>
      <c r="K85" s="4">
        <f t="shared" si="84"/>
        <v>1.1259259259259258</v>
      </c>
      <c r="L85" s="4"/>
      <c r="M85" s="360">
        <f t="shared" si="85"/>
        <v>0.1123904932698452</v>
      </c>
      <c r="N85" s="4">
        <f t="shared" si="86"/>
        <v>9.2651750341094559</v>
      </c>
      <c r="O85" s="4">
        <f t="shared" si="116"/>
        <v>13.752587517054728</v>
      </c>
      <c r="P85" s="4">
        <f t="shared" si="117"/>
        <v>4.4874124829452713</v>
      </c>
      <c r="Q85" s="4">
        <f t="shared" si="87"/>
        <v>0</v>
      </c>
      <c r="R85" s="4">
        <f t="shared" si="88"/>
        <v>9.5041055532713727</v>
      </c>
      <c r="S85" s="360">
        <f t="shared" si="89"/>
        <v>0.45164011183861874</v>
      </c>
      <c r="T85" s="360">
        <f t="shared" si="90"/>
        <v>0.3</v>
      </c>
      <c r="U85" s="360">
        <f t="shared" si="91"/>
        <v>0.77981579942799317</v>
      </c>
      <c r="V85" s="4">
        <f t="shared" si="118"/>
        <v>2.6746256500160475</v>
      </c>
      <c r="W85" s="360">
        <f t="shared" si="92"/>
        <v>1.4307244735447529E-2</v>
      </c>
      <c r="X85" s="360">
        <f t="shared" si="119"/>
        <v>1.4307244735447529E-2</v>
      </c>
      <c r="Y85" s="4">
        <f t="shared" si="93"/>
        <v>3.0018363491621773</v>
      </c>
      <c r="Z85" s="360">
        <f t="shared" si="120"/>
        <v>1.3516532200726964E-2</v>
      </c>
      <c r="AA85" s="541">
        <f t="shared" si="121"/>
        <v>1.3516532200726964E-2</v>
      </c>
      <c r="AB85" s="360">
        <f t="shared" si="94"/>
        <v>3.1862220559775931</v>
      </c>
      <c r="AC85" s="360">
        <f t="shared" si="95"/>
        <v>6.0912065939988484E-2</v>
      </c>
      <c r="AD85" s="360">
        <f t="shared" si="96"/>
        <v>0.16509437104072397</v>
      </c>
      <c r="AE85" s="360">
        <f t="shared" si="97"/>
        <v>-3.4229250000000003E-2</v>
      </c>
      <c r="AF85" s="360">
        <f t="shared" si="98"/>
        <v>0</v>
      </c>
      <c r="AG85" s="360">
        <f t="shared" si="99"/>
        <v>0.19356937498170534</v>
      </c>
      <c r="AH85" s="360">
        <f t="shared" si="100"/>
        <v>8.9541058390955861</v>
      </c>
      <c r="AI85" s="360">
        <f t="shared" si="101"/>
        <v>0.20044002844431419</v>
      </c>
      <c r="AJ85" s="360">
        <f t="shared" si="102"/>
        <v>3.9325439999999996E-2</v>
      </c>
      <c r="AK85" s="360">
        <f t="shared" si="103"/>
        <v>0.24977859414745346</v>
      </c>
      <c r="AL85" s="360">
        <f t="shared" si="104"/>
        <v>3.9325439999999996E-2</v>
      </c>
      <c r="AM85" s="360">
        <f t="shared" si="105"/>
        <v>0.4514399999999999</v>
      </c>
      <c r="AN85" s="360">
        <f t="shared" si="106"/>
        <v>0.36131208947089499</v>
      </c>
      <c r="AO85" s="360">
        <f t="shared" si="107"/>
        <v>1.5749999999999998E-3</v>
      </c>
      <c r="AP85" s="360">
        <f t="shared" si="108"/>
        <v>0.32669999999999993</v>
      </c>
      <c r="AQ85" s="360">
        <f t="shared" si="109"/>
        <v>0.31218000000000001</v>
      </c>
      <c r="AR85" s="360">
        <f t="shared" si="110"/>
        <v>0.29039999999999999</v>
      </c>
      <c r="AS85" s="360">
        <f t="shared" si="129"/>
        <v>0.32827499999999993</v>
      </c>
      <c r="AT85" s="360">
        <f t="shared" si="122"/>
        <v>2.4313400749642216</v>
      </c>
      <c r="AU85">
        <f t="shared" si="111"/>
        <v>45.599999999999994</v>
      </c>
      <c r="AV85" s="542">
        <f t="shared" si="123"/>
        <v>0.94938013240585128</v>
      </c>
      <c r="AW85" s="551">
        <f t="shared" si="112"/>
        <v>18.6777514493048</v>
      </c>
      <c r="AX85" s="551">
        <f t="shared" si="113"/>
        <v>15.15264417760323</v>
      </c>
      <c r="AY85" s="9"/>
      <c r="AZ85" s="4">
        <f t="shared" si="124"/>
        <v>94.938013240585121</v>
      </c>
      <c r="BA85" s="360">
        <f t="shared" si="114"/>
        <v>0.77981579942799317</v>
      </c>
      <c r="BB85" s="360">
        <f t="shared" si="125"/>
        <v>0.8947879691291587</v>
      </c>
      <c r="BC85" s="360">
        <f t="shared" si="126"/>
        <v>0.49151977498170529</v>
      </c>
      <c r="BD85" s="360">
        <f t="shared" si="127"/>
        <v>0.39875379414745343</v>
      </c>
      <c r="BE85" s="360">
        <f t="shared" si="128"/>
        <v>0.36131208947089499</v>
      </c>
      <c r="BK85" s="18"/>
      <c r="BL85" s="19"/>
    </row>
    <row r="86" spans="1:64" x14ac:dyDescent="0.25">
      <c r="G86">
        <v>77</v>
      </c>
      <c r="H86" s="548">
        <f t="shared" si="82"/>
        <v>45</v>
      </c>
      <c r="I86" s="4">
        <f t="shared" si="83"/>
        <v>2</v>
      </c>
      <c r="J86" s="360">
        <f t="shared" si="115"/>
        <v>9.24</v>
      </c>
      <c r="K86" s="4">
        <f t="shared" si="84"/>
        <v>1.1407407407407408</v>
      </c>
      <c r="L86" s="4"/>
      <c r="M86" s="360">
        <f t="shared" si="85"/>
        <v>0.11240731964458367</v>
      </c>
      <c r="N86" s="4">
        <f t="shared" si="86"/>
        <v>9.2662555905261783</v>
      </c>
      <c r="O86" s="4">
        <f t="shared" si="116"/>
        <v>13.873127795263089</v>
      </c>
      <c r="P86" s="4">
        <f t="shared" si="117"/>
        <v>4.6068722047369111</v>
      </c>
      <c r="Q86" s="4">
        <f t="shared" si="87"/>
        <v>0</v>
      </c>
      <c r="R86" s="4">
        <f t="shared" si="88"/>
        <v>9.6194018034255375</v>
      </c>
      <c r="S86" s="360">
        <f t="shared" si="89"/>
        <v>0.46266445527873246</v>
      </c>
      <c r="T86" s="360">
        <f t="shared" si="90"/>
        <v>0.3</v>
      </c>
      <c r="U86" s="360">
        <f t="shared" si="91"/>
        <v>0.79197806321555908</v>
      </c>
      <c r="V86" s="4">
        <f t="shared" si="118"/>
        <v>2.6749375797850821</v>
      </c>
      <c r="W86" s="360">
        <f t="shared" si="92"/>
        <v>1.4310582111492946E-2</v>
      </c>
      <c r="X86" s="360">
        <f t="shared" si="119"/>
        <v>1.4310582111492946E-2</v>
      </c>
      <c r="Y86" s="4">
        <f t="shared" si="93"/>
        <v>3.0384508653371984</v>
      </c>
      <c r="Z86" s="360">
        <f t="shared" si="120"/>
        <v>1.3848275491602556E-2</v>
      </c>
      <c r="AA86" s="541">
        <f t="shared" si="121"/>
        <v>1.3848275491602556E-2</v>
      </c>
      <c r="AB86" s="360">
        <f t="shared" si="94"/>
        <v>3.2251161626429417</v>
      </c>
      <c r="AC86" s="360">
        <f t="shared" si="95"/>
        <v>6.2408245575244395E-2</v>
      </c>
      <c r="AD86" s="360">
        <f t="shared" si="96"/>
        <v>0.16726666539652296</v>
      </c>
      <c r="AE86" s="360">
        <f t="shared" si="97"/>
        <v>-3.4229250000000003E-2</v>
      </c>
      <c r="AF86" s="360">
        <f t="shared" si="98"/>
        <v>0</v>
      </c>
      <c r="AG86" s="360">
        <f t="shared" si="99"/>
        <v>0.19731742458380186</v>
      </c>
      <c r="AH86" s="360">
        <f t="shared" si="100"/>
        <v>9.0626440288254599</v>
      </c>
      <c r="AI86" s="360">
        <f t="shared" si="101"/>
        <v>0.2053287919830144</v>
      </c>
      <c r="AJ86" s="360">
        <f t="shared" si="102"/>
        <v>3.9842879999999997E-2</v>
      </c>
      <c r="AK86" s="360">
        <f t="shared" si="103"/>
        <v>0.25567099530523829</v>
      </c>
      <c r="AL86" s="360">
        <f t="shared" si="104"/>
        <v>3.9842879999999997E-2</v>
      </c>
      <c r="AM86" s="360">
        <f t="shared" si="105"/>
        <v>0.45737999999999995</v>
      </c>
      <c r="AN86" s="360">
        <f t="shared" si="106"/>
        <v>0.37013156422298599</v>
      </c>
      <c r="AO86" s="360">
        <f t="shared" si="107"/>
        <v>1.5749999999999998E-3</v>
      </c>
      <c r="AP86" s="360">
        <f t="shared" si="108"/>
        <v>0.32669999999999993</v>
      </c>
      <c r="AQ86" s="360">
        <f t="shared" si="109"/>
        <v>0.31218000000000001</v>
      </c>
      <c r="AR86" s="360">
        <f t="shared" si="110"/>
        <v>0.29039999999999999</v>
      </c>
      <c r="AS86" s="360">
        <f t="shared" si="129"/>
        <v>0.32827499999999993</v>
      </c>
      <c r="AT86" s="360">
        <f t="shared" si="122"/>
        <v>2.4687547849306801</v>
      </c>
      <c r="AU86">
        <f t="shared" si="111"/>
        <v>46.2</v>
      </c>
      <c r="AV86" s="542">
        <f t="shared" si="123"/>
        <v>0.94927433841609032</v>
      </c>
      <c r="AW86" s="551">
        <f t="shared" si="112"/>
        <v>18.96915253418447</v>
      </c>
      <c r="AX86" s="551">
        <f t="shared" si="113"/>
        <v>15.451043021599055</v>
      </c>
      <c r="AY86" s="9"/>
      <c r="AZ86" s="4">
        <f t="shared" si="124"/>
        <v>94.92743384160903</v>
      </c>
      <c r="BA86" s="360">
        <f t="shared" si="114"/>
        <v>0.79197806321555908</v>
      </c>
      <c r="BB86" s="360">
        <f t="shared" si="125"/>
        <v>0.91036841988904005</v>
      </c>
      <c r="BC86" s="360">
        <f t="shared" si="126"/>
        <v>0.49918822458380185</v>
      </c>
      <c r="BD86" s="360">
        <f t="shared" si="127"/>
        <v>0.40660639530523829</v>
      </c>
      <c r="BE86" s="360">
        <f t="shared" si="128"/>
        <v>0.37013156422298599</v>
      </c>
      <c r="BK86" s="18"/>
      <c r="BL86" s="19"/>
    </row>
    <row r="87" spans="1:64" x14ac:dyDescent="0.25">
      <c r="G87">
        <v>78</v>
      </c>
      <c r="H87" s="548">
        <f t="shared" si="82"/>
        <v>45</v>
      </c>
      <c r="I87" s="4">
        <f t="shared" si="83"/>
        <v>2</v>
      </c>
      <c r="J87" s="360">
        <f t="shared" si="115"/>
        <v>9.36</v>
      </c>
      <c r="K87" s="4">
        <f t="shared" si="84"/>
        <v>1.1555555555555554</v>
      </c>
      <c r="L87" s="4"/>
      <c r="M87" s="360">
        <f t="shared" si="85"/>
        <v>0.11242414582198297</v>
      </c>
      <c r="N87" s="4">
        <f t="shared" si="86"/>
        <v>9.2673360388956336</v>
      </c>
      <c r="O87" s="4">
        <f t="shared" si="116"/>
        <v>13.993668019447817</v>
      </c>
      <c r="P87" s="4">
        <f t="shared" si="117"/>
        <v>4.7263319805521826</v>
      </c>
      <c r="Q87" s="4">
        <f t="shared" si="87"/>
        <v>0</v>
      </c>
      <c r="R87" s="4">
        <f t="shared" si="88"/>
        <v>9.7348117481276688</v>
      </c>
      <c r="S87" s="360">
        <f t="shared" si="89"/>
        <v>0.47383279885742241</v>
      </c>
      <c r="T87" s="360">
        <f t="shared" si="90"/>
        <v>0.3</v>
      </c>
      <c r="U87" s="360">
        <f t="shared" si="91"/>
        <v>0.80432192767108546</v>
      </c>
      <c r="V87" s="4">
        <f t="shared" si="118"/>
        <v>2.6752494783635572</v>
      </c>
      <c r="W87" s="360">
        <f t="shared" si="92"/>
        <v>1.431391954296897E-2</v>
      </c>
      <c r="X87" s="360">
        <f t="shared" si="119"/>
        <v>1.431391954296897E-2</v>
      </c>
      <c r="Y87" s="4">
        <f t="shared" si="93"/>
        <v>3.0751060333429776</v>
      </c>
      <c r="Z87" s="360">
        <f t="shared" si="120"/>
        <v>1.4184415674453575E-2</v>
      </c>
      <c r="AA87" s="541">
        <f t="shared" si="121"/>
        <v>1.4184415674453575E-2</v>
      </c>
      <c r="AB87" s="360">
        <f t="shared" si="94"/>
        <v>3.2640541562291876</v>
      </c>
      <c r="AC87" s="360">
        <f t="shared" si="95"/>
        <v>6.3924297208782205E-2</v>
      </c>
      <c r="AD87" s="360">
        <f t="shared" si="96"/>
        <v>0.16943895975232195</v>
      </c>
      <c r="AE87" s="360">
        <f t="shared" si="97"/>
        <v>-3.4229250000000003E-2</v>
      </c>
      <c r="AF87" s="360">
        <f t="shared" si="98"/>
        <v>0</v>
      </c>
      <c r="AG87" s="360">
        <f t="shared" si="99"/>
        <v>0.20108787593535302</v>
      </c>
      <c r="AH87" s="360">
        <f t="shared" si="100"/>
        <v>9.1712872726072341</v>
      </c>
      <c r="AI87" s="360">
        <f t="shared" si="101"/>
        <v>0.21028127559171861</v>
      </c>
      <c r="AJ87" s="360">
        <f t="shared" si="102"/>
        <v>4.0360319999999998E-2</v>
      </c>
      <c r="AK87" s="360">
        <f t="shared" si="103"/>
        <v>0.26164542221911236</v>
      </c>
      <c r="AL87" s="360">
        <f t="shared" si="104"/>
        <v>4.0360319999999998E-2</v>
      </c>
      <c r="AM87" s="360">
        <f t="shared" si="105"/>
        <v>0.46331999999999995</v>
      </c>
      <c r="AN87" s="360">
        <f t="shared" si="106"/>
        <v>0.37906623908593795</v>
      </c>
      <c r="AO87" s="360">
        <f t="shared" si="107"/>
        <v>1.5749999999999998E-3</v>
      </c>
      <c r="AP87" s="360">
        <f t="shared" si="108"/>
        <v>0.32669999999999993</v>
      </c>
      <c r="AQ87" s="360">
        <f t="shared" si="109"/>
        <v>0.31218000000000001</v>
      </c>
      <c r="AR87" s="360">
        <f t="shared" si="110"/>
        <v>0.29039999999999999</v>
      </c>
      <c r="AS87" s="360">
        <f t="shared" si="129"/>
        <v>0.32827499999999993</v>
      </c>
      <c r="AT87" s="360">
        <f t="shared" si="122"/>
        <v>2.5065751201289115</v>
      </c>
      <c r="AU87">
        <f t="shared" si="111"/>
        <v>46.8</v>
      </c>
      <c r="AV87" s="542">
        <f t="shared" si="123"/>
        <v>0.94916347132158385</v>
      </c>
      <c r="AW87" s="551">
        <f t="shared" si="112"/>
        <v>19.261404885543413</v>
      </c>
      <c r="AX87" s="551">
        <f t="shared" si="113"/>
        <v>15.75255884432627</v>
      </c>
      <c r="AY87" s="9"/>
      <c r="AZ87" s="4">
        <f t="shared" si="124"/>
        <v>94.916347132158378</v>
      </c>
      <c r="BA87" s="360">
        <f t="shared" si="114"/>
        <v>0.80432192767108546</v>
      </c>
      <c r="BB87" s="360">
        <f t="shared" si="125"/>
        <v>0.92605329815446535</v>
      </c>
      <c r="BC87" s="360">
        <f t="shared" si="126"/>
        <v>0.50687907593535297</v>
      </c>
      <c r="BD87" s="360">
        <f t="shared" si="127"/>
        <v>0.41454102221911238</v>
      </c>
      <c r="BE87" s="360">
        <f t="shared" si="128"/>
        <v>0.37906623908593795</v>
      </c>
      <c r="BK87" s="18"/>
      <c r="BL87" s="19"/>
    </row>
    <row r="88" spans="1:64" x14ac:dyDescent="0.25">
      <c r="G88">
        <v>79</v>
      </c>
      <c r="H88" s="548">
        <f t="shared" si="82"/>
        <v>45</v>
      </c>
      <c r="I88" s="4">
        <f t="shared" si="83"/>
        <v>2</v>
      </c>
      <c r="J88" s="360">
        <f t="shared" si="115"/>
        <v>9.48</v>
      </c>
      <c r="K88" s="4">
        <f t="shared" si="84"/>
        <v>1.1703703703703705</v>
      </c>
      <c r="L88" s="4"/>
      <c r="M88" s="360">
        <f t="shared" si="85"/>
        <v>0.1124409718020466</v>
      </c>
      <c r="N88" s="4">
        <f t="shared" si="86"/>
        <v>9.2684163792197225</v>
      </c>
      <c r="O88" s="4">
        <f t="shared" si="116"/>
        <v>14.114208189609862</v>
      </c>
      <c r="P88" s="4">
        <f t="shared" si="117"/>
        <v>4.8457918103901392</v>
      </c>
      <c r="Q88" s="4">
        <f t="shared" si="87"/>
        <v>0</v>
      </c>
      <c r="R88" s="4">
        <f t="shared" si="88"/>
        <v>9.850331391119914</v>
      </c>
      <c r="S88" s="360">
        <f t="shared" si="89"/>
        <v>0.48514514257441194</v>
      </c>
      <c r="T88" s="360">
        <f t="shared" si="90"/>
        <v>0.3</v>
      </c>
      <c r="U88" s="360">
        <f t="shared" si="91"/>
        <v>0.81684834304216081</v>
      </c>
      <c r="V88" s="4">
        <f t="shared" si="118"/>
        <v>2.6755613457520218</v>
      </c>
      <c r="W88" s="360">
        <f t="shared" si="92"/>
        <v>1.4317257029764739E-2</v>
      </c>
      <c r="X88" s="360">
        <f t="shared" si="119"/>
        <v>1.4317257029764739E-2</v>
      </c>
      <c r="Y88" s="4">
        <f t="shared" si="93"/>
        <v>3.1118005969145015</v>
      </c>
      <c r="Z88" s="360">
        <f t="shared" si="120"/>
        <v>1.4524954432436172E-2</v>
      </c>
      <c r="AA88" s="541">
        <f t="shared" si="121"/>
        <v>1.4524954432436172E-2</v>
      </c>
      <c r="AB88" s="360">
        <f t="shared" si="94"/>
        <v>3.3030347045136939</v>
      </c>
      <c r="AC88" s="360">
        <f t="shared" si="95"/>
        <v>6.5460229555331192E-2</v>
      </c>
      <c r="AD88" s="360">
        <f t="shared" si="96"/>
        <v>0.17161125410812095</v>
      </c>
      <c r="AE88" s="360">
        <f t="shared" si="97"/>
        <v>-3.4229250000000003E-2</v>
      </c>
      <c r="AF88" s="360">
        <f t="shared" si="98"/>
        <v>0</v>
      </c>
      <c r="AG88" s="360">
        <f t="shared" si="99"/>
        <v>0.20488078826501049</v>
      </c>
      <c r="AH88" s="360">
        <f t="shared" si="100"/>
        <v>9.2800318025134221</v>
      </c>
      <c r="AI88" s="360">
        <f t="shared" si="101"/>
        <v>0.2152974756391513</v>
      </c>
      <c r="AJ88" s="360">
        <f t="shared" si="102"/>
        <v>4.0877759999999999E-2</v>
      </c>
      <c r="AK88" s="360">
        <f t="shared" si="103"/>
        <v>0.26770236429000543</v>
      </c>
      <c r="AL88" s="360">
        <f t="shared" si="104"/>
        <v>4.0877759999999999E-2</v>
      </c>
      <c r="AM88" s="360">
        <f t="shared" si="105"/>
        <v>0.4692599999999999</v>
      </c>
      <c r="AN88" s="360">
        <f t="shared" si="106"/>
        <v>0.38811611405952956</v>
      </c>
      <c r="AO88" s="360">
        <f t="shared" si="107"/>
        <v>1.5749999999999998E-3</v>
      </c>
      <c r="AP88" s="360">
        <f t="shared" si="108"/>
        <v>0.32669999999999993</v>
      </c>
      <c r="AQ88" s="360">
        <f t="shared" si="109"/>
        <v>0.31218000000000001</v>
      </c>
      <c r="AR88" s="360">
        <f t="shared" si="110"/>
        <v>0.29039999999999999</v>
      </c>
      <c r="AS88" s="360">
        <f t="shared" si="129"/>
        <v>0.32827499999999993</v>
      </c>
      <c r="AT88" s="360">
        <f t="shared" si="122"/>
        <v>2.544802581118907</v>
      </c>
      <c r="AU88">
        <f t="shared" si="111"/>
        <v>47.400000000000006</v>
      </c>
      <c r="AV88" s="542">
        <f t="shared" si="123"/>
        <v>0.94904769966833458</v>
      </c>
      <c r="AW88" s="551">
        <f t="shared" si="112"/>
        <v>19.5545107540704</v>
      </c>
      <c r="AX88" s="551">
        <f t="shared" si="113"/>
        <v>16.057210243020204</v>
      </c>
      <c r="AY88" s="9"/>
      <c r="AZ88" s="4">
        <f t="shared" si="124"/>
        <v>94.904769966833456</v>
      </c>
      <c r="BA88" s="360">
        <f t="shared" si="114"/>
        <v>0.81684834304216081</v>
      </c>
      <c r="BB88" s="360">
        <f t="shared" si="125"/>
        <v>0.94184315255501583</v>
      </c>
      <c r="BC88" s="360">
        <f t="shared" si="126"/>
        <v>0.51459238826501053</v>
      </c>
      <c r="BD88" s="360">
        <f t="shared" si="127"/>
        <v>0.42255816429000542</v>
      </c>
      <c r="BE88" s="360">
        <f t="shared" si="128"/>
        <v>0.38811611405952956</v>
      </c>
      <c r="BK88" s="18"/>
      <c r="BL88" s="19"/>
    </row>
    <row r="89" spans="1:64" x14ac:dyDescent="0.25">
      <c r="G89">
        <v>80</v>
      </c>
      <c r="H89" s="548">
        <f t="shared" si="82"/>
        <v>45</v>
      </c>
      <c r="I89" s="4">
        <f t="shared" si="83"/>
        <v>2</v>
      </c>
      <c r="J89" s="360">
        <f t="shared" si="115"/>
        <v>9.6</v>
      </c>
      <c r="K89" s="4">
        <f t="shared" si="84"/>
        <v>1.1851851851851851</v>
      </c>
      <c r="L89" s="4"/>
      <c r="M89" s="360">
        <f t="shared" si="85"/>
        <v>0.11245779758477797</v>
      </c>
      <c r="N89" s="4">
        <f t="shared" si="86"/>
        <v>9.2694966115003439</v>
      </c>
      <c r="O89" s="4">
        <f t="shared" si="116"/>
        <v>14.234748305750172</v>
      </c>
      <c r="P89" s="4">
        <f t="shared" si="117"/>
        <v>4.9652516942498277</v>
      </c>
      <c r="Q89" s="4">
        <f t="shared" si="87"/>
        <v>0</v>
      </c>
      <c r="R89" s="4">
        <f t="shared" si="88"/>
        <v>9.9659569177216838</v>
      </c>
      <c r="S89" s="360">
        <f t="shared" si="89"/>
        <v>0.49660148642942342</v>
      </c>
      <c r="T89" s="360">
        <f t="shared" si="90"/>
        <v>0.3</v>
      </c>
      <c r="U89" s="360">
        <f t="shared" si="91"/>
        <v>0.82955827627569045</v>
      </c>
      <c r="V89" s="4">
        <f t="shared" si="118"/>
        <v>2.6758731819510237</v>
      </c>
      <c r="W89" s="360">
        <f t="shared" si="92"/>
        <v>1.4320594571769393E-2</v>
      </c>
      <c r="X89" s="360">
        <f t="shared" si="119"/>
        <v>1.4320594571769393E-2</v>
      </c>
      <c r="Y89" s="4">
        <f t="shared" si="93"/>
        <v>3.1485333568208498</v>
      </c>
      <c r="Z89" s="360">
        <f t="shared" si="120"/>
        <v>1.4869893448520353E-2</v>
      </c>
      <c r="AA89" s="541">
        <f t="shared" si="121"/>
        <v>1.4869893448520353E-2</v>
      </c>
      <c r="AB89" s="360">
        <f t="shared" si="94"/>
        <v>3.3420565357629717</v>
      </c>
      <c r="AC89" s="360">
        <f t="shared" si="95"/>
        <v>6.7016051329415974E-2</v>
      </c>
      <c r="AD89" s="360">
        <f t="shared" si="96"/>
        <v>0.17378354846391997</v>
      </c>
      <c r="AE89" s="360">
        <f t="shared" si="97"/>
        <v>-3.4229250000000003E-2</v>
      </c>
      <c r="AF89" s="360">
        <f t="shared" si="98"/>
        <v>0</v>
      </c>
      <c r="AG89" s="360">
        <f t="shared" si="99"/>
        <v>0.20869622128841006</v>
      </c>
      <c r="AH89" s="360">
        <f t="shared" si="100"/>
        <v>9.3888740218222484</v>
      </c>
      <c r="AI89" s="360">
        <f t="shared" si="101"/>
        <v>0.22037738849412172</v>
      </c>
      <c r="AJ89" s="360">
        <f t="shared" si="102"/>
        <v>4.13952E-2</v>
      </c>
      <c r="AK89" s="360">
        <f t="shared" si="103"/>
        <v>0.27384231954209359</v>
      </c>
      <c r="AL89" s="360">
        <f t="shared" si="104"/>
        <v>4.13952E-2</v>
      </c>
      <c r="AM89" s="360">
        <f t="shared" si="105"/>
        <v>0.47520000000000001</v>
      </c>
      <c r="AN89" s="360">
        <f t="shared" si="106"/>
        <v>0.39728118914353872</v>
      </c>
      <c r="AO89" s="360">
        <f t="shared" si="107"/>
        <v>1.5749999999999998E-3</v>
      </c>
      <c r="AP89" s="360">
        <f t="shared" si="108"/>
        <v>0.32669999999999993</v>
      </c>
      <c r="AQ89" s="360">
        <f t="shared" si="109"/>
        <v>0.31218000000000001</v>
      </c>
      <c r="AR89" s="360">
        <f t="shared" si="110"/>
        <v>0.29039999999999999</v>
      </c>
      <c r="AS89" s="360">
        <f t="shared" si="129"/>
        <v>0.32827499999999993</v>
      </c>
      <c r="AT89" s="360">
        <f t="shared" si="122"/>
        <v>2.5834386942700225</v>
      </c>
      <c r="AU89">
        <f t="shared" si="111"/>
        <v>48</v>
      </c>
      <c r="AV89" s="542">
        <f t="shared" si="123"/>
        <v>0.94892718326477343</v>
      </c>
      <c r="AW89" s="551">
        <f t="shared" si="112"/>
        <v>19.848472408959584</v>
      </c>
      <c r="AX89" s="551">
        <f t="shared" si="113"/>
        <v>16.365016142599558</v>
      </c>
      <c r="AY89" s="9"/>
      <c r="AZ89" s="4">
        <f t="shared" si="124"/>
        <v>94.892718326477336</v>
      </c>
      <c r="BA89" s="360">
        <f t="shared" si="114"/>
        <v>0.82955827627569045</v>
      </c>
      <c r="BB89" s="360">
        <f t="shared" si="125"/>
        <v>0.95773854083050369</v>
      </c>
      <c r="BC89" s="360">
        <f t="shared" si="126"/>
        <v>0.52232822128841006</v>
      </c>
      <c r="BD89" s="360">
        <f t="shared" si="127"/>
        <v>0.4306583195420936</v>
      </c>
      <c r="BE89" s="360">
        <f t="shared" si="128"/>
        <v>0.39728118914353872</v>
      </c>
      <c r="BK89" s="18"/>
      <c r="BL89" s="19"/>
    </row>
    <row r="90" spans="1:64" x14ac:dyDescent="0.25">
      <c r="G90">
        <v>81</v>
      </c>
      <c r="H90" s="548">
        <f t="shared" si="82"/>
        <v>45</v>
      </c>
      <c r="I90" s="4">
        <f t="shared" si="83"/>
        <v>2</v>
      </c>
      <c r="J90" s="360">
        <f t="shared" si="115"/>
        <v>9.7200000000000006</v>
      </c>
      <c r="K90" s="4">
        <f t="shared" si="84"/>
        <v>1.2</v>
      </c>
      <c r="L90" s="4"/>
      <c r="M90" s="360">
        <f t="shared" si="85"/>
        <v>0.11247462317018066</v>
      </c>
      <c r="N90" s="4">
        <f t="shared" si="86"/>
        <v>9.2705767357394002</v>
      </c>
      <c r="O90" s="4">
        <f t="shared" si="116"/>
        <v>14.355288367869701</v>
      </c>
      <c r="P90" s="4">
        <f t="shared" si="117"/>
        <v>5.0847116321303005</v>
      </c>
      <c r="Q90" s="4">
        <f t="shared" si="87"/>
        <v>0</v>
      </c>
      <c r="R90" s="4">
        <f t="shared" si="88"/>
        <v>10.081684684834974</v>
      </c>
      <c r="S90" s="360">
        <f t="shared" si="89"/>
        <v>0.50820183042218037</v>
      </c>
      <c r="T90" s="360">
        <f t="shared" si="90"/>
        <v>0.3</v>
      </c>
      <c r="U90" s="360">
        <f t="shared" si="91"/>
        <v>0.84245271121277732</v>
      </c>
      <c r="V90" s="4">
        <f t="shared" si="118"/>
        <v>2.6761849869611125</v>
      </c>
      <c r="W90" s="360">
        <f t="shared" si="92"/>
        <v>1.43239321688721E-2</v>
      </c>
      <c r="X90" s="360">
        <f t="shared" si="119"/>
        <v>1.43239321688721E-2</v>
      </c>
      <c r="Y90" s="4">
        <f t="shared" si="93"/>
        <v>3.1853031677262207</v>
      </c>
      <c r="Z90" s="360">
        <f t="shared" si="120"/>
        <v>1.5219234405490044E-2</v>
      </c>
      <c r="AA90" s="541">
        <f t="shared" si="121"/>
        <v>1.5219234405490044E-2</v>
      </c>
      <c r="AB90" s="360">
        <f t="shared" si="94"/>
        <v>3.3811184354036103</v>
      </c>
      <c r="AC90" s="360">
        <f t="shared" si="95"/>
        <v>6.8591771245356953E-2</v>
      </c>
      <c r="AD90" s="360">
        <f t="shared" si="96"/>
        <v>0.17595584281971899</v>
      </c>
      <c r="AE90" s="360">
        <f t="shared" si="97"/>
        <v>-3.4229250000000003E-2</v>
      </c>
      <c r="AF90" s="360">
        <f t="shared" si="98"/>
        <v>0</v>
      </c>
      <c r="AG90" s="360">
        <f t="shared" si="99"/>
        <v>0.21253423521087139</v>
      </c>
      <c r="AH90" s="360">
        <f t="shared" si="100"/>
        <v>9.4978104955937042</v>
      </c>
      <c r="AI90" s="360">
        <f t="shared" si="101"/>
        <v>0.22552101052552481</v>
      </c>
      <c r="AJ90" s="360">
        <f t="shared" si="102"/>
        <v>4.1912640000000001E-2</v>
      </c>
      <c r="AK90" s="360">
        <f t="shared" si="103"/>
        <v>0.28006579473393084</v>
      </c>
      <c r="AL90" s="360">
        <f t="shared" si="104"/>
        <v>4.1912640000000001E-2</v>
      </c>
      <c r="AM90" s="360">
        <f t="shared" si="105"/>
        <v>0.48114000000000001</v>
      </c>
      <c r="AN90" s="360">
        <f t="shared" si="106"/>
        <v>0.40656146433774426</v>
      </c>
      <c r="AO90" s="360">
        <f t="shared" si="107"/>
        <v>1.5749999999999998E-3</v>
      </c>
      <c r="AP90" s="360">
        <f t="shared" si="108"/>
        <v>0.32669999999999993</v>
      </c>
      <c r="AQ90" s="360">
        <f t="shared" si="109"/>
        <v>0.31218000000000001</v>
      </c>
      <c r="AR90" s="360">
        <f t="shared" si="110"/>
        <v>0.29039999999999999</v>
      </c>
      <c r="AS90" s="360">
        <f t="shared" si="129"/>
        <v>0.32827499999999993</v>
      </c>
      <c r="AT90" s="360">
        <f t="shared" si="122"/>
        <v>2.6224850120696859</v>
      </c>
      <c r="AU90">
        <f t="shared" si="111"/>
        <v>48.6</v>
      </c>
      <c r="AV90" s="542">
        <f t="shared" si="123"/>
        <v>0.94880207370939251</v>
      </c>
      <c r="AW90" s="551">
        <f t="shared" si="112"/>
        <v>20.143292138013113</v>
      </c>
      <c r="AX90" s="551">
        <f t="shared" si="113"/>
        <v>16.675995799889371</v>
      </c>
      <c r="AY90" s="9"/>
      <c r="AZ90" s="4">
        <f t="shared" si="124"/>
        <v>94.880207370939246</v>
      </c>
      <c r="BA90" s="360">
        <f t="shared" si="114"/>
        <v>0.84245271121277732</v>
      </c>
      <c r="BB90" s="360">
        <f t="shared" si="125"/>
        <v>0.97374002994480224</v>
      </c>
      <c r="BC90" s="360">
        <f t="shared" si="126"/>
        <v>0.5300866352108714</v>
      </c>
      <c r="BD90" s="360">
        <f t="shared" si="127"/>
        <v>0.43884199473393082</v>
      </c>
      <c r="BE90" s="360">
        <f t="shared" si="128"/>
        <v>0.40656146433774426</v>
      </c>
      <c r="BK90" s="18"/>
      <c r="BL90" s="19"/>
    </row>
    <row r="91" spans="1:64" x14ac:dyDescent="0.25">
      <c r="G91">
        <v>82</v>
      </c>
      <c r="H91" s="548">
        <f t="shared" si="82"/>
        <v>45</v>
      </c>
      <c r="I91" s="4">
        <f t="shared" si="83"/>
        <v>2</v>
      </c>
      <c r="J91" s="360">
        <f t="shared" si="115"/>
        <v>9.84</v>
      </c>
      <c r="K91" s="4">
        <f t="shared" si="84"/>
        <v>1.2148148148148148</v>
      </c>
      <c r="L91" s="4"/>
      <c r="M91" s="360">
        <f t="shared" si="85"/>
        <v>0.11249144855825802</v>
      </c>
      <c r="N91" s="4">
        <f t="shared" si="86"/>
        <v>9.2716567519387887</v>
      </c>
      <c r="O91" s="4">
        <f t="shared" si="116"/>
        <v>14.475828375969394</v>
      </c>
      <c r="P91" s="4">
        <f t="shared" si="117"/>
        <v>5.2041716240306055</v>
      </c>
      <c r="Q91" s="4">
        <f t="shared" si="87"/>
        <v>0</v>
      </c>
      <c r="R91" s="4">
        <f t="shared" si="88"/>
        <v>10.197511211588886</v>
      </c>
      <c r="S91" s="360">
        <f t="shared" si="89"/>
        <v>0.5199461745524051</v>
      </c>
      <c r="T91" s="360">
        <f t="shared" si="90"/>
        <v>0.3</v>
      </c>
      <c r="U91" s="360">
        <f t="shared" si="91"/>
        <v>0.85553264878775537</v>
      </c>
      <c r="V91" s="4">
        <f t="shared" si="118"/>
        <v>2.6764967607828356</v>
      </c>
      <c r="W91" s="360">
        <f t="shared" si="92"/>
        <v>1.4327269820962024E-2</v>
      </c>
      <c r="X91" s="360">
        <f t="shared" si="119"/>
        <v>1.4327269820962024E-2</v>
      </c>
      <c r="Y91" s="4">
        <f t="shared" si="93"/>
        <v>3.2221089352516783</v>
      </c>
      <c r="Z91" s="360">
        <f t="shared" si="120"/>
        <v>1.5572978985943058E-2</v>
      </c>
      <c r="AA91" s="541">
        <f t="shared" si="121"/>
        <v>1.5572978985943058E-2</v>
      </c>
      <c r="AB91" s="360">
        <f t="shared" si="94"/>
        <v>3.420219242906072</v>
      </c>
      <c r="AC91" s="360">
        <f t="shared" si="95"/>
        <v>7.0187398017269906E-2</v>
      </c>
      <c r="AD91" s="360">
        <f t="shared" si="96"/>
        <v>0.17812813717551795</v>
      </c>
      <c r="AE91" s="360">
        <f t="shared" si="97"/>
        <v>-3.4229250000000003E-2</v>
      </c>
      <c r="AF91" s="360">
        <f t="shared" si="98"/>
        <v>0</v>
      </c>
      <c r="AG91" s="360">
        <f t="shared" si="99"/>
        <v>0.21639489073012386</v>
      </c>
      <c r="AH91" s="360">
        <f t="shared" si="100"/>
        <v>9.6068379418482976</v>
      </c>
      <c r="AI91" s="360">
        <f t="shared" si="101"/>
        <v>0.23072833810234009</v>
      </c>
      <c r="AJ91" s="360">
        <f t="shared" si="102"/>
        <v>4.2430079999999995E-2</v>
      </c>
      <c r="AK91" s="360">
        <f t="shared" si="103"/>
        <v>0.286373305472027</v>
      </c>
      <c r="AL91" s="360">
        <f t="shared" si="104"/>
        <v>4.2430079999999995E-2</v>
      </c>
      <c r="AM91" s="360">
        <f t="shared" si="105"/>
        <v>0.48707999999999996</v>
      </c>
      <c r="AN91" s="360">
        <f t="shared" si="106"/>
        <v>0.41595693964192409</v>
      </c>
      <c r="AO91" s="360">
        <f t="shared" si="107"/>
        <v>1.5749999999999998E-3</v>
      </c>
      <c r="AP91" s="360">
        <f t="shared" si="108"/>
        <v>0.32669999999999993</v>
      </c>
      <c r="AQ91" s="360">
        <f t="shared" si="109"/>
        <v>0.31218000000000001</v>
      </c>
      <c r="AR91" s="360">
        <f t="shared" si="110"/>
        <v>0.29039999999999999</v>
      </c>
      <c r="AS91" s="360">
        <f t="shared" si="129"/>
        <v>0.32827499999999993</v>
      </c>
      <c r="AT91" s="360">
        <f t="shared" si="122"/>
        <v>2.6619431134387352</v>
      </c>
      <c r="AU91">
        <f t="shared" si="111"/>
        <v>49.2</v>
      </c>
      <c r="AV91" s="542">
        <f t="shared" si="123"/>
        <v>0.94867251488020388</v>
      </c>
      <c r="AW91" s="551">
        <f t="shared" si="112"/>
        <v>20.438972247744708</v>
      </c>
      <c r="AX91" s="551">
        <f t="shared" si="113"/>
        <v>16.990168807937025</v>
      </c>
      <c r="AY91" s="9"/>
      <c r="AZ91" s="4">
        <f t="shared" si="124"/>
        <v>94.867251488020386</v>
      </c>
      <c r="BA91" s="360">
        <f t="shared" si="114"/>
        <v>0.85553264878775537</v>
      </c>
      <c r="BB91" s="360">
        <f t="shared" si="125"/>
        <v>0.98984819620215081</v>
      </c>
      <c r="BC91" s="360">
        <f t="shared" si="126"/>
        <v>0.53786769073012386</v>
      </c>
      <c r="BD91" s="360">
        <f t="shared" si="127"/>
        <v>0.447109705472027</v>
      </c>
      <c r="BE91" s="360">
        <f t="shared" si="128"/>
        <v>0.41595693964192409</v>
      </c>
      <c r="BK91" s="18"/>
      <c r="BL91" s="19"/>
    </row>
    <row r="92" spans="1:64" x14ac:dyDescent="0.25">
      <c r="G92">
        <v>83</v>
      </c>
      <c r="H92" s="548">
        <f t="shared" si="82"/>
        <v>45</v>
      </c>
      <c r="I92" s="4">
        <f t="shared" si="83"/>
        <v>2</v>
      </c>
      <c r="J92" s="360">
        <f t="shared" si="115"/>
        <v>9.9600000000000009</v>
      </c>
      <c r="K92" s="4">
        <f t="shared" si="84"/>
        <v>1.2296296296296296</v>
      </c>
      <c r="L92" s="4"/>
      <c r="M92" s="360">
        <f t="shared" si="85"/>
        <v>0.11250827374901359</v>
      </c>
      <c r="N92" s="4">
        <f t="shared" si="86"/>
        <v>9.2727366601004153</v>
      </c>
      <c r="O92" s="4">
        <f t="shared" si="116"/>
        <v>14.596368330050208</v>
      </c>
      <c r="P92" s="4">
        <f t="shared" si="117"/>
        <v>5.3236316699497932</v>
      </c>
      <c r="Q92" s="4">
        <f t="shared" si="87"/>
        <v>0</v>
      </c>
      <c r="R92" s="4">
        <f t="shared" si="88"/>
        <v>10.313433170577303</v>
      </c>
      <c r="S92" s="360">
        <f t="shared" si="89"/>
        <v>0.53183451881982102</v>
      </c>
      <c r="T92" s="360">
        <f t="shared" si="90"/>
        <v>0.3</v>
      </c>
      <c r="U92" s="360">
        <f t="shared" si="91"/>
        <v>0.86879910723146392</v>
      </c>
      <c r="V92" s="4">
        <f t="shared" si="118"/>
        <v>2.6768085034167433</v>
      </c>
      <c r="W92" s="360">
        <f t="shared" si="92"/>
        <v>1.433060752792837E-2</v>
      </c>
      <c r="X92" s="360">
        <f t="shared" si="119"/>
        <v>1.433060752792837E-2</v>
      </c>
      <c r="Y92" s="4">
        <f t="shared" si="93"/>
        <v>3.2589496132231646</v>
      </c>
      <c r="Z92" s="360">
        <f t="shared" si="120"/>
        <v>1.5931128872291121E-2</v>
      </c>
      <c r="AA92" s="541">
        <f t="shared" si="121"/>
        <v>1.5931128872291121E-2</v>
      </c>
      <c r="AB92" s="360">
        <f t="shared" si="94"/>
        <v>3.459357848866039</v>
      </c>
      <c r="AC92" s="360">
        <f t="shared" si="95"/>
        <v>7.1802940359066411E-2</v>
      </c>
      <c r="AD92" s="360">
        <f t="shared" si="96"/>
        <v>0.18030043153131697</v>
      </c>
      <c r="AE92" s="360">
        <f t="shared" si="97"/>
        <v>-3.4229250000000003E-2</v>
      </c>
      <c r="AF92" s="360">
        <f t="shared" si="98"/>
        <v>0</v>
      </c>
      <c r="AG92" s="360">
        <f t="shared" si="99"/>
        <v>0.22027824903906243</v>
      </c>
      <c r="AH92" s="360">
        <f t="shared" si="100"/>
        <v>9.7159532233051191</v>
      </c>
      <c r="AI92" s="360">
        <f t="shared" si="101"/>
        <v>0.23599936759363285</v>
      </c>
      <c r="AJ92" s="360">
        <f t="shared" si="102"/>
        <v>4.2947520000000003E-2</v>
      </c>
      <c r="AK92" s="360">
        <f t="shared" si="103"/>
        <v>0.29276537632692612</v>
      </c>
      <c r="AL92" s="360">
        <f t="shared" si="104"/>
        <v>4.2947520000000003E-2</v>
      </c>
      <c r="AM92" s="360">
        <f t="shared" si="105"/>
        <v>0.49302000000000001</v>
      </c>
      <c r="AN92" s="360">
        <f t="shared" si="106"/>
        <v>0.42546761505585684</v>
      </c>
      <c r="AO92" s="360">
        <f t="shared" si="107"/>
        <v>1.5749999999999998E-3</v>
      </c>
      <c r="AP92" s="360">
        <f t="shared" si="108"/>
        <v>0.32669999999999993</v>
      </c>
      <c r="AQ92" s="360">
        <f t="shared" si="109"/>
        <v>0.31218000000000001</v>
      </c>
      <c r="AR92" s="360">
        <f t="shared" si="110"/>
        <v>0.29039999999999999</v>
      </c>
      <c r="AS92" s="360">
        <f t="shared" si="129"/>
        <v>0.32827499999999993</v>
      </c>
      <c r="AT92" s="360">
        <f t="shared" si="122"/>
        <v>2.7018146040535287</v>
      </c>
      <c r="AU92">
        <f t="shared" si="111"/>
        <v>49.800000000000004</v>
      </c>
      <c r="AV92" s="542">
        <f t="shared" si="123"/>
        <v>0.94853864338919569</v>
      </c>
      <c r="AW92" s="551">
        <f t="shared" si="112"/>
        <v>20.735515063484375</v>
      </c>
      <c r="AX92" s="551">
        <f t="shared" si="113"/>
        <v>17.307555100423194</v>
      </c>
      <c r="AY92" s="9"/>
      <c r="AZ92" s="4">
        <f t="shared" si="124"/>
        <v>94.853864338919564</v>
      </c>
      <c r="BA92" s="360">
        <f t="shared" si="114"/>
        <v>0.86879910723146392</v>
      </c>
      <c r="BB92" s="360">
        <f t="shared" si="125"/>
        <v>1.0060636253659885</v>
      </c>
      <c r="BC92" s="360">
        <f t="shared" si="126"/>
        <v>0.54567144903906251</v>
      </c>
      <c r="BD92" s="360">
        <f t="shared" si="127"/>
        <v>0.45546197632692614</v>
      </c>
      <c r="BE92" s="360">
        <f t="shared" si="128"/>
        <v>0.42546761505585684</v>
      </c>
      <c r="BK92" s="18"/>
      <c r="BL92" s="19"/>
    </row>
    <row r="93" spans="1:64" x14ac:dyDescent="0.25">
      <c r="G93">
        <v>84</v>
      </c>
      <c r="H93" s="548">
        <f t="shared" si="82"/>
        <v>45</v>
      </c>
      <c r="I93" s="4">
        <f t="shared" si="83"/>
        <v>2</v>
      </c>
      <c r="J93" s="360">
        <f t="shared" si="115"/>
        <v>10.08</v>
      </c>
      <c r="K93" s="4">
        <f t="shared" si="84"/>
        <v>1.2444444444444445</v>
      </c>
      <c r="L93" s="4"/>
      <c r="M93" s="360">
        <f t="shared" si="85"/>
        <v>0.11252509874245083</v>
      </c>
      <c r="N93" s="4">
        <f t="shared" si="86"/>
        <v>9.2738164602261755</v>
      </c>
      <c r="O93" s="4">
        <f t="shared" si="116"/>
        <v>14.716908230113088</v>
      </c>
      <c r="P93" s="4">
        <f t="shared" si="117"/>
        <v>5.4430917698869123</v>
      </c>
      <c r="Q93" s="4">
        <f t="shared" si="87"/>
        <v>0</v>
      </c>
      <c r="R93" s="4">
        <f t="shared" si="88"/>
        <v>10.429447379647216</v>
      </c>
      <c r="S93" s="360">
        <f t="shared" si="89"/>
        <v>0.54386686322415101</v>
      </c>
      <c r="T93" s="360">
        <f t="shared" si="90"/>
        <v>0.3</v>
      </c>
      <c r="U93" s="360">
        <f t="shared" si="91"/>
        <v>0.88225312227883124</v>
      </c>
      <c r="V93" s="4">
        <f t="shared" si="118"/>
        <v>2.6771202148633826</v>
      </c>
      <c r="W93" s="360">
        <f t="shared" si="92"/>
        <v>1.4333945289660328E-2</v>
      </c>
      <c r="X93" s="360">
        <f t="shared" si="119"/>
        <v>1.4333945289660328E-2</v>
      </c>
      <c r="Y93" s="4">
        <f t="shared" si="93"/>
        <v>3.2958242010924366</v>
      </c>
      <c r="Z93" s="360">
        <f t="shared" si="120"/>
        <v>1.6293685746759896E-2</v>
      </c>
      <c r="AA93" s="541">
        <f t="shared" si="121"/>
        <v>1.6293685746759896E-2</v>
      </c>
      <c r="AB93" s="360">
        <f t="shared" si="94"/>
        <v>3.4985331922691429</v>
      </c>
      <c r="AC93" s="360">
        <f t="shared" si="95"/>
        <v>7.3438406984453516E-2</v>
      </c>
      <c r="AD93" s="360">
        <f t="shared" si="96"/>
        <v>0.18247272588711597</v>
      </c>
      <c r="AE93" s="360">
        <f t="shared" si="97"/>
        <v>-3.4229250000000003E-2</v>
      </c>
      <c r="AF93" s="360">
        <f t="shared" si="98"/>
        <v>0</v>
      </c>
      <c r="AG93" s="360">
        <f t="shared" si="99"/>
        <v>0.22418437182852993</v>
      </c>
      <c r="AH93" s="360">
        <f t="shared" si="100"/>
        <v>9.8251533396390958</v>
      </c>
      <c r="AI93" s="360">
        <f t="shared" si="101"/>
        <v>0.24133409536855319</v>
      </c>
      <c r="AJ93" s="360">
        <f t="shared" si="102"/>
        <v>4.3464959999999997E-2</v>
      </c>
      <c r="AK93" s="360">
        <f t="shared" si="103"/>
        <v>0.29924254095183278</v>
      </c>
      <c r="AL93" s="360">
        <f t="shared" si="104"/>
        <v>4.3464959999999997E-2</v>
      </c>
      <c r="AM93" s="360">
        <f t="shared" si="105"/>
        <v>0.49895999999999996</v>
      </c>
      <c r="AN93" s="360">
        <f t="shared" si="106"/>
        <v>0.43509349057932079</v>
      </c>
      <c r="AO93" s="360">
        <f t="shared" si="107"/>
        <v>1.5749999999999998E-3</v>
      </c>
      <c r="AP93" s="360">
        <f t="shared" si="108"/>
        <v>0.32669999999999993</v>
      </c>
      <c r="AQ93" s="360">
        <f t="shared" si="109"/>
        <v>0.31218000000000001</v>
      </c>
      <c r="AR93" s="360">
        <f t="shared" si="110"/>
        <v>0.29039999999999999</v>
      </c>
      <c r="AS93" s="360">
        <f t="shared" si="129"/>
        <v>0.32827499999999993</v>
      </c>
      <c r="AT93" s="360">
        <f t="shared" si="122"/>
        <v>2.7421011166749354</v>
      </c>
      <c r="AU93">
        <f t="shared" si="111"/>
        <v>50.4</v>
      </c>
      <c r="AV93" s="542">
        <f t="shared" si="123"/>
        <v>0.9484005890046654</v>
      </c>
      <c r="AW93" s="551">
        <f t="shared" si="112"/>
        <v>21.032922929484137</v>
      </c>
      <c r="AX93" s="551">
        <f t="shared" si="113"/>
        <v>17.628174956169644</v>
      </c>
      <c r="AY93" s="9"/>
      <c r="AZ93" s="4">
        <f t="shared" si="124"/>
        <v>94.840058900466545</v>
      </c>
      <c r="BA93" s="360">
        <f t="shared" si="114"/>
        <v>0.88225312227883124</v>
      </c>
      <c r="BB93" s="360">
        <f t="shared" si="125"/>
        <v>1.0223869127803626</v>
      </c>
      <c r="BC93" s="360">
        <f t="shared" si="126"/>
        <v>0.55349797182852989</v>
      </c>
      <c r="BD93" s="360">
        <f t="shared" si="127"/>
        <v>0.46389934095183277</v>
      </c>
      <c r="BE93" s="360">
        <f t="shared" si="128"/>
        <v>0.43509349057932079</v>
      </c>
      <c r="BK93" s="18"/>
      <c r="BL93" s="19"/>
    </row>
    <row r="94" spans="1:64" x14ac:dyDescent="0.25">
      <c r="G94">
        <v>85</v>
      </c>
      <c r="H94" s="548">
        <f t="shared" si="82"/>
        <v>45</v>
      </c>
      <c r="I94" s="4">
        <f t="shared" si="83"/>
        <v>2</v>
      </c>
      <c r="J94" s="360">
        <f t="shared" si="115"/>
        <v>10.199999999999999</v>
      </c>
      <c r="K94" s="4">
        <f t="shared" si="84"/>
        <v>1.2592592592592593</v>
      </c>
      <c r="L94" s="4"/>
      <c r="M94" s="360">
        <f t="shared" si="85"/>
        <v>0.1125419235385732</v>
      </c>
      <c r="N94" s="4">
        <f t="shared" si="86"/>
        <v>9.2748961523179752</v>
      </c>
      <c r="O94" s="4">
        <f t="shared" si="116"/>
        <v>14.837448076158987</v>
      </c>
      <c r="P94" s="4">
        <f t="shared" si="117"/>
        <v>5.5625519238410117</v>
      </c>
      <c r="Q94" s="4">
        <f t="shared" si="87"/>
        <v>0</v>
      </c>
      <c r="R94" s="4">
        <f t="shared" si="88"/>
        <v>10.54555079419864</v>
      </c>
      <c r="S94" s="360">
        <f t="shared" si="89"/>
        <v>0.55604320776511773</v>
      </c>
      <c r="T94" s="360">
        <f t="shared" si="90"/>
        <v>0.3</v>
      </c>
      <c r="U94" s="360">
        <f t="shared" si="91"/>
        <v>0.8958957473808602</v>
      </c>
      <c r="V94" s="4">
        <f t="shared" si="118"/>
        <v>2.6774318951233038</v>
      </c>
      <c r="W94" s="360">
        <f t="shared" si="92"/>
        <v>1.4337283106047134E-2</v>
      </c>
      <c r="X94" s="360">
        <f t="shared" si="119"/>
        <v>1.4337283106047134E-2</v>
      </c>
      <c r="Y94" s="4">
        <f t="shared" si="93"/>
        <v>3.332731741518657</v>
      </c>
      <c r="Z94" s="360">
        <f t="shared" si="120"/>
        <v>1.6660651291388971E-2</v>
      </c>
      <c r="AA94" s="541">
        <f t="shared" si="121"/>
        <v>1.6660651291388971E-2</v>
      </c>
      <c r="AB94" s="360">
        <f t="shared" si="94"/>
        <v>3.5377442579260832</v>
      </c>
      <c r="AC94" s="360">
        <f t="shared" si="95"/>
        <v>7.5093806606933836E-2</v>
      </c>
      <c r="AD94" s="360">
        <f t="shared" si="96"/>
        <v>0.18464502024291493</v>
      </c>
      <c r="AE94" s="360">
        <f t="shared" si="97"/>
        <v>-3.4229250000000003E-2</v>
      </c>
      <c r="AF94" s="360">
        <f t="shared" si="98"/>
        <v>0</v>
      </c>
      <c r="AG94" s="360">
        <f t="shared" si="99"/>
        <v>0.22811332129012954</v>
      </c>
      <c r="AH94" s="360">
        <f t="shared" si="100"/>
        <v>9.9344354202206464</v>
      </c>
      <c r="AI94" s="360">
        <f t="shared" si="101"/>
        <v>0.24673251779633643</v>
      </c>
      <c r="AJ94" s="360">
        <f t="shared" si="102"/>
        <v>4.3982399999999998E-2</v>
      </c>
      <c r="AK94" s="360">
        <f t="shared" si="103"/>
        <v>0.3058053422038412</v>
      </c>
      <c r="AL94" s="360">
        <f t="shared" si="104"/>
        <v>4.3982399999999998E-2</v>
      </c>
      <c r="AM94" s="360">
        <f t="shared" si="105"/>
        <v>0.5048999999999999</v>
      </c>
      <c r="AN94" s="360">
        <f t="shared" si="106"/>
        <v>0.44483456621209422</v>
      </c>
      <c r="AO94" s="360">
        <f t="shared" si="107"/>
        <v>1.5749999999999998E-3</v>
      </c>
      <c r="AP94" s="360">
        <f t="shared" si="108"/>
        <v>0.32669999999999993</v>
      </c>
      <c r="AQ94" s="360">
        <f t="shared" si="109"/>
        <v>0.31218000000000001</v>
      </c>
      <c r="AR94" s="360">
        <f t="shared" si="110"/>
        <v>0.29039999999999999</v>
      </c>
      <c r="AS94" s="360">
        <f t="shared" si="129"/>
        <v>0.32827499999999993</v>
      </c>
      <c r="AT94" s="360">
        <f t="shared" si="122"/>
        <v>2.782804311484361</v>
      </c>
      <c r="AU94">
        <f t="shared" si="111"/>
        <v>51</v>
      </c>
      <c r="AV94" s="542">
        <f t="shared" si="123"/>
        <v>0.9482584750440366</v>
      </c>
      <c r="AW94" s="551">
        <f t="shared" si="112"/>
        <v>21.331198209024922</v>
      </c>
      <c r="AX94" s="551">
        <f t="shared" si="113"/>
        <v>17.952049003745962</v>
      </c>
      <c r="AY94" s="9"/>
      <c r="AZ94" s="4">
        <f t="shared" si="124"/>
        <v>94.825847504403654</v>
      </c>
      <c r="BA94" s="360">
        <f t="shared" si="114"/>
        <v>0.8958957473808602</v>
      </c>
      <c r="BB94" s="360">
        <f t="shared" si="125"/>
        <v>1.0388186634939707</v>
      </c>
      <c r="BC94" s="360">
        <f t="shared" si="126"/>
        <v>0.56134732129012954</v>
      </c>
      <c r="BD94" s="360">
        <f t="shared" si="127"/>
        <v>0.47242234220384116</v>
      </c>
      <c r="BE94" s="360">
        <f t="shared" si="128"/>
        <v>0.44483456621209422</v>
      </c>
      <c r="BK94" s="18"/>
      <c r="BL94" s="19"/>
    </row>
    <row r="95" spans="1:64" x14ac:dyDescent="0.25">
      <c r="G95">
        <v>86</v>
      </c>
      <c r="H95" s="548">
        <f t="shared" si="82"/>
        <v>45</v>
      </c>
      <c r="I95" s="4">
        <f t="shared" si="83"/>
        <v>2</v>
      </c>
      <c r="J95" s="360">
        <f t="shared" si="115"/>
        <v>10.32</v>
      </c>
      <c r="K95" s="4">
        <f t="shared" si="84"/>
        <v>1.2740740740740741</v>
      </c>
      <c r="L95" s="4"/>
      <c r="M95" s="360">
        <f t="shared" si="85"/>
        <v>0.1125587481373842</v>
      </c>
      <c r="N95" s="4">
        <f t="shared" si="86"/>
        <v>9.2759757363777098</v>
      </c>
      <c r="O95" s="4">
        <f t="shared" si="116"/>
        <v>14.957987868188855</v>
      </c>
      <c r="P95" s="4">
        <f t="shared" si="117"/>
        <v>5.6820121318111454</v>
      </c>
      <c r="Q95" s="4">
        <f t="shared" si="87"/>
        <v>0</v>
      </c>
      <c r="R95" s="4">
        <f t="shared" si="88"/>
        <v>10.661740499960079</v>
      </c>
      <c r="S95" s="360">
        <f t="shared" si="89"/>
        <v>0.56836355244244496</v>
      </c>
      <c r="T95" s="360">
        <f t="shared" si="90"/>
        <v>0.3</v>
      </c>
      <c r="U95" s="360">
        <f t="shared" si="91"/>
        <v>0.90972805392109668</v>
      </c>
      <c r="V95" s="4">
        <f t="shared" si="118"/>
        <v>2.6777435441970541</v>
      </c>
      <c r="W95" s="360">
        <f t="shared" si="92"/>
        <v>1.4340620976978E-2</v>
      </c>
      <c r="X95" s="360">
        <f t="shared" si="119"/>
        <v>1.4340620976978E-2</v>
      </c>
      <c r="Y95" s="4">
        <f t="shared" si="93"/>
        <v>3.3696713180993272</v>
      </c>
      <c r="Z95" s="360">
        <f t="shared" si="120"/>
        <v>1.7032027188031883E-2</v>
      </c>
      <c r="AA95" s="541">
        <f t="shared" si="121"/>
        <v>1.7032027188031883E-2</v>
      </c>
      <c r="AB95" s="360">
        <f t="shared" si="94"/>
        <v>3.5769900740661309</v>
      </c>
      <c r="AC95" s="360">
        <f t="shared" si="95"/>
        <v>7.6769147939805743E-2</v>
      </c>
      <c r="AD95" s="360">
        <f t="shared" si="96"/>
        <v>0.18681731459871398</v>
      </c>
      <c r="AE95" s="360">
        <f t="shared" si="97"/>
        <v>-3.4229250000000003E-2</v>
      </c>
      <c r="AF95" s="360">
        <f t="shared" si="98"/>
        <v>0</v>
      </c>
      <c r="AG95" s="360">
        <f t="shared" si="99"/>
        <v>0.23206516011906572</v>
      </c>
      <c r="AH95" s="360">
        <f t="shared" si="100"/>
        <v>10.043796717303739</v>
      </c>
      <c r="AI95" s="360">
        <f t="shared" si="101"/>
        <v>0.25219463124630337</v>
      </c>
      <c r="AJ95" s="360">
        <f t="shared" si="102"/>
        <v>4.4499839999999999E-2</v>
      </c>
      <c r="AK95" s="360">
        <f t="shared" si="103"/>
        <v>0.31245433226782204</v>
      </c>
      <c r="AL95" s="360">
        <f t="shared" si="104"/>
        <v>4.4499839999999999E-2</v>
      </c>
      <c r="AM95" s="360">
        <f t="shared" si="105"/>
        <v>0.51083999999999985</v>
      </c>
      <c r="AN95" s="360">
        <f t="shared" si="106"/>
        <v>0.45469084195395598</v>
      </c>
      <c r="AO95" s="360">
        <f t="shared" si="107"/>
        <v>1.5749999999999998E-3</v>
      </c>
      <c r="AP95" s="360">
        <f t="shared" si="108"/>
        <v>0.32669999999999993</v>
      </c>
      <c r="AQ95" s="360">
        <f t="shared" si="109"/>
        <v>0.31218000000000001</v>
      </c>
      <c r="AR95" s="360">
        <f t="shared" si="110"/>
        <v>0.29039999999999999</v>
      </c>
      <c r="AS95" s="360">
        <f t="shared" si="129"/>
        <v>0.32827499999999993</v>
      </c>
      <c r="AT95" s="360">
        <f t="shared" si="122"/>
        <v>2.8239258764269501</v>
      </c>
      <c r="AU95">
        <f t="shared" si="111"/>
        <v>51.6</v>
      </c>
      <c r="AV95" s="542">
        <f t="shared" si="123"/>
        <v>0.94811241873952912</v>
      </c>
      <c r="AW95" s="551">
        <f t="shared" si="112"/>
        <v>21.630343284524493</v>
      </c>
      <c r="AX95" s="551">
        <f t="shared" si="113"/>
        <v>18.279198226177236</v>
      </c>
      <c r="AY95" s="9"/>
      <c r="AZ95" s="4">
        <f t="shared" si="124"/>
        <v>94.811241873952909</v>
      </c>
      <c r="BA95" s="360">
        <f t="shared" si="114"/>
        <v>0.90972805392109668</v>
      </c>
      <c r="BB95" s="360">
        <f t="shared" si="125"/>
        <v>1.0553594923868876</v>
      </c>
      <c r="BC95" s="360">
        <f t="shared" si="126"/>
        <v>0.5692195601190656</v>
      </c>
      <c r="BD95" s="360">
        <f t="shared" si="127"/>
        <v>0.48103153226782203</v>
      </c>
      <c r="BE95" s="360">
        <f t="shared" si="128"/>
        <v>0.45469084195395598</v>
      </c>
      <c r="BK95" s="18"/>
      <c r="BL95" s="19"/>
    </row>
    <row r="96" spans="1:64" x14ac:dyDescent="0.25">
      <c r="G96">
        <v>87</v>
      </c>
      <c r="H96" s="548">
        <f t="shared" si="82"/>
        <v>45</v>
      </c>
      <c r="I96" s="4">
        <f t="shared" si="83"/>
        <v>2</v>
      </c>
      <c r="J96" s="360">
        <f t="shared" si="115"/>
        <v>10.44</v>
      </c>
      <c r="K96" s="4">
        <f t="shared" si="84"/>
        <v>1.2888888888888888</v>
      </c>
      <c r="L96" s="4"/>
      <c r="M96" s="360">
        <f t="shared" si="85"/>
        <v>0.11257557253888727</v>
      </c>
      <c r="N96" s="4">
        <f t="shared" si="86"/>
        <v>9.2770552124072818</v>
      </c>
      <c r="O96" s="4">
        <f t="shared" si="116"/>
        <v>15.07852760620364</v>
      </c>
      <c r="P96" s="4">
        <f t="shared" si="117"/>
        <v>5.8014723937963586</v>
      </c>
      <c r="Q96" s="4">
        <f t="shared" si="87"/>
        <v>0</v>
      </c>
      <c r="R96" s="4">
        <f t="shared" si="88"/>
        <v>10.778013706206311</v>
      </c>
      <c r="S96" s="360">
        <f t="shared" si="89"/>
        <v>0.58082789725585549</v>
      </c>
      <c r="T96" s="360">
        <f t="shared" si="90"/>
        <v>0.3</v>
      </c>
      <c r="U96" s="360">
        <f t="shared" si="91"/>
        <v>0.92375113143666132</v>
      </c>
      <c r="V96" s="4">
        <f t="shared" si="118"/>
        <v>2.6780551620851827</v>
      </c>
      <c r="W96" s="360">
        <f t="shared" si="92"/>
        <v>1.4343958902342187E-2</v>
      </c>
      <c r="X96" s="360">
        <f t="shared" si="119"/>
        <v>1.4343958902342187E-2</v>
      </c>
      <c r="Y96" s="4">
        <f t="shared" si="93"/>
        <v>3.4066420532401245</v>
      </c>
      <c r="Z96" s="360">
        <f t="shared" si="120"/>
        <v>1.7407815118356137E-2</v>
      </c>
      <c r="AA96" s="541">
        <f t="shared" si="121"/>
        <v>1.7407815118356137E-2</v>
      </c>
      <c r="AB96" s="360">
        <f t="shared" si="94"/>
        <v>3.6162697100779391</v>
      </c>
      <c r="AC96" s="360">
        <f t="shared" si="95"/>
        <v>7.8464439696163082E-2</v>
      </c>
      <c r="AD96" s="360">
        <f t="shared" si="96"/>
        <v>0.18898960895451292</v>
      </c>
      <c r="AE96" s="360">
        <f t="shared" si="97"/>
        <v>-3.4229250000000003E-2</v>
      </c>
      <c r="AF96" s="360">
        <f t="shared" si="98"/>
        <v>0</v>
      </c>
      <c r="AG96" s="360">
        <f t="shared" si="99"/>
        <v>0.23603995151701312</v>
      </c>
      <c r="AH96" s="360">
        <f t="shared" si="100"/>
        <v>10.153234599630991</v>
      </c>
      <c r="AI96" s="360">
        <f t="shared" si="101"/>
        <v>0.25772043208785972</v>
      </c>
      <c r="AJ96" s="360">
        <f t="shared" si="102"/>
        <v>4.501728E-2</v>
      </c>
      <c r="AK96" s="360">
        <f t="shared" si="103"/>
        <v>0.3191900727830187</v>
      </c>
      <c r="AL96" s="360">
        <f t="shared" si="104"/>
        <v>4.501728E-2</v>
      </c>
      <c r="AM96" s="360">
        <f t="shared" si="105"/>
        <v>0.51678000000000002</v>
      </c>
      <c r="AN96" s="360">
        <f t="shared" si="106"/>
        <v>0.46466231780468442</v>
      </c>
      <c r="AO96" s="360">
        <f t="shared" si="107"/>
        <v>1.5749999999999998E-3</v>
      </c>
      <c r="AP96" s="360">
        <f t="shared" si="108"/>
        <v>0.32669999999999993</v>
      </c>
      <c r="AQ96" s="360">
        <f t="shared" si="109"/>
        <v>0.31218000000000001</v>
      </c>
      <c r="AR96" s="360">
        <f t="shared" si="110"/>
        <v>0.29039999999999999</v>
      </c>
      <c r="AS96" s="360">
        <f t="shared" si="129"/>
        <v>0.32827499999999993</v>
      </c>
      <c r="AT96" s="360">
        <f t="shared" si="122"/>
        <v>2.865467527562076</v>
      </c>
      <c r="AU96">
        <f t="shared" si="111"/>
        <v>52.199999999999996</v>
      </c>
      <c r="AV96" s="542">
        <f t="shared" si="123"/>
        <v>0.94796253157883725</v>
      </c>
      <c r="AW96" s="551">
        <f t="shared" si="112"/>
        <v>21.930360557646502</v>
      </c>
      <c r="AX96" s="551">
        <f t="shared" si="113"/>
        <v>18.60964396575471</v>
      </c>
      <c r="AY96" s="9"/>
      <c r="AZ96" s="4">
        <f t="shared" si="124"/>
        <v>94.796253157883726</v>
      </c>
      <c r="BA96" s="360">
        <f t="shared" si="114"/>
        <v>0.92375113143666132</v>
      </c>
      <c r="BB96" s="360">
        <f t="shared" si="125"/>
        <v>1.0720100243000319</v>
      </c>
      <c r="BC96" s="360">
        <f t="shared" si="126"/>
        <v>0.57711475151701319</v>
      </c>
      <c r="BD96" s="360">
        <f t="shared" si="127"/>
        <v>0.4897274727830187</v>
      </c>
      <c r="BE96" s="360">
        <f t="shared" si="128"/>
        <v>0.46466231780468442</v>
      </c>
      <c r="BK96" s="18"/>
      <c r="BL96" s="19"/>
    </row>
    <row r="97" spans="7:64" x14ac:dyDescent="0.25">
      <c r="G97">
        <v>88</v>
      </c>
      <c r="H97" s="548">
        <f t="shared" si="82"/>
        <v>45</v>
      </c>
      <c r="I97" s="4">
        <f t="shared" si="83"/>
        <v>2</v>
      </c>
      <c r="J97" s="360">
        <f t="shared" si="115"/>
        <v>10.56</v>
      </c>
      <c r="K97" s="4">
        <f t="shared" si="84"/>
        <v>1.3037037037037038</v>
      </c>
      <c r="L97" s="4"/>
      <c r="M97" s="360">
        <f t="shared" si="85"/>
        <v>0.11259239674308588</v>
      </c>
      <c r="N97" s="4">
        <f t="shared" si="86"/>
        <v>9.2781345804085902</v>
      </c>
      <c r="O97" s="4">
        <f t="shared" si="116"/>
        <v>15.199067290204296</v>
      </c>
      <c r="P97" s="4">
        <f t="shared" si="117"/>
        <v>5.9209327097957054</v>
      </c>
      <c r="Q97" s="4">
        <f t="shared" si="87"/>
        <v>0</v>
      </c>
      <c r="R97" s="4">
        <f t="shared" si="88"/>
        <v>10.894367739387839</v>
      </c>
      <c r="S97" s="360">
        <f t="shared" si="89"/>
        <v>0.59343624220507241</v>
      </c>
      <c r="T97" s="360">
        <f t="shared" si="90"/>
        <v>0.3</v>
      </c>
      <c r="U97" s="360">
        <f t="shared" si="91"/>
        <v>0.93796608784394464</v>
      </c>
      <c r="V97" s="4">
        <f t="shared" si="118"/>
        <v>2.6783667487882377</v>
      </c>
      <c r="W97" s="360">
        <f t="shared" si="92"/>
        <v>1.4347296882028951E-2</v>
      </c>
      <c r="X97" s="360">
        <f t="shared" si="119"/>
        <v>1.4347296882028951E-2</v>
      </c>
      <c r="Y97" s="4">
        <f t="shared" si="93"/>
        <v>3.44364310615402</v>
      </c>
      <c r="Z97" s="360">
        <f t="shared" si="120"/>
        <v>1.7788016763843163E-2</v>
      </c>
      <c r="AA97" s="541">
        <f t="shared" si="121"/>
        <v>1.7788016763843163E-2</v>
      </c>
      <c r="AB97" s="360">
        <f t="shared" si="94"/>
        <v>3.6555822743874753</v>
      </c>
      <c r="AC97" s="360">
        <f t="shared" si="95"/>
        <v>8.0179690588895444E-2</v>
      </c>
      <c r="AD97" s="360">
        <f t="shared" si="96"/>
        <v>0.19116190331031199</v>
      </c>
      <c r="AE97" s="360">
        <f t="shared" si="97"/>
        <v>-3.4229250000000003E-2</v>
      </c>
      <c r="AF97" s="360">
        <f t="shared" si="98"/>
        <v>0</v>
      </c>
      <c r="AG97" s="360">
        <f t="shared" si="99"/>
        <v>0.24003775919501749</v>
      </c>
      <c r="AH97" s="360">
        <f t="shared" si="100"/>
        <v>10.262746546426964</v>
      </c>
      <c r="AI97" s="360">
        <f t="shared" si="101"/>
        <v>0.26330991669049647</v>
      </c>
      <c r="AJ97" s="360">
        <f t="shared" si="102"/>
        <v>4.5534720000000001E-2</v>
      </c>
      <c r="AK97" s="360">
        <f t="shared" si="103"/>
        <v>0.3260131349724153</v>
      </c>
      <c r="AL97" s="360">
        <f t="shared" si="104"/>
        <v>4.5534720000000001E-2</v>
      </c>
      <c r="AM97" s="360">
        <f t="shared" si="105"/>
        <v>0.52271999999999996</v>
      </c>
      <c r="AN97" s="360">
        <f t="shared" si="106"/>
        <v>0.47474899376405799</v>
      </c>
      <c r="AO97" s="360">
        <f t="shared" si="107"/>
        <v>1.5749999999999998E-3</v>
      </c>
      <c r="AP97" s="360">
        <f t="shared" si="108"/>
        <v>0.32669999999999993</v>
      </c>
      <c r="AQ97" s="360">
        <f t="shared" si="109"/>
        <v>0.31218000000000001</v>
      </c>
      <c r="AR97" s="360">
        <f t="shared" si="110"/>
        <v>0.29039999999999999</v>
      </c>
      <c r="AS97" s="360">
        <f t="shared" si="129"/>
        <v>0.32827499999999993</v>
      </c>
      <c r="AT97" s="360">
        <f t="shared" si="122"/>
        <v>2.9074310094213076</v>
      </c>
      <c r="AU97">
        <f t="shared" si="111"/>
        <v>52.800000000000004</v>
      </c>
      <c r="AV97" s="542">
        <f t="shared" si="123"/>
        <v>0.94780891962277702</v>
      </c>
      <c r="AW97" s="551">
        <f t="shared" si="112"/>
        <v>22.231252449410665</v>
      </c>
      <c r="AX97" s="551">
        <f t="shared" si="113"/>
        <v>18.943407928951782</v>
      </c>
      <c r="AY97" s="9"/>
      <c r="AZ97" s="4">
        <f t="shared" si="124"/>
        <v>94.780891962277707</v>
      </c>
      <c r="BA97" s="360">
        <f t="shared" si="114"/>
        <v>0.93796608784394464</v>
      </c>
      <c r="BB97" s="360">
        <f t="shared" si="125"/>
        <v>1.0887708941674328</v>
      </c>
      <c r="BC97" s="360">
        <f t="shared" si="126"/>
        <v>0.58503295919501752</v>
      </c>
      <c r="BD97" s="360">
        <f t="shared" si="127"/>
        <v>0.49851073497241527</v>
      </c>
      <c r="BE97" s="360">
        <f t="shared" si="128"/>
        <v>0.47474899376405799</v>
      </c>
      <c r="BK97" s="18"/>
      <c r="BL97" s="19"/>
    </row>
    <row r="98" spans="7:64" x14ac:dyDescent="0.25">
      <c r="G98">
        <v>89</v>
      </c>
      <c r="H98" s="548">
        <f t="shared" si="82"/>
        <v>45</v>
      </c>
      <c r="I98" s="4">
        <f t="shared" si="83"/>
        <v>2</v>
      </c>
      <c r="J98" s="360">
        <f t="shared" si="115"/>
        <v>10.68</v>
      </c>
      <c r="K98" s="4">
        <f t="shared" si="84"/>
        <v>1.3185185185185184</v>
      </c>
      <c r="L98" s="4"/>
      <c r="M98" s="360">
        <f t="shared" si="85"/>
        <v>0.11260922074998352</v>
      </c>
      <c r="N98" s="4">
        <f t="shared" si="86"/>
        <v>9.2792138403835374</v>
      </c>
      <c r="O98" s="4">
        <f t="shared" si="116"/>
        <v>15.319606920191768</v>
      </c>
      <c r="P98" s="4">
        <f t="shared" si="117"/>
        <v>6.040393079808231</v>
      </c>
      <c r="Q98" s="4">
        <f t="shared" si="87"/>
        <v>0</v>
      </c>
      <c r="R98" s="4">
        <f t="shared" si="88"/>
        <v>11.010800037143703</v>
      </c>
      <c r="S98" s="360">
        <f t="shared" si="89"/>
        <v>0.60618858728981884</v>
      </c>
      <c r="T98" s="360">
        <f t="shared" si="90"/>
        <v>0.3</v>
      </c>
      <c r="U98" s="360">
        <f t="shared" si="91"/>
        <v>0.95237404966904782</v>
      </c>
      <c r="V98" s="4">
        <f t="shared" si="118"/>
        <v>2.6786783043067683</v>
      </c>
      <c r="W98" s="360">
        <f t="shared" si="92"/>
        <v>1.4350634915927567E-2</v>
      </c>
      <c r="X98" s="360">
        <f t="shared" si="119"/>
        <v>1.4350634915927567E-2</v>
      </c>
      <c r="Y98" s="4">
        <f t="shared" si="93"/>
        <v>3.4806736709807948</v>
      </c>
      <c r="Z98" s="360">
        <f t="shared" si="120"/>
        <v>1.8172633805788384E-2</v>
      </c>
      <c r="AA98" s="541">
        <f t="shared" si="121"/>
        <v>1.8172633805788384E-2</v>
      </c>
      <c r="AB98" s="360">
        <f t="shared" si="94"/>
        <v>3.6949269124636248</v>
      </c>
      <c r="AC98" s="360">
        <f t="shared" si="95"/>
        <v>8.191490933068786E-2</v>
      </c>
      <c r="AD98" s="360">
        <f t="shared" si="96"/>
        <v>0.19333419766611093</v>
      </c>
      <c r="AE98" s="360">
        <f t="shared" si="97"/>
        <v>-3.4229250000000003E-2</v>
      </c>
      <c r="AF98" s="360">
        <f t="shared" si="98"/>
        <v>0</v>
      </c>
      <c r="AG98" s="360">
        <f t="shared" si="99"/>
        <v>0.24405864737642269</v>
      </c>
      <c r="AH98" s="360">
        <f t="shared" si="100"/>
        <v>10.372330141752904</v>
      </c>
      <c r="AI98" s="360">
        <f t="shared" si="101"/>
        <v>0.26896308142378955</v>
      </c>
      <c r="AJ98" s="360">
        <f t="shared" si="102"/>
        <v>4.6052159999999995E-2</v>
      </c>
      <c r="AK98" s="360">
        <f t="shared" si="103"/>
        <v>0.33292409977493087</v>
      </c>
      <c r="AL98" s="360">
        <f t="shared" si="104"/>
        <v>4.6052159999999995E-2</v>
      </c>
      <c r="AM98" s="360">
        <f t="shared" si="105"/>
        <v>0.52866000000000002</v>
      </c>
      <c r="AN98" s="360">
        <f t="shared" si="106"/>
        <v>0.48495086983185509</v>
      </c>
      <c r="AO98" s="360">
        <f t="shared" si="107"/>
        <v>1.5749999999999998E-3</v>
      </c>
      <c r="AP98" s="360">
        <f t="shared" si="108"/>
        <v>0.32669999999999993</v>
      </c>
      <c r="AQ98" s="360">
        <f t="shared" si="109"/>
        <v>0.31218000000000001</v>
      </c>
      <c r="AR98" s="360">
        <f t="shared" si="110"/>
        <v>0.29039999999999999</v>
      </c>
      <c r="AS98" s="360">
        <f t="shared" si="129"/>
        <v>0.32827499999999993</v>
      </c>
      <c r="AT98" s="360">
        <f t="shared" si="122"/>
        <v>2.9498180953739723</v>
      </c>
      <c r="AU98">
        <f t="shared" si="111"/>
        <v>53.4</v>
      </c>
      <c r="AV98" s="542">
        <f t="shared" si="123"/>
        <v>0.94765168380168852</v>
      </c>
      <c r="AW98" s="551">
        <f t="shared" si="112"/>
        <v>22.533021400304065</v>
      </c>
      <c r="AX98" s="551">
        <f t="shared" si="113"/>
        <v>19.280512191447372</v>
      </c>
      <c r="AY98" s="9"/>
      <c r="AZ98" s="4">
        <f t="shared" si="124"/>
        <v>94.765168380168845</v>
      </c>
      <c r="BA98" s="360">
        <f t="shared" si="114"/>
        <v>0.95237404966904782</v>
      </c>
      <c r="BB98" s="360">
        <f t="shared" si="125"/>
        <v>1.1056427471513537</v>
      </c>
      <c r="BC98" s="360">
        <f t="shared" si="126"/>
        <v>0.59297424737642279</v>
      </c>
      <c r="BD98" s="360">
        <f t="shared" si="127"/>
        <v>0.50738189977493087</v>
      </c>
      <c r="BE98" s="360">
        <f t="shared" si="128"/>
        <v>0.48495086983185509</v>
      </c>
      <c r="BK98" s="18"/>
      <c r="BL98" s="19"/>
    </row>
    <row r="99" spans="7:64" x14ac:dyDescent="0.25">
      <c r="G99">
        <v>90</v>
      </c>
      <c r="H99" s="548">
        <f t="shared" si="82"/>
        <v>45</v>
      </c>
      <c r="I99" s="4">
        <f t="shared" si="83"/>
        <v>2</v>
      </c>
      <c r="J99" s="360">
        <f t="shared" si="115"/>
        <v>10.8</v>
      </c>
      <c r="K99" s="4">
        <f t="shared" si="84"/>
        <v>1.3333333333333333</v>
      </c>
      <c r="L99" s="4"/>
      <c r="M99" s="360">
        <f t="shared" si="85"/>
        <v>0.11262604455958364</v>
      </c>
      <c r="N99" s="4">
        <f t="shared" si="86"/>
        <v>9.2802929923340223</v>
      </c>
      <c r="O99" s="4">
        <f t="shared" si="116"/>
        <v>15.440146496167012</v>
      </c>
      <c r="P99" s="4">
        <f t="shared" si="117"/>
        <v>6.1598535038329896</v>
      </c>
      <c r="Q99" s="4">
        <f t="shared" si="87"/>
        <v>0</v>
      </c>
      <c r="R99" s="4">
        <f t="shared" si="88"/>
        <v>11.127308142671509</v>
      </c>
      <c r="S99" s="360">
        <f t="shared" si="89"/>
        <v>0.61908493250981844</v>
      </c>
      <c r="T99" s="360">
        <f t="shared" si="90"/>
        <v>0.3</v>
      </c>
      <c r="U99" s="360">
        <f t="shared" si="91"/>
        <v>0.96697616228306782</v>
      </c>
      <c r="V99" s="4">
        <f t="shared" si="118"/>
        <v>2.6789898286413227</v>
      </c>
      <c r="W99" s="360">
        <f t="shared" si="92"/>
        <v>1.4353973003927328E-2</v>
      </c>
      <c r="X99" s="360">
        <f t="shared" si="119"/>
        <v>1.4353973003927328E-2</v>
      </c>
      <c r="Y99" s="4">
        <f t="shared" si="93"/>
        <v>3.5177329750187329</v>
      </c>
      <c r="Z99" s="360">
        <f t="shared" si="120"/>
        <v>1.8561667925301218E-2</v>
      </c>
      <c r="AA99" s="541">
        <f t="shared" si="121"/>
        <v>1.8561667925301218E-2</v>
      </c>
      <c r="AB99" s="360">
        <f t="shared" si="94"/>
        <v>3.7343028049427818</v>
      </c>
      <c r="AC99" s="360">
        <f t="shared" si="95"/>
        <v>8.3670104634021164E-2</v>
      </c>
      <c r="AD99" s="360">
        <f t="shared" si="96"/>
        <v>0.19550649202190998</v>
      </c>
      <c r="AE99" s="360">
        <f t="shared" si="97"/>
        <v>-3.4229250000000003E-2</v>
      </c>
      <c r="AF99" s="360">
        <f t="shared" si="98"/>
        <v>0</v>
      </c>
      <c r="AG99" s="360">
        <f t="shared" si="99"/>
        <v>0.24810268079983161</v>
      </c>
      <c r="AH99" s="360">
        <f t="shared" si="100"/>
        <v>10.481983069198316</v>
      </c>
      <c r="AI99" s="360">
        <f t="shared" si="101"/>
        <v>0.27467992265740038</v>
      </c>
      <c r="AJ99" s="360">
        <f t="shared" si="102"/>
        <v>4.6569600000000003E-2</v>
      </c>
      <c r="AK99" s="360">
        <f t="shared" si="103"/>
        <v>0.33992355798050294</v>
      </c>
      <c r="AL99" s="360">
        <f t="shared" si="104"/>
        <v>4.6569600000000003E-2</v>
      </c>
      <c r="AM99" s="360">
        <f t="shared" si="105"/>
        <v>0.53459999999999996</v>
      </c>
      <c r="AN99" s="360">
        <f t="shared" si="106"/>
        <v>0.49526794600785473</v>
      </c>
      <c r="AO99" s="360">
        <f t="shared" si="107"/>
        <v>1.5749999999999998E-3</v>
      </c>
      <c r="AP99" s="360">
        <f t="shared" si="108"/>
        <v>0.32669999999999993</v>
      </c>
      <c r="AQ99" s="360">
        <f t="shared" si="109"/>
        <v>0.31218000000000001</v>
      </c>
      <c r="AR99" s="360">
        <f t="shared" si="110"/>
        <v>0.29039999999999999</v>
      </c>
      <c r="AS99" s="360">
        <f t="shared" si="129"/>
        <v>0.32827499999999993</v>
      </c>
      <c r="AT99" s="360">
        <f t="shared" si="122"/>
        <v>2.9926305880004858</v>
      </c>
      <c r="AU99">
        <f t="shared" si="111"/>
        <v>54</v>
      </c>
      <c r="AV99" s="542">
        <f t="shared" si="123"/>
        <v>0.9474909201922227</v>
      </c>
      <c r="AW99" s="551">
        <f t="shared" si="112"/>
        <v>22.835669870393602</v>
      </c>
      <c r="AX99" s="551">
        <f t="shared" si="113"/>
        <v>19.620979203259111</v>
      </c>
      <c r="AY99" s="9"/>
      <c r="AZ99" s="4">
        <f t="shared" si="124"/>
        <v>94.749092019222275</v>
      </c>
      <c r="BA99" s="360">
        <f t="shared" si="114"/>
        <v>0.96697616228306782</v>
      </c>
      <c r="BB99" s="360">
        <f t="shared" si="125"/>
        <v>1.1226262387803345</v>
      </c>
      <c r="BC99" s="360">
        <f t="shared" si="126"/>
        <v>0.60093868079983159</v>
      </c>
      <c r="BD99" s="360">
        <f t="shared" si="127"/>
        <v>0.51634155798050296</v>
      </c>
      <c r="BE99" s="360">
        <f t="shared" si="128"/>
        <v>0.49526794600785473</v>
      </c>
      <c r="BK99" s="18"/>
      <c r="BL99" s="19"/>
    </row>
    <row r="100" spans="7:64" x14ac:dyDescent="0.25">
      <c r="G100">
        <v>91</v>
      </c>
      <c r="H100" s="548">
        <f t="shared" si="82"/>
        <v>45</v>
      </c>
      <c r="I100" s="4">
        <f t="shared" si="83"/>
        <v>2</v>
      </c>
      <c r="J100" s="360">
        <f t="shared" si="115"/>
        <v>10.92</v>
      </c>
      <c r="K100" s="4">
        <f t="shared" si="84"/>
        <v>1.3481481481481481</v>
      </c>
      <c r="L100" s="4"/>
      <c r="M100" s="360">
        <f t="shared" si="85"/>
        <v>0.11264286817188976</v>
      </c>
      <c r="N100" s="4">
        <f t="shared" si="86"/>
        <v>9.2813720362619492</v>
      </c>
      <c r="O100" s="4">
        <f t="shared" si="116"/>
        <v>15.560686018130975</v>
      </c>
      <c r="P100" s="4">
        <f t="shared" si="117"/>
        <v>6.2793139818690253</v>
      </c>
      <c r="Q100" s="4">
        <f t="shared" si="87"/>
        <v>0</v>
      </c>
      <c r="R100" s="4">
        <f t="shared" si="88"/>
        <v>11.243889699430476</v>
      </c>
      <c r="S100" s="360">
        <f t="shared" si="89"/>
        <v>0.63212527786479378</v>
      </c>
      <c r="T100" s="360">
        <f t="shared" si="90"/>
        <v>0.3</v>
      </c>
      <c r="U100" s="360">
        <f t="shared" si="91"/>
        <v>0.98177359014231591</v>
      </c>
      <c r="V100" s="4">
        <f t="shared" si="118"/>
        <v>2.6793013217924511</v>
      </c>
      <c r="W100" s="360">
        <f t="shared" si="92"/>
        <v>1.4357311145917552E-2</v>
      </c>
      <c r="X100" s="360">
        <f t="shared" si="119"/>
        <v>1.4357311145917552E-2</v>
      </c>
      <c r="Y100" s="4">
        <f t="shared" si="93"/>
        <v>3.5548202770609056</v>
      </c>
      <c r="Z100" s="360">
        <f t="shared" si="120"/>
        <v>1.895512080330506E-2</v>
      </c>
      <c r="AA100" s="541">
        <f t="shared" si="121"/>
        <v>1.895512080330506E-2</v>
      </c>
      <c r="AB100" s="360">
        <f t="shared" si="94"/>
        <v>3.7737091658643527</v>
      </c>
      <c r="AC100" s="360">
        <f t="shared" si="95"/>
        <v>8.544528521117177E-2</v>
      </c>
      <c r="AD100" s="360">
        <f t="shared" si="96"/>
        <v>0.19767878637770894</v>
      </c>
      <c r="AE100" s="360">
        <f t="shared" si="97"/>
        <v>-3.4229250000000003E-2</v>
      </c>
      <c r="AF100" s="360">
        <f t="shared" si="98"/>
        <v>0</v>
      </c>
      <c r="AG100" s="360">
        <f t="shared" si="99"/>
        <v>0.25216992472209365</v>
      </c>
      <c r="AH100" s="360">
        <f t="shared" si="100"/>
        <v>10.591703106886547</v>
      </c>
      <c r="AI100" s="360">
        <f t="shared" si="101"/>
        <v>0.28046043676107529</v>
      </c>
      <c r="AJ100" s="360">
        <f t="shared" si="102"/>
        <v>4.7087039999999997E-2</v>
      </c>
      <c r="AK100" s="360">
        <f t="shared" si="103"/>
        <v>0.34701211036812041</v>
      </c>
      <c r="AL100" s="360">
        <f t="shared" si="104"/>
        <v>4.7087039999999997E-2</v>
      </c>
      <c r="AM100" s="360">
        <f t="shared" si="105"/>
        <v>0.54053999999999991</v>
      </c>
      <c r="AN100" s="360">
        <f t="shared" si="106"/>
        <v>0.50570022229183498</v>
      </c>
      <c r="AO100" s="360">
        <f t="shared" si="107"/>
        <v>1.5749999999999998E-3</v>
      </c>
      <c r="AP100" s="360">
        <f t="shared" si="108"/>
        <v>0.32669999999999993</v>
      </c>
      <c r="AQ100" s="360">
        <f t="shared" si="109"/>
        <v>0.31218000000000001</v>
      </c>
      <c r="AR100" s="360">
        <f t="shared" si="110"/>
        <v>0.29039999999999999</v>
      </c>
      <c r="AS100" s="360">
        <f t="shared" si="129"/>
        <v>0.32827499999999993</v>
      </c>
      <c r="AT100" s="360">
        <f t="shared" si="122"/>
        <v>3.0358703194735881</v>
      </c>
      <c r="AU100">
        <f t="shared" si="111"/>
        <v>54.6</v>
      </c>
      <c r="AV100" s="542">
        <f t="shared" si="123"/>
        <v>0.94732672027600406</v>
      </c>
      <c r="AW100" s="551">
        <f t="shared" si="112"/>
        <v>23.139200339439558</v>
      </c>
      <c r="AX100" s="551">
        <f t="shared" si="113"/>
        <v>19.964831793988573</v>
      </c>
      <c r="AY100" s="9"/>
      <c r="AZ100" s="4">
        <f t="shared" si="124"/>
        <v>94.732672027600401</v>
      </c>
      <c r="BA100" s="360">
        <f t="shared" si="114"/>
        <v>0.98177359014231591</v>
      </c>
      <c r="BB100" s="360">
        <f t="shared" si="125"/>
        <v>1.139722035090214</v>
      </c>
      <c r="BC100" s="360">
        <f t="shared" si="126"/>
        <v>0.60892632472209363</v>
      </c>
      <c r="BD100" s="360">
        <f t="shared" si="127"/>
        <v>0.52539031036812034</v>
      </c>
      <c r="BE100" s="360">
        <f t="shared" si="128"/>
        <v>0.50570022229183498</v>
      </c>
      <c r="BK100" s="18"/>
      <c r="BL100" s="19"/>
    </row>
    <row r="101" spans="7:64" x14ac:dyDescent="0.25">
      <c r="G101">
        <v>92</v>
      </c>
      <c r="H101" s="548">
        <f t="shared" si="82"/>
        <v>45</v>
      </c>
      <c r="I101" s="4">
        <f t="shared" si="83"/>
        <v>2</v>
      </c>
      <c r="J101" s="360">
        <f t="shared" si="115"/>
        <v>11.04</v>
      </c>
      <c r="K101" s="4">
        <f t="shared" si="84"/>
        <v>1.3629629629629629</v>
      </c>
      <c r="L101" s="4"/>
      <c r="M101" s="360">
        <f t="shared" si="85"/>
        <v>0.11265969158690527</v>
      </c>
      <c r="N101" s="4">
        <f t="shared" si="86"/>
        <v>9.2824509721692081</v>
      </c>
      <c r="O101" s="4">
        <f t="shared" si="116"/>
        <v>15.681225486084603</v>
      </c>
      <c r="P101" s="4">
        <f t="shared" si="117"/>
        <v>6.3987745139153951</v>
      </c>
      <c r="Q101" s="4">
        <f t="shared" si="87"/>
        <v>0</v>
      </c>
      <c r="R101" s="4">
        <f t="shared" si="88"/>
        <v>11.36054244615519</v>
      </c>
      <c r="S101" s="360">
        <f t="shared" si="89"/>
        <v>0.64530962335446873</v>
      </c>
      <c r="T101" s="360">
        <f t="shared" si="90"/>
        <v>0.3</v>
      </c>
      <c r="U101" s="360">
        <f t="shared" si="91"/>
        <v>0.99676751703358146</v>
      </c>
      <c r="V101" s="4">
        <f t="shared" si="118"/>
        <v>2.6796127837606978</v>
      </c>
      <c r="W101" s="360">
        <f t="shared" si="92"/>
        <v>1.4360649341787513E-2</v>
      </c>
      <c r="X101" s="360">
        <f t="shared" si="119"/>
        <v>1.4360649341787513E-2</v>
      </c>
      <c r="Y101" s="4">
        <f t="shared" si="93"/>
        <v>3.5919348658290287</v>
      </c>
      <c r="Z101" s="360">
        <f t="shared" si="120"/>
        <v>1.9352994120537304E-2</v>
      </c>
      <c r="AA101" s="541">
        <f t="shared" si="121"/>
        <v>1.9352994120537304E-2</v>
      </c>
      <c r="AB101" s="360">
        <f t="shared" si="94"/>
        <v>3.8131452410097482</v>
      </c>
      <c r="AC101" s="360">
        <f t="shared" si="95"/>
        <v>8.7240459774211743E-2</v>
      </c>
      <c r="AD101" s="360">
        <f t="shared" si="96"/>
        <v>0.19985108073350794</v>
      </c>
      <c r="AE101" s="360">
        <f t="shared" si="97"/>
        <v>-3.4229250000000003E-2</v>
      </c>
      <c r="AF101" s="360">
        <f t="shared" si="98"/>
        <v>0</v>
      </c>
      <c r="AG101" s="360">
        <f t="shared" si="99"/>
        <v>0.25626044492132549</v>
      </c>
      <c r="AH101" s="360">
        <f t="shared" si="100"/>
        <v>10.701488122773322</v>
      </c>
      <c r="AI101" s="360">
        <f t="shared" si="101"/>
        <v>0.28630462010464619</v>
      </c>
      <c r="AJ101" s="360">
        <f t="shared" si="102"/>
        <v>4.7604479999999998E-2</v>
      </c>
      <c r="AK101" s="360">
        <f t="shared" si="103"/>
        <v>0.3541903678468708</v>
      </c>
      <c r="AL101" s="360">
        <f t="shared" si="104"/>
        <v>4.7604479999999998E-2</v>
      </c>
      <c r="AM101" s="360">
        <f t="shared" si="105"/>
        <v>0.54647999999999997</v>
      </c>
      <c r="AN101" s="360">
        <f t="shared" si="106"/>
        <v>0.51624769868357501</v>
      </c>
      <c r="AO101" s="360">
        <f t="shared" si="107"/>
        <v>1.5749999999999998E-3</v>
      </c>
      <c r="AP101" s="360">
        <f t="shared" si="108"/>
        <v>0.32669999999999993</v>
      </c>
      <c r="AQ101" s="360">
        <f t="shared" si="109"/>
        <v>0.31218000000000001</v>
      </c>
      <c r="AR101" s="360">
        <f t="shared" si="110"/>
        <v>0.29039999999999999</v>
      </c>
      <c r="AS101" s="360">
        <f t="shared" si="129"/>
        <v>0.32827499999999993</v>
      </c>
      <c r="AT101" s="360">
        <f t="shared" si="122"/>
        <v>3.0795391519476776</v>
      </c>
      <c r="AU101">
        <f t="shared" si="111"/>
        <v>55.199999999999996</v>
      </c>
      <c r="AV101" s="542">
        <f t="shared" si="123"/>
        <v>0.94715917118152504</v>
      </c>
      <c r="AW101" s="551">
        <f t="shared" si="112"/>
        <v>23.443615307010369</v>
      </c>
      <c r="AX101" s="551">
        <f t="shared" si="113"/>
        <v>20.312093178181094</v>
      </c>
      <c r="AY101" s="9"/>
      <c r="AZ101" s="4">
        <f t="shared" si="124"/>
        <v>94.715917118152504</v>
      </c>
      <c r="BA101" s="360">
        <f t="shared" si="114"/>
        <v>0.99676751703358146</v>
      </c>
      <c r="BB101" s="360">
        <f t="shared" si="125"/>
        <v>1.1569308127681963</v>
      </c>
      <c r="BC101" s="360">
        <f t="shared" si="126"/>
        <v>0.61693724492132551</v>
      </c>
      <c r="BD101" s="360">
        <f t="shared" si="127"/>
        <v>0.53452876784687087</v>
      </c>
      <c r="BE101" s="360">
        <f t="shared" si="128"/>
        <v>0.51624769868357501</v>
      </c>
      <c r="BK101" s="18"/>
      <c r="BL101" s="19"/>
    </row>
    <row r="102" spans="7:64" x14ac:dyDescent="0.25">
      <c r="G102">
        <v>93</v>
      </c>
      <c r="H102" s="548">
        <f t="shared" si="82"/>
        <v>45</v>
      </c>
      <c r="I102" s="4">
        <f t="shared" si="83"/>
        <v>2</v>
      </c>
      <c r="J102" s="360">
        <f t="shared" si="115"/>
        <v>11.16</v>
      </c>
      <c r="K102" s="4">
        <f t="shared" si="84"/>
        <v>1.3777777777777778</v>
      </c>
      <c r="L102" s="4"/>
      <c r="M102" s="360">
        <f t="shared" si="85"/>
        <v>0.11267651480463371</v>
      </c>
      <c r="N102" s="4">
        <f t="shared" si="86"/>
        <v>9.2835298000577104</v>
      </c>
      <c r="O102" s="4">
        <f t="shared" si="116"/>
        <v>15.801764900028855</v>
      </c>
      <c r="P102" s="4">
        <f t="shared" si="117"/>
        <v>6.5182350999711449</v>
      </c>
      <c r="Q102" s="4">
        <f t="shared" si="87"/>
        <v>0</v>
      </c>
      <c r="R102" s="4">
        <f t="shared" si="88"/>
        <v>11.477264212159328</v>
      </c>
      <c r="S102" s="360">
        <f t="shared" si="89"/>
        <v>0.65863796897856641</v>
      </c>
      <c r="T102" s="360">
        <f t="shared" si="90"/>
        <v>0.3</v>
      </c>
      <c r="U102" s="360">
        <f t="shared" si="91"/>
        <v>1.0119591463245239</v>
      </c>
      <c r="V102" s="4">
        <f t="shared" si="118"/>
        <v>2.6799242145466162</v>
      </c>
      <c r="W102" s="360">
        <f t="shared" si="92"/>
        <v>1.4363987591426597E-2</v>
      </c>
      <c r="X102" s="360">
        <f t="shared" si="119"/>
        <v>1.4363987591426597E-2</v>
      </c>
      <c r="Y102" s="4">
        <f t="shared" si="93"/>
        <v>3.6290760584983963</v>
      </c>
      <c r="Z102" s="360">
        <f t="shared" si="120"/>
        <v>1.9755289557549384E-2</v>
      </c>
      <c r="AA102" s="541">
        <f t="shared" si="121"/>
        <v>1.9755289557549384E-2</v>
      </c>
      <c r="AB102" s="360">
        <f t="shared" si="94"/>
        <v>3.8526103063379593</v>
      </c>
      <c r="AC102" s="360">
        <f t="shared" si="95"/>
        <v>8.9055637035008794E-2</v>
      </c>
      <c r="AD102" s="360">
        <f t="shared" si="96"/>
        <v>0.20202337508930696</v>
      </c>
      <c r="AE102" s="360">
        <f t="shared" si="97"/>
        <v>-3.4229250000000003E-2</v>
      </c>
      <c r="AF102" s="360">
        <f t="shared" si="98"/>
        <v>0</v>
      </c>
      <c r="AG102" s="360">
        <f t="shared" si="99"/>
        <v>0.26037430769996073</v>
      </c>
      <c r="AH102" s="360">
        <f t="shared" si="100"/>
        <v>10.811336070218696</v>
      </c>
      <c r="AI102" s="360">
        <f t="shared" si="101"/>
        <v>0.29221246905802956</v>
      </c>
      <c r="AJ102" s="360">
        <f t="shared" si="102"/>
        <v>4.8121919999999999E-2</v>
      </c>
      <c r="AK102" s="360">
        <f t="shared" si="103"/>
        <v>0.36145895160006597</v>
      </c>
      <c r="AL102" s="360">
        <f t="shared" si="104"/>
        <v>4.8121919999999999E-2</v>
      </c>
      <c r="AM102" s="360">
        <f t="shared" si="105"/>
        <v>0.55241999999999991</v>
      </c>
      <c r="AN102" s="360">
        <f t="shared" si="106"/>
        <v>0.52691037518285322</v>
      </c>
      <c r="AO102" s="360">
        <f t="shared" si="107"/>
        <v>1.5749999999999998E-3</v>
      </c>
      <c r="AP102" s="360">
        <f t="shared" si="108"/>
        <v>0.32669999999999993</v>
      </c>
      <c r="AQ102" s="360">
        <f t="shared" si="109"/>
        <v>0.31218000000000001</v>
      </c>
      <c r="AR102" s="360">
        <f t="shared" si="110"/>
        <v>0.29039999999999999</v>
      </c>
      <c r="AS102" s="360">
        <f t="shared" si="129"/>
        <v>0.32827499999999993</v>
      </c>
      <c r="AT102" s="360">
        <f t="shared" si="122"/>
        <v>3.1236389779563796</v>
      </c>
      <c r="AU102">
        <f t="shared" si="111"/>
        <v>55.8</v>
      </c>
      <c r="AV102" s="542">
        <f t="shared" si="123"/>
        <v>0.94698835591052088</v>
      </c>
      <c r="AW102" s="551">
        <f t="shared" si="112"/>
        <v>23.748917292598506</v>
      </c>
      <c r="AX102" s="551">
        <f t="shared" si="113"/>
        <v>20.662786960802503</v>
      </c>
      <c r="AY102" s="9"/>
      <c r="AZ102" s="4">
        <f t="shared" si="124"/>
        <v>94.698835591052088</v>
      </c>
      <c r="BA102" s="360">
        <f t="shared" si="114"/>
        <v>1.0119591463245239</v>
      </c>
      <c r="BB102" s="360">
        <f t="shared" si="125"/>
        <v>1.1742532593000266</v>
      </c>
      <c r="BC102" s="360">
        <f t="shared" si="126"/>
        <v>0.62497150769996068</v>
      </c>
      <c r="BD102" s="360">
        <f t="shared" si="127"/>
        <v>0.54375755160006589</v>
      </c>
      <c r="BE102" s="360">
        <f t="shared" si="128"/>
        <v>0.52691037518285322</v>
      </c>
      <c r="BK102" s="18"/>
      <c r="BL102" s="19"/>
    </row>
    <row r="103" spans="7:64" x14ac:dyDescent="0.25">
      <c r="G103">
        <v>94</v>
      </c>
      <c r="H103" s="548">
        <f t="shared" si="82"/>
        <v>45</v>
      </c>
      <c r="I103" s="4">
        <f t="shared" si="83"/>
        <v>2</v>
      </c>
      <c r="J103" s="360">
        <f t="shared" si="115"/>
        <v>11.28</v>
      </c>
      <c r="K103" s="4">
        <f t="shared" si="84"/>
        <v>1.3925925925925926</v>
      </c>
      <c r="L103" s="4"/>
      <c r="M103" s="360">
        <f t="shared" si="85"/>
        <v>0.1126933378250785</v>
      </c>
      <c r="N103" s="4">
        <f t="shared" si="86"/>
        <v>9.284608519929348</v>
      </c>
      <c r="O103" s="4">
        <f t="shared" si="116"/>
        <v>15.922304259964672</v>
      </c>
      <c r="P103" s="4">
        <f t="shared" si="117"/>
        <v>6.6376957400353254</v>
      </c>
      <c r="Q103" s="4">
        <f t="shared" si="87"/>
        <v>0</v>
      </c>
      <c r="R103" s="4">
        <f t="shared" si="88"/>
        <v>11.594052912910223</v>
      </c>
      <c r="S103" s="360">
        <f t="shared" si="89"/>
        <v>0.67211031473681015</v>
      </c>
      <c r="T103" s="360">
        <f t="shared" si="90"/>
        <v>0.3</v>
      </c>
      <c r="U103" s="360">
        <f t="shared" si="91"/>
        <v>1.0273497012193125</v>
      </c>
      <c r="V103" s="4">
        <f t="shared" si="118"/>
        <v>2.6802356141507513</v>
      </c>
      <c r="W103" s="360">
        <f t="shared" si="92"/>
        <v>1.4367325894724109E-2</v>
      </c>
      <c r="X103" s="360">
        <f t="shared" si="119"/>
        <v>1.4367325894724109E-2</v>
      </c>
      <c r="Y103" s="4">
        <f t="shared" si="93"/>
        <v>3.666243199307861</v>
      </c>
      <c r="Z103" s="360">
        <f t="shared" si="120"/>
        <v>2.0162008794706712E-2</v>
      </c>
      <c r="AA103" s="541">
        <f t="shared" si="121"/>
        <v>2.0162008794706712E-2</v>
      </c>
      <c r="AB103" s="360">
        <f t="shared" si="94"/>
        <v>3.8921036665113427</v>
      </c>
      <c r="AC103" s="360">
        <f t="shared" si="95"/>
        <v>9.0890825705226219E-2</v>
      </c>
      <c r="AD103" s="360">
        <f t="shared" si="96"/>
        <v>0.20419566944510592</v>
      </c>
      <c r="AE103" s="360">
        <f t="shared" si="97"/>
        <v>-3.4229250000000003E-2</v>
      </c>
      <c r="AF103" s="360">
        <f t="shared" si="98"/>
        <v>0</v>
      </c>
      <c r="AG103" s="360">
        <f t="shared" si="99"/>
        <v>0.26451157988783119</v>
      </c>
      <c r="AH103" s="360">
        <f t="shared" si="100"/>
        <v>10.92124498381439</v>
      </c>
      <c r="AI103" s="360">
        <f t="shared" si="101"/>
        <v>0.29818397999122742</v>
      </c>
      <c r="AJ103" s="360">
        <f t="shared" si="102"/>
        <v>4.8639359999999993E-2</v>
      </c>
      <c r="AK103" s="360">
        <f t="shared" si="103"/>
        <v>0.36881849323251514</v>
      </c>
      <c r="AL103" s="360">
        <f t="shared" si="104"/>
        <v>4.8639359999999993E-2</v>
      </c>
      <c r="AM103" s="360">
        <f t="shared" si="105"/>
        <v>0.55835999999999997</v>
      </c>
      <c r="AN103" s="360">
        <f t="shared" si="106"/>
        <v>0.53768825178944812</v>
      </c>
      <c r="AO103" s="360">
        <f t="shared" si="107"/>
        <v>1.5749999999999998E-3</v>
      </c>
      <c r="AP103" s="360">
        <f t="shared" si="108"/>
        <v>0.32669999999999993</v>
      </c>
      <c r="AQ103" s="360">
        <f t="shared" si="109"/>
        <v>0.31218000000000001</v>
      </c>
      <c r="AR103" s="360">
        <f t="shared" si="110"/>
        <v>0.29039999999999999</v>
      </c>
      <c r="AS103" s="360">
        <f t="shared" si="129"/>
        <v>0.32827499999999993</v>
      </c>
      <c r="AT103" s="360">
        <f t="shared" si="122"/>
        <v>3.1681717208185378</v>
      </c>
      <c r="AU103">
        <f t="shared" si="111"/>
        <v>56.4</v>
      </c>
      <c r="AV103" s="542">
        <f t="shared" si="123"/>
        <v>0.94681435354996324</v>
      </c>
      <c r="AW103" s="551">
        <f t="shared" si="112"/>
        <v>24.055108835737585</v>
      </c>
      <c r="AX103" s="551">
        <f t="shared" si="113"/>
        <v>21.016937142835577</v>
      </c>
      <c r="AY103" s="9"/>
      <c r="AZ103" s="4">
        <f t="shared" si="124"/>
        <v>94.681435354996324</v>
      </c>
      <c r="BA103" s="360">
        <f t="shared" si="114"/>
        <v>1.0273497012193125</v>
      </c>
      <c r="BB103" s="360">
        <f t="shared" si="125"/>
        <v>1.1916900731203464</v>
      </c>
      <c r="BC103" s="360">
        <f t="shared" si="126"/>
        <v>0.63302917988783114</v>
      </c>
      <c r="BD103" s="360">
        <f t="shared" si="127"/>
        <v>0.5530772932325152</v>
      </c>
      <c r="BE103" s="360">
        <f t="shared" si="128"/>
        <v>0.53768825178944812</v>
      </c>
      <c r="BK103" s="18"/>
      <c r="BL103" s="19"/>
    </row>
    <row r="104" spans="7:64" x14ac:dyDescent="0.25">
      <c r="G104">
        <v>95</v>
      </c>
      <c r="H104" s="548">
        <f t="shared" si="82"/>
        <v>45</v>
      </c>
      <c r="I104" s="4">
        <f t="shared" si="83"/>
        <v>2</v>
      </c>
      <c r="J104" s="360">
        <f t="shared" si="115"/>
        <v>11.4</v>
      </c>
      <c r="K104" s="4">
        <f t="shared" si="84"/>
        <v>1.4074074074074074</v>
      </c>
      <c r="L104" s="4"/>
      <c r="M104" s="360">
        <f t="shared" si="85"/>
        <v>0.11271016064824316</v>
      </c>
      <c r="N104" s="4">
        <f t="shared" si="86"/>
        <v>9.285687131786025</v>
      </c>
      <c r="O104" s="4">
        <f t="shared" si="116"/>
        <v>16.042843565893012</v>
      </c>
      <c r="P104" s="4">
        <f t="shared" si="117"/>
        <v>6.7571564341069879</v>
      </c>
      <c r="Q104" s="4">
        <f t="shared" si="87"/>
        <v>0</v>
      </c>
      <c r="R104" s="4">
        <f t="shared" si="88"/>
        <v>11.710906545856504</v>
      </c>
      <c r="S104" s="360">
        <f t="shared" si="89"/>
        <v>0.68572666062892373</v>
      </c>
      <c r="T104" s="360">
        <f t="shared" si="90"/>
        <v>0.3</v>
      </c>
      <c r="U104" s="360">
        <f t="shared" si="91"/>
        <v>1.0429404250196124</v>
      </c>
      <c r="V104" s="4">
        <f t="shared" si="118"/>
        <v>2.6805469825736528</v>
      </c>
      <c r="W104" s="360">
        <f t="shared" si="92"/>
        <v>1.437066425156943E-2</v>
      </c>
      <c r="X104" s="360">
        <f t="shared" si="119"/>
        <v>1.437066425156943E-2</v>
      </c>
      <c r="Y104" s="4">
        <f t="shared" si="93"/>
        <v>3.7034356582493118</v>
      </c>
      <c r="Z104" s="360">
        <f t="shared" si="120"/>
        <v>2.0573153512188771E-2</v>
      </c>
      <c r="AA104" s="541">
        <f t="shared" si="121"/>
        <v>2.0573153512188771E-2</v>
      </c>
      <c r="AB104" s="360">
        <f t="shared" si="94"/>
        <v>3.9316246535057058</v>
      </c>
      <c r="AC104" s="360">
        <f t="shared" si="95"/>
        <v>9.2746034496323168E-2</v>
      </c>
      <c r="AD104" s="360">
        <f t="shared" si="96"/>
        <v>0.20636796380090494</v>
      </c>
      <c r="AE104" s="360">
        <f t="shared" si="97"/>
        <v>-3.4229250000000003E-2</v>
      </c>
      <c r="AF104" s="360">
        <f t="shared" si="98"/>
        <v>0</v>
      </c>
      <c r="AG104" s="360">
        <f t="shared" si="99"/>
        <v>0.26867232884528053</v>
      </c>
      <c r="AH104" s="360">
        <f t="shared" si="100"/>
        <v>11.031212975449748</v>
      </c>
      <c r="AI104" s="360">
        <f t="shared" si="101"/>
        <v>0.30421914927432719</v>
      </c>
      <c r="AJ104" s="360">
        <f t="shared" si="102"/>
        <v>4.91568E-2</v>
      </c>
      <c r="AK104" s="360">
        <f t="shared" si="103"/>
        <v>0.37626963492101367</v>
      </c>
      <c r="AL104" s="360">
        <f t="shared" si="104"/>
        <v>4.91568E-2</v>
      </c>
      <c r="AM104" s="360">
        <f t="shared" si="105"/>
        <v>0.56429999999999991</v>
      </c>
      <c r="AN104" s="360">
        <f t="shared" si="106"/>
        <v>0.5485813285031389</v>
      </c>
      <c r="AO104" s="360">
        <f t="shared" si="107"/>
        <v>1.5749999999999998E-3</v>
      </c>
      <c r="AP104" s="360">
        <f t="shared" si="108"/>
        <v>0.32669999999999993</v>
      </c>
      <c r="AQ104" s="360">
        <f t="shared" si="109"/>
        <v>0.31218000000000001</v>
      </c>
      <c r="AR104" s="360">
        <f t="shared" si="110"/>
        <v>0.29039999999999999</v>
      </c>
      <c r="AS104" s="360">
        <f t="shared" si="129"/>
        <v>0.32827499999999993</v>
      </c>
      <c r="AT104" s="360">
        <f t="shared" si="122"/>
        <v>3.2131393350528037</v>
      </c>
      <c r="AU104">
        <f t="shared" si="111"/>
        <v>57</v>
      </c>
      <c r="AV104" s="542">
        <f t="shared" si="123"/>
        <v>0.94663723947071654</v>
      </c>
      <c r="AW104" s="551">
        <f t="shared" si="112"/>
        <v>24.362192496120656</v>
      </c>
      <c r="AX104" s="551">
        <f t="shared" si="113"/>
        <v>21.374568126998518</v>
      </c>
      <c r="AY104" s="9"/>
      <c r="AZ104" s="4">
        <f t="shared" si="124"/>
        <v>94.663723947071659</v>
      </c>
      <c r="BA104" s="360">
        <f t="shared" si="114"/>
        <v>1.0429404250196124</v>
      </c>
      <c r="BB104" s="360">
        <f t="shared" si="125"/>
        <v>1.2092419637662941</v>
      </c>
      <c r="BC104" s="360">
        <f t="shared" si="126"/>
        <v>0.64111032884528041</v>
      </c>
      <c r="BD104" s="360">
        <f t="shared" si="127"/>
        <v>0.56248863492101364</v>
      </c>
      <c r="BE104" s="360">
        <f t="shared" si="128"/>
        <v>0.5485813285031389</v>
      </c>
      <c r="BK104" s="18"/>
      <c r="BL104" s="19"/>
    </row>
    <row r="105" spans="7:64" x14ac:dyDescent="0.25">
      <c r="G105">
        <v>96</v>
      </c>
      <c r="H105" s="548">
        <f t="shared" si="82"/>
        <v>45</v>
      </c>
      <c r="I105" s="4">
        <f t="shared" si="83"/>
        <v>2</v>
      </c>
      <c r="J105" s="360">
        <f t="shared" si="115"/>
        <v>11.52</v>
      </c>
      <c r="K105" s="4">
        <f t="shared" ref="K105:K109" si="130">Vout2*J105/(Vin*Efficiency)</f>
        <v>1.4222222222222221</v>
      </c>
      <c r="L105" s="4"/>
      <c r="M105" s="360">
        <f t="shared" si="85"/>
        <v>0.11272698327413112</v>
      </c>
      <c r="N105" s="4">
        <f t="shared" ref="N105:N109" si="131">(Vin-(Rdson3+Rdcr2)*J105-Vout2)*M105/(Fsw*Lo_2)</f>
        <v>9.2867656356296422</v>
      </c>
      <c r="O105" s="4">
        <f t="shared" si="116"/>
        <v>16.163382817814821</v>
      </c>
      <c r="P105" s="4">
        <f t="shared" si="117"/>
        <v>6.8766171821851785</v>
      </c>
      <c r="Q105" s="4">
        <f t="shared" ref="Q105:Q109" si="132">IF(MIN(Vin, -P105/(Coss_Q3+Coss_Q4)*0.00000002)&lt;0, 0, MIN(Vin, -P105/(Coss_Q3+Coss_Q4)*0.00000002))</f>
        <v>0</v>
      </c>
      <c r="R105" s="4">
        <f t="shared" si="88"/>
        <v>11.827823186492346</v>
      </c>
      <c r="S105" s="360">
        <f t="shared" ref="S105:S109" si="133">R105^2*Rdcr2</f>
        <v>0.69948700665462971</v>
      </c>
      <c r="T105" s="360">
        <f t="shared" si="90"/>
        <v>0.3</v>
      </c>
      <c r="U105" s="360">
        <f t="shared" ref="U105:U109" si="134">(T105+S105*(1+Ltc*(Ta-25)))/(1-S105*Ltc*ThetaCa)</f>
        <v>1.0587325813910247</v>
      </c>
      <c r="V105" s="4">
        <f t="shared" si="118"/>
        <v>2.68085831981587</v>
      </c>
      <c r="W105" s="360">
        <f t="shared" ref="W105:W109" si="135">Cout2_ESR*V105^2</f>
        <v>1.437400266185194E-2</v>
      </c>
      <c r="X105" s="360">
        <f t="shared" si="119"/>
        <v>1.437400266185194E-2</v>
      </c>
      <c r="Y105" s="4">
        <f t="shared" si="93"/>
        <v>3.7406528298314492</v>
      </c>
      <c r="Z105" s="360">
        <f t="shared" si="120"/>
        <v>2.0988725389989044E-2</v>
      </c>
      <c r="AA105" s="541">
        <f t="shared" si="121"/>
        <v>2.0988725389989044E-2</v>
      </c>
      <c r="AB105" s="360">
        <f t="shared" si="94"/>
        <v>3.9711726252991948</v>
      </c>
      <c r="AC105" s="360">
        <f t="shared" ref="AC105:AC109" si="136">Rdson3*AB105^2</f>
        <v>9.4621272119554192E-2</v>
      </c>
      <c r="AD105" s="360">
        <f t="shared" si="96"/>
        <v>0.20854025815670396</v>
      </c>
      <c r="AE105" s="360">
        <f t="shared" si="97"/>
        <v>-3.4229250000000003E-2</v>
      </c>
      <c r="AF105" s="360">
        <f t="shared" si="98"/>
        <v>0</v>
      </c>
      <c r="AG105" s="360">
        <f t="shared" ref="AG105:AG109" si="137">(AF105+AE105+AD105+AC105*(1+RdsonTopTc*Ta-RdsonTopTc*25))/(1-AC105*RdsonTopTc*ThetaJA_Q2)</f>
        <v>0.27285662246630721</v>
      </c>
      <c r="AH105" s="360">
        <f t="shared" si="100"/>
        <v>11.141238230600772</v>
      </c>
      <c r="AI105" s="360">
        <f t="shared" ref="AI105:AI109" si="138">Rdson4*AH105^2</f>
        <v>0.31031797327750055</v>
      </c>
      <c r="AJ105" s="360">
        <f t="shared" si="102"/>
        <v>4.9674239999999995E-2</v>
      </c>
      <c r="AK105" s="360">
        <f t="shared" ref="AK105:AK109" si="139">(AJ105+AI105*(1+RdsonBotTc*Ta-RdsonBotTc*25))/(1-AI105*RdsonBotTc*ThetaJA_Q3)</f>
        <v>0.38381302956811553</v>
      </c>
      <c r="AL105" s="360">
        <f t="shared" si="104"/>
        <v>4.9674239999999995E-2</v>
      </c>
      <c r="AM105" s="360">
        <f t="shared" si="105"/>
        <v>0.57023999999999997</v>
      </c>
      <c r="AN105" s="360">
        <f t="shared" si="106"/>
        <v>0.55958960532370372</v>
      </c>
      <c r="AO105" s="360">
        <f t="shared" si="107"/>
        <v>1.5749999999999998E-3</v>
      </c>
      <c r="AP105" s="360">
        <f t="shared" si="108"/>
        <v>0.32669999999999993</v>
      </c>
      <c r="AQ105" s="360">
        <f t="shared" si="109"/>
        <v>0.31218000000000001</v>
      </c>
      <c r="AR105" s="360">
        <f t="shared" si="110"/>
        <v>0.29039999999999999</v>
      </c>
      <c r="AS105" s="360">
        <f t="shared" si="129"/>
        <v>0.32827499999999993</v>
      </c>
      <c r="AT105" s="360">
        <f t="shared" si="122"/>
        <v>3.2585438068009918</v>
      </c>
      <c r="AU105">
        <f t="shared" si="111"/>
        <v>57.599999999999994</v>
      </c>
      <c r="AV105" s="542">
        <f t="shared" si="123"/>
        <v>0.94645708551381991</v>
      </c>
      <c r="AW105" s="551">
        <f t="shared" si="112"/>
        <v>24.670170853719672</v>
      </c>
      <c r="AX105" s="551">
        <f t="shared" si="113"/>
        <v>21.735704723588388</v>
      </c>
      <c r="AY105" s="9"/>
      <c r="AZ105" s="4">
        <f t="shared" si="124"/>
        <v>94.645708551381986</v>
      </c>
      <c r="BA105" s="360">
        <f t="shared" si="114"/>
        <v>1.0587325813910247</v>
      </c>
      <c r="BB105" s="360">
        <f t="shared" si="125"/>
        <v>1.2269096520344227</v>
      </c>
      <c r="BC105" s="360">
        <f t="shared" si="126"/>
        <v>0.64921502246630713</v>
      </c>
      <c r="BD105" s="360">
        <f t="shared" si="127"/>
        <v>0.57199222956811546</v>
      </c>
      <c r="BE105" s="360">
        <f t="shared" si="128"/>
        <v>0.55958960532370372</v>
      </c>
      <c r="BK105" s="18"/>
      <c r="BL105" s="19"/>
    </row>
    <row r="106" spans="7:64" x14ac:dyDescent="0.25">
      <c r="G106">
        <v>97</v>
      </c>
      <c r="H106" s="548">
        <f t="shared" si="82"/>
        <v>45</v>
      </c>
      <c r="I106" s="4">
        <f t="shared" si="83"/>
        <v>2</v>
      </c>
      <c r="J106" s="360">
        <f t="shared" si="115"/>
        <v>11.64</v>
      </c>
      <c r="K106" s="4">
        <f t="shared" si="130"/>
        <v>1.4370370370370371</v>
      </c>
      <c r="L106" s="4"/>
      <c r="M106" s="360">
        <f t="shared" si="85"/>
        <v>0.11274380570274588</v>
      </c>
      <c r="N106" s="4">
        <f t="shared" si="131"/>
        <v>9.2878440314620985</v>
      </c>
      <c r="O106" s="4">
        <f t="shared" si="116"/>
        <v>16.283922015731051</v>
      </c>
      <c r="P106" s="4">
        <f t="shared" si="117"/>
        <v>6.9960779842689513</v>
      </c>
      <c r="Q106" s="4">
        <f t="shared" si="132"/>
        <v>0</v>
      </c>
      <c r="R106" s="4">
        <f t="shared" si="88"/>
        <v>11.944800984643091</v>
      </c>
      <c r="S106" s="360">
        <f t="shared" si="133"/>
        <v>0.71339135281365285</v>
      </c>
      <c r="T106" s="360">
        <f t="shared" si="90"/>
        <v>0.3</v>
      </c>
      <c r="U106" s="360">
        <f t="shared" si="134"/>
        <v>1.0747274546351016</v>
      </c>
      <c r="V106" s="4">
        <f t="shared" si="118"/>
        <v>2.6811696258779509</v>
      </c>
      <c r="W106" s="360">
        <f t="shared" si="135"/>
        <v>1.4377341125461022E-2</v>
      </c>
      <c r="X106" s="360">
        <f t="shared" si="119"/>
        <v>1.4377341125461022E-2</v>
      </c>
      <c r="Y106" s="4">
        <f t="shared" si="93"/>
        <v>3.7778941319130981</v>
      </c>
      <c r="Z106" s="360">
        <f t="shared" si="120"/>
        <v>2.1408726107915131E-2</v>
      </c>
      <c r="AA106" s="541">
        <f t="shared" si="121"/>
        <v>2.1408726107915131E-2</v>
      </c>
      <c r="AB106" s="360">
        <f t="shared" si="94"/>
        <v>4.0107469646349294</v>
      </c>
      <c r="AC106" s="360">
        <f t="shared" si="136"/>
        <v>9.6516547285969798E-2</v>
      </c>
      <c r="AD106" s="360">
        <f t="shared" si="96"/>
        <v>0.21071255251250298</v>
      </c>
      <c r="AE106" s="360">
        <f t="shared" si="97"/>
        <v>-3.4229250000000003E-2</v>
      </c>
      <c r="AF106" s="360">
        <f t="shared" si="98"/>
        <v>0</v>
      </c>
      <c r="AG106" s="360">
        <f t="shared" si="137"/>
        <v>0.27706452918174207</v>
      </c>
      <c r="AH106" s="360">
        <f t="shared" si="100"/>
        <v>11.251319004827934</v>
      </c>
      <c r="AI106" s="360">
        <f t="shared" si="138"/>
        <v>0.31648044837100564</v>
      </c>
      <c r="AJ106" s="360">
        <f t="shared" si="102"/>
        <v>5.0191680000000002E-2</v>
      </c>
      <c r="AK106" s="360">
        <f t="shared" si="139"/>
        <v>0.39144934095927059</v>
      </c>
      <c r="AL106" s="360">
        <f t="shared" si="104"/>
        <v>5.0191680000000002E-2</v>
      </c>
      <c r="AM106" s="360">
        <f t="shared" si="105"/>
        <v>0.57618000000000003</v>
      </c>
      <c r="AN106" s="360">
        <f t="shared" si="106"/>
        <v>0.57071308225092232</v>
      </c>
      <c r="AO106" s="360">
        <f t="shared" si="107"/>
        <v>1.5749999999999998E-3</v>
      </c>
      <c r="AP106" s="360">
        <f t="shared" si="108"/>
        <v>0.32669999999999993</v>
      </c>
      <c r="AQ106" s="360">
        <f t="shared" si="109"/>
        <v>0.31218000000000001</v>
      </c>
      <c r="AR106" s="360">
        <f t="shared" si="110"/>
        <v>0.29039999999999999</v>
      </c>
      <c r="AS106" s="360">
        <f t="shared" si="129"/>
        <v>0.32827499999999993</v>
      </c>
      <c r="AT106" s="360">
        <f t="shared" si="122"/>
        <v>3.3043871542604126</v>
      </c>
      <c r="AU106">
        <f t="shared" si="111"/>
        <v>58.2</v>
      </c>
      <c r="AV106" s="542">
        <f t="shared" si="123"/>
        <v>0.94627396016527066</v>
      </c>
      <c r="AW106" s="551">
        <f t="shared" si="112"/>
        <v>24.979046508906201</v>
      </c>
      <c r="AX106" s="551">
        <f t="shared" si="113"/>
        <v>22.100372156452284</v>
      </c>
      <c r="AY106" s="9"/>
      <c r="AZ106" s="4">
        <f t="shared" si="124"/>
        <v>94.627396016527072</v>
      </c>
      <c r="BA106" s="360">
        <f t="shared" si="114"/>
        <v>1.0747274546351016</v>
      </c>
      <c r="BB106" s="360">
        <f t="shared" si="125"/>
        <v>1.2446938701410128</v>
      </c>
      <c r="BC106" s="360">
        <f t="shared" si="126"/>
        <v>0.6573433291817421</v>
      </c>
      <c r="BD106" s="360">
        <f t="shared" si="127"/>
        <v>0.5815887409592706</v>
      </c>
      <c r="BE106" s="360">
        <f t="shared" si="128"/>
        <v>0.57071308225092232</v>
      </c>
      <c r="BK106" s="18"/>
      <c r="BL106" s="19"/>
    </row>
    <row r="107" spans="7:64" x14ac:dyDescent="0.25">
      <c r="G107">
        <v>98</v>
      </c>
      <c r="H107" s="548">
        <f t="shared" si="82"/>
        <v>45</v>
      </c>
      <c r="I107" s="4">
        <f t="shared" si="83"/>
        <v>2</v>
      </c>
      <c r="J107" s="360">
        <f t="shared" si="115"/>
        <v>11.76</v>
      </c>
      <c r="K107" s="4">
        <f t="shared" si="130"/>
        <v>1.4518518518518517</v>
      </c>
      <c r="L107" s="4"/>
      <c r="M107" s="360">
        <f t="shared" si="85"/>
        <v>0.11276062793409086</v>
      </c>
      <c r="N107" s="4">
        <f t="shared" si="131"/>
        <v>9.2889223192852892</v>
      </c>
      <c r="O107" s="4">
        <f t="shared" si="116"/>
        <v>16.404461159642644</v>
      </c>
      <c r="P107" s="4">
        <f t="shared" si="117"/>
        <v>7.1155388403573552</v>
      </c>
      <c r="Q107" s="4">
        <f t="shared" si="132"/>
        <v>0</v>
      </c>
      <c r="R107" s="4">
        <f t="shared" si="88"/>
        <v>12.061838160958015</v>
      </c>
      <c r="S107" s="360">
        <f t="shared" si="133"/>
        <v>0.72743969910571504</v>
      </c>
      <c r="T107" s="360">
        <f t="shared" si="90"/>
        <v>0.3</v>
      </c>
      <c r="U107" s="360">
        <f t="shared" si="134"/>
        <v>1.0909263499670365</v>
      </c>
      <c r="V107" s="4">
        <f t="shared" si="118"/>
        <v>2.6814809007604423</v>
      </c>
      <c r="W107" s="360">
        <f t="shared" si="135"/>
        <v>1.4380679642286067E-2</v>
      </c>
      <c r="X107" s="360">
        <f t="shared" si="119"/>
        <v>1.4380679642286067E-2</v>
      </c>
      <c r="Y107" s="4">
        <f t="shared" si="93"/>
        <v>3.8151590046015644</v>
      </c>
      <c r="Z107" s="360">
        <f t="shared" si="120"/>
        <v>2.1833157345588598E-2</v>
      </c>
      <c r="AA107" s="541">
        <f t="shared" si="121"/>
        <v>2.1833157345588598E-2</v>
      </c>
      <c r="AB107" s="360">
        <f t="shared" si="94"/>
        <v>4.050347077852626</v>
      </c>
      <c r="AC107" s="360">
        <f t="shared" si="136"/>
        <v>9.8431868706415834E-2</v>
      </c>
      <c r="AD107" s="360">
        <f t="shared" si="96"/>
        <v>0.21288484686830197</v>
      </c>
      <c r="AE107" s="360">
        <f t="shared" si="97"/>
        <v>-3.4229250000000003E-2</v>
      </c>
      <c r="AF107" s="360">
        <f t="shared" si="98"/>
        <v>0</v>
      </c>
      <c r="AG107" s="360">
        <f t="shared" si="137"/>
        <v>0.28129611796245535</v>
      </c>
      <c r="AH107" s="360">
        <f t="shared" si="100"/>
        <v>11.361453620469245</v>
      </c>
      <c r="AI107" s="360">
        <f t="shared" si="138"/>
        <v>0.32270657092518429</v>
      </c>
      <c r="AJ107" s="360">
        <f t="shared" si="102"/>
        <v>5.0709119999999996E-2</v>
      </c>
      <c r="AK107" s="360">
        <f t="shared" si="139"/>
        <v>0.39917924392338922</v>
      </c>
      <c r="AL107" s="360">
        <f t="shared" si="104"/>
        <v>5.0709119999999996E-2</v>
      </c>
      <c r="AM107" s="360">
        <f t="shared" si="105"/>
        <v>0.58211999999999997</v>
      </c>
      <c r="AN107" s="360">
        <f t="shared" si="106"/>
        <v>0.5819517592845721</v>
      </c>
      <c r="AO107" s="360">
        <f t="shared" si="107"/>
        <v>1.5749999999999998E-3</v>
      </c>
      <c r="AP107" s="360">
        <f t="shared" si="108"/>
        <v>0.32669999999999993</v>
      </c>
      <c r="AQ107" s="360">
        <f t="shared" si="109"/>
        <v>0.31218000000000001</v>
      </c>
      <c r="AR107" s="360">
        <f t="shared" si="110"/>
        <v>0.29039999999999999</v>
      </c>
      <c r="AS107" s="360">
        <f t="shared" si="129"/>
        <v>0.32827499999999993</v>
      </c>
      <c r="AT107" s="360">
        <f t="shared" si="122"/>
        <v>3.3506714281253278</v>
      </c>
      <c r="AU107">
        <f t="shared" si="111"/>
        <v>58.8</v>
      </c>
      <c r="AV107" s="542">
        <f t="shared" si="123"/>
        <v>0.9460879287201226</v>
      </c>
      <c r="AW107" s="551">
        <f t="shared" si="112"/>
        <v>25.288822082573304</v>
      </c>
      <c r="AX107" s="551">
        <f t="shared" si="113"/>
        <v>22.468596069088793</v>
      </c>
      <c r="AY107" s="9"/>
      <c r="AZ107" s="4">
        <f t="shared" si="124"/>
        <v>94.608792872012259</v>
      </c>
      <c r="BA107" s="360">
        <f t="shared" si="114"/>
        <v>1.0909263499670365</v>
      </c>
      <c r="BB107" s="360">
        <f t="shared" si="125"/>
        <v>1.2625953618858445</v>
      </c>
      <c r="BC107" s="360">
        <f t="shared" si="126"/>
        <v>0.66549531796245542</v>
      </c>
      <c r="BD107" s="360">
        <f t="shared" si="127"/>
        <v>0.59127884392338925</v>
      </c>
      <c r="BE107" s="360">
        <f t="shared" si="128"/>
        <v>0.5819517592845721</v>
      </c>
      <c r="BK107" s="18"/>
      <c r="BL107" s="19"/>
    </row>
    <row r="108" spans="7:64" x14ac:dyDescent="0.25">
      <c r="G108">
        <v>99</v>
      </c>
      <c r="H108" s="548">
        <f t="shared" si="82"/>
        <v>45</v>
      </c>
      <c r="I108" s="4">
        <f t="shared" si="83"/>
        <v>2</v>
      </c>
      <c r="J108" s="360">
        <f t="shared" si="115"/>
        <v>11.88</v>
      </c>
      <c r="K108" s="4">
        <f t="shared" si="130"/>
        <v>1.4666666666666668</v>
      </c>
      <c r="L108" s="4"/>
      <c r="M108" s="360">
        <f t="shared" si="85"/>
        <v>0.1127774499681696</v>
      </c>
      <c r="N108" s="4">
        <f t="shared" si="131"/>
        <v>9.290000499101124</v>
      </c>
      <c r="O108" s="4">
        <f t="shared" si="116"/>
        <v>16.525000249550562</v>
      </c>
      <c r="P108" s="4">
        <f t="shared" si="117"/>
        <v>7.2349997504494388</v>
      </c>
      <c r="Q108" s="4">
        <f t="shared" si="132"/>
        <v>0</v>
      </c>
      <c r="R108" s="4">
        <f t="shared" si="88"/>
        <v>12.178933003597166</v>
      </c>
      <c r="S108" s="360">
        <f t="shared" si="133"/>
        <v>0.74163204553054141</v>
      </c>
      <c r="T108" s="360">
        <f t="shared" si="90"/>
        <v>0.3</v>
      </c>
      <c r="U108" s="360">
        <f t="shared" si="134"/>
        <v>1.1073305937991675</v>
      </c>
      <c r="V108" s="4">
        <f t="shared" si="118"/>
        <v>2.6817921444638961</v>
      </c>
      <c r="W108" s="360">
        <f t="shared" si="135"/>
        <v>1.4384018212216527E-2</v>
      </c>
      <c r="X108" s="360">
        <f t="shared" si="119"/>
        <v>1.4384018212216527E-2</v>
      </c>
      <c r="Y108" s="4">
        <f t="shared" si="93"/>
        <v>3.8524469092119618</v>
      </c>
      <c r="Z108" s="360">
        <f t="shared" si="120"/>
        <v>2.2262020782445196E-2</v>
      </c>
      <c r="AA108" s="541">
        <f t="shared" si="121"/>
        <v>2.2262020782445196E-2</v>
      </c>
      <c r="AB108" s="360">
        <f t="shared" si="94"/>
        <v>4.0899723937848753</v>
      </c>
      <c r="AC108" s="360">
        <f t="shared" si="136"/>
        <v>0.10036724509153432</v>
      </c>
      <c r="AD108" s="360">
        <f t="shared" si="96"/>
        <v>0.21505714122410094</v>
      </c>
      <c r="AE108" s="360">
        <f t="shared" si="97"/>
        <v>-3.4229250000000003E-2</v>
      </c>
      <c r="AF108" s="360">
        <f t="shared" si="98"/>
        <v>0</v>
      </c>
      <c r="AG108" s="360">
        <f t="shared" si="137"/>
        <v>0.28555145832259909</v>
      </c>
      <c r="AH108" s="360">
        <f t="shared" si="100"/>
        <v>11.471640463516362</v>
      </c>
      <c r="AI108" s="360">
        <f t="shared" si="138"/>
        <v>0.32899633731046474</v>
      </c>
      <c r="AJ108" s="360">
        <f t="shared" si="102"/>
        <v>5.1226560000000004E-2</v>
      </c>
      <c r="AK108" s="360">
        <f t="shared" si="139"/>
        <v>0.40700342449692573</v>
      </c>
      <c r="AL108" s="360">
        <f t="shared" si="104"/>
        <v>5.1226560000000004E-2</v>
      </c>
      <c r="AM108" s="360">
        <f t="shared" si="105"/>
        <v>0.58806000000000003</v>
      </c>
      <c r="AN108" s="360">
        <f t="shared" si="106"/>
        <v>0.59330563642443312</v>
      </c>
      <c r="AO108" s="360">
        <f t="shared" si="107"/>
        <v>1.5749999999999998E-3</v>
      </c>
      <c r="AP108" s="360">
        <f t="shared" si="108"/>
        <v>0.32669999999999993</v>
      </c>
      <c r="AQ108" s="360">
        <f t="shared" si="109"/>
        <v>0.31218000000000001</v>
      </c>
      <c r="AR108" s="360">
        <f t="shared" si="110"/>
        <v>0.29039999999999999</v>
      </c>
      <c r="AS108" s="360">
        <f t="shared" si="129"/>
        <v>0.32827499999999993</v>
      </c>
      <c r="AT108" s="360">
        <f t="shared" si="122"/>
        <v>3.3973987120377873</v>
      </c>
      <c r="AU108">
        <f t="shared" si="111"/>
        <v>59.400000000000006</v>
      </c>
      <c r="AV108" s="542">
        <f t="shared" si="123"/>
        <v>0.94589905343664293</v>
      </c>
      <c r="AW108" s="551">
        <f t="shared" si="112"/>
        <v>25.599500216258765</v>
      </c>
      <c r="AX108" s="551">
        <f t="shared" si="113"/>
        <v>22.840402530883178</v>
      </c>
      <c r="AY108" s="9"/>
      <c r="AZ108" s="4">
        <f t="shared" si="124"/>
        <v>94.589905343664299</v>
      </c>
      <c r="BA108" s="360">
        <f t="shared" si="114"/>
        <v>1.1073305937991675</v>
      </c>
      <c r="BB108" s="360">
        <f t="shared" si="125"/>
        <v>1.280614882819525</v>
      </c>
      <c r="BC108" s="360">
        <f t="shared" si="126"/>
        <v>0.6736710583225991</v>
      </c>
      <c r="BD108" s="360">
        <f t="shared" si="127"/>
        <v>0.60106322449692573</v>
      </c>
      <c r="BE108" s="360">
        <f t="shared" si="128"/>
        <v>0.59330563642443312</v>
      </c>
      <c r="BK108" s="18"/>
      <c r="BL108" s="19"/>
    </row>
    <row r="109" spans="7:64" x14ac:dyDescent="0.25">
      <c r="G109">
        <v>100</v>
      </c>
      <c r="H109" s="548">
        <f t="shared" si="82"/>
        <v>45</v>
      </c>
      <c r="I109" s="4">
        <f t="shared" si="83"/>
        <v>2</v>
      </c>
      <c r="J109" s="360">
        <f t="shared" si="115"/>
        <v>12</v>
      </c>
      <c r="K109" s="4">
        <f t="shared" si="130"/>
        <v>1.4814814814814814</v>
      </c>
      <c r="L109" s="4"/>
      <c r="M109" s="360">
        <f t="shared" si="85"/>
        <v>0.11279427180498551</v>
      </c>
      <c r="N109" s="4">
        <f t="shared" si="131"/>
        <v>9.2910785709114929</v>
      </c>
      <c r="O109" s="4">
        <f t="shared" si="116"/>
        <v>16.645539285455747</v>
      </c>
      <c r="P109" s="4">
        <f t="shared" si="117"/>
        <v>7.3544607145442535</v>
      </c>
      <c r="Q109" s="4">
        <f t="shared" si="132"/>
        <v>0</v>
      </c>
      <c r="R109" s="4">
        <f t="shared" si="88"/>
        <v>12.296083865099932</v>
      </c>
      <c r="S109" s="360">
        <f t="shared" si="133"/>
        <v>0.7559683920878546</v>
      </c>
      <c r="T109" s="360">
        <f t="shared" si="90"/>
        <v>0.3</v>
      </c>
      <c r="U109" s="360">
        <f t="shared" si="134"/>
        <v>1.1239415340303915</v>
      </c>
      <c r="V109" s="4">
        <f t="shared" si="118"/>
        <v>2.6821033569888573</v>
      </c>
      <c r="W109" s="360">
        <f t="shared" si="135"/>
        <v>1.4387356835141795E-2</v>
      </c>
      <c r="X109" s="360">
        <f t="shared" si="119"/>
        <v>1.4387356835141795E-2</v>
      </c>
      <c r="Y109" s="4">
        <f t="shared" si="93"/>
        <v>3.8897573272835961</v>
      </c>
      <c r="Z109" s="360">
        <f t="shared" si="120"/>
        <v>2.2695318097734639E-2</v>
      </c>
      <c r="AA109" s="541">
        <f t="shared" si="121"/>
        <v>2.2695318097734639E-2</v>
      </c>
      <c r="AB109" s="360">
        <f t="shared" si="94"/>
        <v>4.1296223627139401</v>
      </c>
      <c r="AC109" s="360">
        <f t="shared" si="136"/>
        <v>0.10232268515176239</v>
      </c>
      <c r="AD109" s="360">
        <f t="shared" si="96"/>
        <v>0.21722943557989996</v>
      </c>
      <c r="AE109" s="360">
        <f t="shared" si="97"/>
        <v>-3.4229250000000003E-2</v>
      </c>
      <c r="AF109" s="360">
        <f t="shared" si="98"/>
        <v>0</v>
      </c>
      <c r="AG109" s="360">
        <f t="shared" si="137"/>
        <v>0.28983062032287932</v>
      </c>
      <c r="AH109" s="360">
        <f t="shared" si="100"/>
        <v>11.581877980662023</v>
      </c>
      <c r="AI109" s="360">
        <f t="shared" si="138"/>
        <v>0.33534974389735955</v>
      </c>
      <c r="AJ109" s="360">
        <f t="shared" si="102"/>
        <v>5.1743999999999998E-2</v>
      </c>
      <c r="AK109" s="360">
        <f t="shared" si="139"/>
        <v>0.41492258009154587</v>
      </c>
      <c r="AL109" s="360">
        <f t="shared" si="104"/>
        <v>5.1743999999999998E-2</v>
      </c>
      <c r="AM109" s="360">
        <f t="shared" si="105"/>
        <v>0.59399999999999997</v>
      </c>
      <c r="AN109" s="360">
        <f t="shared" si="106"/>
        <v>0.60477471367028368</v>
      </c>
      <c r="AO109" s="360">
        <f t="shared" si="107"/>
        <v>1.5749999999999998E-3</v>
      </c>
      <c r="AP109" s="360">
        <f t="shared" si="108"/>
        <v>0.32669999999999993</v>
      </c>
      <c r="AQ109" s="360">
        <f t="shared" si="109"/>
        <v>0.31218000000000001</v>
      </c>
      <c r="AR109" s="360">
        <f t="shared" si="110"/>
        <v>0.29039999999999999</v>
      </c>
      <c r="AS109" s="360">
        <f t="shared" si="129"/>
        <v>0.32827499999999993</v>
      </c>
      <c r="AT109" s="360">
        <f t="shared" si="122"/>
        <v>3.444571123047977</v>
      </c>
      <c r="AU109">
        <f t="shared" si="111"/>
        <v>60</v>
      </c>
      <c r="AV109" s="542">
        <f t="shared" si="123"/>
        <v>0.94570739368121215</v>
      </c>
      <c r="AW109" s="551">
        <f t="shared" si="112"/>
        <v>25.911083572269412</v>
      </c>
      <c r="AX109" s="551">
        <f t="shared" si="113"/>
        <v>23.215818043478745</v>
      </c>
      <c r="AY109" s="9"/>
      <c r="AZ109" s="4">
        <f t="shared" si="124"/>
        <v>94.57073936812121</v>
      </c>
      <c r="BA109" s="360">
        <f t="shared" si="114"/>
        <v>1.1239415340303915</v>
      </c>
      <c r="BB109" s="360">
        <f t="shared" si="125"/>
        <v>1.2987532004144251</v>
      </c>
      <c r="BC109" s="360">
        <f t="shared" si="126"/>
        <v>0.68187062032287926</v>
      </c>
      <c r="BD109" s="360">
        <f t="shared" si="127"/>
        <v>0.61094258009154589</v>
      </c>
      <c r="BE109" s="360">
        <f t="shared" si="128"/>
        <v>0.60477471367028368</v>
      </c>
      <c r="BK109" s="18"/>
      <c r="BL109" s="19"/>
    </row>
    <row r="110" spans="7:64" x14ac:dyDescent="0.25">
      <c r="H110" s="548"/>
      <c r="I110" s="4"/>
      <c r="K110" s="4"/>
      <c r="L110" s="4"/>
      <c r="R110" s="360"/>
      <c r="S110" s="360"/>
      <c r="T110" s="360"/>
      <c r="U110" s="360"/>
      <c r="W110" s="360"/>
      <c r="X110" s="360"/>
      <c r="Y110" s="360"/>
      <c r="Z110" s="360"/>
      <c r="AA110" s="541"/>
      <c r="AB110" s="360"/>
      <c r="AC110" s="360"/>
      <c r="AD110" s="360"/>
      <c r="AE110" s="360"/>
      <c r="AG110" s="360"/>
      <c r="AH110" s="360"/>
      <c r="AI110" s="360"/>
      <c r="AJ110" s="360"/>
      <c r="AK110" s="360"/>
      <c r="AL110" s="360"/>
      <c r="AM110" s="360"/>
      <c r="AN110" s="360"/>
      <c r="AO110" s="360"/>
      <c r="AP110" s="360"/>
      <c r="AQ110" s="360"/>
      <c r="AR110" s="360"/>
      <c r="AS110" s="360"/>
      <c r="AT110" s="360"/>
      <c r="AV110" s="542"/>
      <c r="AW110" s="551"/>
      <c r="AX110" s="551"/>
      <c r="AY110" s="9"/>
      <c r="AZ110" s="48"/>
      <c r="BA110" s="360"/>
      <c r="BB110" s="360"/>
      <c r="BC110" s="360"/>
      <c r="BD110" s="360"/>
      <c r="BE110" s="360"/>
    </row>
    <row r="111" spans="7:64" x14ac:dyDescent="0.25">
      <c r="H111" s="548"/>
      <c r="I111" s="4"/>
      <c r="K111" s="4"/>
      <c r="L111" s="4"/>
      <c r="R111" s="360"/>
      <c r="S111" s="360"/>
      <c r="T111" s="360"/>
      <c r="U111" s="360"/>
      <c r="W111" s="360"/>
      <c r="X111" s="360"/>
      <c r="Y111" s="360"/>
      <c r="Z111" s="360"/>
      <c r="AA111" s="541"/>
      <c r="AB111" s="360"/>
      <c r="AC111" s="360"/>
      <c r="AD111" s="360"/>
      <c r="AE111" s="360"/>
      <c r="AG111" s="360">
        <v>1.0264505953745029</v>
      </c>
      <c r="AH111" s="360">
        <v>5.6934364538745408</v>
      </c>
      <c r="AI111" s="360">
        <v>0.18476674632955281</v>
      </c>
      <c r="AJ111" s="360">
        <v>0.50400000000000011</v>
      </c>
      <c r="AK111" s="360">
        <v>0.7151956198638304</v>
      </c>
      <c r="AL111" s="360">
        <v>0.50400000000000011</v>
      </c>
      <c r="AM111" s="360">
        <v>0.2772</v>
      </c>
      <c r="AN111" s="360">
        <f>CHOOSE(SENSING_TYPE, Rs_Ch2*R111^2, 0)</f>
        <v>0</v>
      </c>
      <c r="AO111" s="360">
        <v>4.1999999999999996E-4</v>
      </c>
      <c r="AP111" s="360">
        <v>0.189</v>
      </c>
      <c r="AQ111" s="360">
        <v>0.34559999999999996</v>
      </c>
      <c r="AR111" s="360">
        <v>0.2646</v>
      </c>
      <c r="AS111" s="360">
        <v>0.18942000000000001</v>
      </c>
      <c r="AT111" s="360">
        <v>3.6212425503668713</v>
      </c>
      <c r="AU111">
        <v>37.5</v>
      </c>
      <c r="AV111" s="542"/>
      <c r="AW111" s="551"/>
      <c r="AX111" s="551"/>
      <c r="AY111" s="9"/>
      <c r="AZ111" s="48"/>
      <c r="BA111" s="360"/>
      <c r="BB111" s="360"/>
      <c r="BC111" s="360"/>
      <c r="BD111" s="360"/>
      <c r="BE111" s="360"/>
    </row>
    <row r="112" spans="7:64" x14ac:dyDescent="0.25">
      <c r="H112" s="548"/>
      <c r="I112" s="4"/>
      <c r="K112" s="4"/>
      <c r="L112" s="4"/>
      <c r="R112" s="360"/>
      <c r="S112" s="360"/>
      <c r="T112" s="360"/>
      <c r="U112" s="360"/>
      <c r="W112" s="360"/>
      <c r="X112" s="360"/>
      <c r="Y112" s="360"/>
      <c r="Z112" s="360"/>
      <c r="AA112" s="541"/>
      <c r="AB112" s="360"/>
      <c r="AC112" s="360"/>
      <c r="AD112" s="360"/>
      <c r="AE112" s="360"/>
      <c r="AG112" s="360"/>
      <c r="AH112" s="360"/>
      <c r="AI112" s="360"/>
      <c r="AJ112" s="360"/>
      <c r="AK112" s="360"/>
      <c r="AL112" s="360"/>
      <c r="AM112" s="360"/>
      <c r="AN112" s="360"/>
      <c r="AO112" s="360"/>
      <c r="AP112" s="360"/>
      <c r="AQ112" s="360"/>
      <c r="AR112" s="360"/>
      <c r="AS112" s="360"/>
      <c r="AT112" s="360"/>
      <c r="AV112" s="542"/>
      <c r="AW112" s="551"/>
      <c r="AX112" s="551"/>
      <c r="AY112" s="9"/>
      <c r="AZ112" s="48"/>
      <c r="BA112" s="360"/>
      <c r="BB112" s="360"/>
      <c r="BC112" s="360"/>
      <c r="BD112" s="360"/>
      <c r="BE112" s="360"/>
    </row>
    <row r="113" spans="8:57" x14ac:dyDescent="0.25">
      <c r="H113" s="548"/>
      <c r="I113" s="4"/>
      <c r="K113" s="4"/>
      <c r="L113" s="4"/>
      <c r="R113" s="360"/>
      <c r="S113" s="360"/>
      <c r="T113" s="360"/>
      <c r="U113" s="360"/>
      <c r="W113" s="360"/>
      <c r="X113" s="360"/>
      <c r="Y113" s="360"/>
      <c r="Z113" s="360"/>
      <c r="AA113" s="541"/>
      <c r="AB113" s="360"/>
      <c r="AC113" s="360"/>
      <c r="AD113" s="360"/>
      <c r="AE113" s="360"/>
      <c r="AG113" s="360"/>
      <c r="AH113" s="360"/>
      <c r="AI113" s="360"/>
      <c r="AJ113" s="360"/>
      <c r="AK113" s="360"/>
      <c r="AL113" s="360"/>
      <c r="AM113" s="360"/>
      <c r="AN113" s="360"/>
      <c r="AO113" s="360"/>
      <c r="AP113" s="360"/>
      <c r="AQ113" s="360"/>
      <c r="AR113" s="360"/>
      <c r="AS113" s="360"/>
      <c r="AT113" s="360"/>
      <c r="AV113" s="542"/>
      <c r="AW113" s="551"/>
      <c r="AX113" s="551"/>
      <c r="AY113" s="9"/>
      <c r="AZ113" s="48"/>
      <c r="BA113" s="360"/>
      <c r="BB113" s="360"/>
      <c r="BC113" s="360"/>
      <c r="BD113" s="360"/>
      <c r="BE113" s="360"/>
    </row>
    <row r="114" spans="8:57" x14ac:dyDescent="0.25">
      <c r="H114" s="548"/>
      <c r="I114" s="4"/>
      <c r="K114" s="4"/>
      <c r="L114" s="4"/>
      <c r="R114" s="360"/>
      <c r="S114" s="360"/>
      <c r="T114" s="360"/>
      <c r="U114" s="360"/>
      <c r="W114" s="360"/>
      <c r="X114" s="360"/>
      <c r="Y114" s="360"/>
      <c r="Z114" s="360"/>
      <c r="AA114" s="541"/>
      <c r="AB114" s="360"/>
      <c r="AC114" s="360"/>
      <c r="AD114" s="360"/>
      <c r="AE114" s="360"/>
      <c r="AG114" s="360"/>
      <c r="AH114" s="360"/>
      <c r="AI114" s="360"/>
      <c r="AJ114" s="360"/>
      <c r="AK114" s="360"/>
      <c r="AL114" s="360"/>
      <c r="AM114" s="360"/>
      <c r="AN114" s="360"/>
      <c r="AO114" s="360"/>
      <c r="AP114" s="360"/>
      <c r="AQ114" s="360"/>
      <c r="AR114" s="360"/>
      <c r="AS114" s="360"/>
      <c r="AT114" s="360"/>
      <c r="AV114" s="542"/>
      <c r="AW114" s="551"/>
      <c r="AX114" s="551"/>
      <c r="AY114" s="9"/>
      <c r="AZ114" s="48"/>
      <c r="BA114" s="360"/>
      <c r="BB114" s="360"/>
      <c r="BC114" s="360"/>
      <c r="BD114" s="360"/>
      <c r="BE114" s="360"/>
    </row>
    <row r="115" spans="8:57" x14ac:dyDescent="0.25">
      <c r="H115" s="548"/>
      <c r="I115" s="4"/>
      <c r="K115" s="4"/>
      <c r="L115" s="4"/>
      <c r="R115" s="360"/>
      <c r="S115" s="360"/>
      <c r="T115" s="360"/>
      <c r="U115" s="360"/>
      <c r="W115" s="360"/>
      <c r="X115" s="360"/>
      <c r="Y115" s="360"/>
      <c r="Z115" s="360"/>
      <c r="AA115" s="541"/>
      <c r="AB115" s="360"/>
      <c r="AC115" s="360"/>
      <c r="AD115" s="360"/>
      <c r="AE115" s="360"/>
      <c r="AG115" s="360"/>
      <c r="AH115" s="360"/>
      <c r="AI115" s="360"/>
      <c r="AJ115" s="360"/>
      <c r="AK115" s="360"/>
      <c r="AL115" s="360"/>
      <c r="AM115" s="360"/>
      <c r="AN115" s="360"/>
      <c r="AO115" s="360"/>
      <c r="AP115" s="360"/>
      <c r="AQ115" s="360"/>
      <c r="AR115" s="360"/>
      <c r="AS115" s="360"/>
      <c r="AT115" s="360"/>
      <c r="AV115" s="542"/>
      <c r="AW115" s="551"/>
      <c r="AX115" s="551"/>
      <c r="AY115" s="9"/>
      <c r="AZ115" s="48"/>
      <c r="BA115" s="360"/>
      <c r="BB115" s="360"/>
      <c r="BC115" s="360"/>
      <c r="BD115" s="360"/>
      <c r="BE115" s="360"/>
    </row>
    <row r="116" spans="8:57" x14ac:dyDescent="0.25">
      <c r="H116" s="548"/>
      <c r="I116" s="4"/>
      <c r="K116" s="4"/>
      <c r="L116" s="4"/>
      <c r="R116" s="360"/>
      <c r="S116" s="360"/>
      <c r="T116" s="360"/>
      <c r="U116" s="360"/>
      <c r="W116" s="360"/>
      <c r="X116" s="360"/>
      <c r="Y116" s="360"/>
      <c r="Z116" s="360"/>
      <c r="AA116" s="541"/>
      <c r="AB116" s="360"/>
      <c r="AC116" s="360"/>
      <c r="AD116" s="360"/>
      <c r="AE116" s="360"/>
      <c r="AG116" s="360"/>
      <c r="AH116" s="360"/>
      <c r="AI116" s="360"/>
      <c r="AJ116" s="360"/>
      <c r="AK116" s="360"/>
      <c r="AL116" s="360"/>
      <c r="AM116" s="360"/>
      <c r="AN116" s="360"/>
      <c r="AO116" s="360"/>
      <c r="AP116" s="360"/>
      <c r="AQ116" s="360"/>
      <c r="AR116" s="360"/>
      <c r="AS116" s="360"/>
      <c r="AT116" s="360"/>
      <c r="AV116" s="542"/>
      <c r="AW116" s="551"/>
      <c r="AX116" s="551"/>
      <c r="AY116" s="9"/>
      <c r="AZ116" s="48"/>
      <c r="BA116" s="360"/>
      <c r="BB116" s="360"/>
      <c r="BC116" s="360"/>
      <c r="BD116" s="360"/>
      <c r="BE116" s="360"/>
    </row>
    <row r="117" spans="8:57" x14ac:dyDescent="0.25">
      <c r="H117" s="548"/>
      <c r="I117" s="4"/>
      <c r="K117" s="4"/>
      <c r="L117" s="4"/>
      <c r="R117" s="360"/>
      <c r="S117" s="360"/>
      <c r="T117" s="360"/>
      <c r="U117" s="360"/>
      <c r="W117" s="360"/>
      <c r="X117" s="360"/>
      <c r="Y117" s="360"/>
      <c r="Z117" s="360"/>
      <c r="AA117" s="541"/>
      <c r="AB117" s="360"/>
      <c r="AC117" s="360"/>
      <c r="AD117" s="360"/>
      <c r="AE117" s="360"/>
      <c r="AG117" s="360"/>
      <c r="AH117" s="360"/>
      <c r="AI117" s="360"/>
      <c r="AJ117" s="360"/>
      <c r="AK117" s="360"/>
      <c r="AL117" s="360"/>
      <c r="AM117" s="360"/>
      <c r="AN117" s="360"/>
      <c r="AO117" s="360"/>
      <c r="AP117" s="360"/>
      <c r="AQ117" s="360"/>
      <c r="AR117" s="360"/>
      <c r="AS117" s="360"/>
      <c r="AT117" s="360"/>
      <c r="AV117" s="542"/>
      <c r="AW117" s="551"/>
      <c r="AX117" s="551"/>
      <c r="AY117" s="9"/>
      <c r="AZ117" s="48"/>
      <c r="BA117" s="360"/>
      <c r="BB117" s="360"/>
      <c r="BC117" s="360"/>
      <c r="BD117" s="360"/>
      <c r="BE117" s="360"/>
    </row>
    <row r="118" spans="8:57" x14ac:dyDescent="0.25">
      <c r="H118" s="548"/>
      <c r="I118" s="4"/>
      <c r="K118" s="4"/>
      <c r="L118" s="4"/>
      <c r="R118" s="360"/>
      <c r="S118" s="360"/>
      <c r="T118" s="360"/>
      <c r="U118" s="360"/>
      <c r="W118" s="360"/>
      <c r="X118" s="360"/>
      <c r="Y118" s="360"/>
      <c r="Z118" s="360"/>
      <c r="AA118" s="541"/>
      <c r="AB118" s="360"/>
      <c r="AC118" s="360"/>
      <c r="AD118" s="360"/>
      <c r="AE118" s="360"/>
      <c r="AG118" s="360"/>
      <c r="AH118" s="360"/>
      <c r="AI118" s="360"/>
      <c r="AJ118" s="360"/>
      <c r="AK118" s="360"/>
      <c r="AL118" s="360"/>
      <c r="AM118" s="360"/>
      <c r="AN118" s="360"/>
      <c r="AO118" s="360"/>
      <c r="AP118" s="360"/>
      <c r="AQ118" s="360"/>
      <c r="AR118" s="360"/>
      <c r="AS118" s="360"/>
      <c r="AT118" s="360"/>
      <c r="AV118" s="542"/>
      <c r="AW118" s="551"/>
      <c r="AX118" s="551"/>
      <c r="AY118" s="9"/>
      <c r="AZ118" s="48"/>
      <c r="BA118" s="360"/>
      <c r="BB118" s="360"/>
      <c r="BC118" s="360"/>
      <c r="BD118" s="360"/>
      <c r="BE118" s="360"/>
    </row>
    <row r="119" spans="8:57" x14ac:dyDescent="0.25">
      <c r="H119" s="548"/>
      <c r="I119" s="4"/>
      <c r="K119" s="4"/>
      <c r="L119" s="4"/>
      <c r="R119" s="360"/>
      <c r="S119" s="360"/>
      <c r="T119" s="360"/>
      <c r="U119" s="360"/>
      <c r="W119" s="360"/>
      <c r="X119" s="360"/>
      <c r="Y119" s="360"/>
      <c r="Z119" s="360"/>
      <c r="AA119" s="541"/>
      <c r="AB119" s="360"/>
      <c r="AC119" s="360"/>
      <c r="AD119" s="360"/>
      <c r="AE119" s="360"/>
      <c r="AG119" s="360"/>
      <c r="AH119" s="360"/>
      <c r="AI119" s="360"/>
      <c r="AJ119" s="360"/>
      <c r="AK119" s="360"/>
      <c r="AL119" s="360"/>
      <c r="AM119" s="360"/>
      <c r="AN119" s="360"/>
      <c r="AO119" s="360"/>
      <c r="AP119" s="360"/>
      <c r="AQ119" s="360"/>
      <c r="AR119" s="360"/>
      <c r="AS119" s="360"/>
      <c r="AT119" s="360"/>
      <c r="AV119" s="542"/>
      <c r="AW119" s="551"/>
      <c r="AX119" s="551"/>
      <c r="AY119" s="9"/>
      <c r="AZ119" s="48"/>
      <c r="BA119" s="360"/>
      <c r="BB119" s="360"/>
      <c r="BC119" s="360"/>
      <c r="BD119" s="360"/>
      <c r="BE119" s="360"/>
    </row>
    <row r="120" spans="8:57" x14ac:dyDescent="0.25">
      <c r="H120" s="548"/>
      <c r="I120" s="4"/>
      <c r="K120" s="4"/>
      <c r="L120" s="4"/>
      <c r="R120" s="360"/>
      <c r="S120" s="360"/>
      <c r="T120" s="360"/>
      <c r="U120" s="360"/>
      <c r="W120" s="360"/>
      <c r="X120" s="360"/>
      <c r="Y120" s="360"/>
      <c r="Z120" s="360"/>
      <c r="AA120" s="541"/>
      <c r="AB120" s="360"/>
      <c r="AC120" s="360"/>
      <c r="AD120" s="360"/>
      <c r="AE120" s="360"/>
      <c r="AG120" s="360"/>
      <c r="AH120" s="360"/>
      <c r="AI120" s="360"/>
      <c r="AJ120" s="360"/>
      <c r="AK120" s="360"/>
      <c r="AL120" s="360"/>
      <c r="AM120" s="360"/>
      <c r="AN120" s="360"/>
      <c r="AO120" s="360"/>
      <c r="AP120" s="360"/>
      <c r="AQ120" s="360"/>
      <c r="AR120" s="360"/>
      <c r="AS120" s="360"/>
      <c r="AT120" s="360"/>
      <c r="AV120" s="542"/>
      <c r="AW120" s="551"/>
      <c r="AX120" s="551"/>
      <c r="AY120" s="9"/>
      <c r="AZ120" s="48"/>
      <c r="BA120" s="360"/>
      <c r="BB120" s="360"/>
      <c r="BC120" s="360"/>
      <c r="BD120" s="360"/>
      <c r="BE120" s="360"/>
    </row>
    <row r="121" spans="8:57" x14ac:dyDescent="0.25">
      <c r="H121" s="548"/>
      <c r="I121" s="4"/>
      <c r="K121" s="4"/>
      <c r="L121" s="4"/>
      <c r="R121" s="360"/>
      <c r="S121" s="360"/>
      <c r="T121" s="360"/>
      <c r="U121" s="360"/>
      <c r="W121" s="360"/>
      <c r="X121" s="360"/>
      <c r="Y121" s="360"/>
      <c r="Z121" s="360"/>
      <c r="AA121" s="541"/>
      <c r="AB121" s="360"/>
      <c r="AC121" s="360"/>
      <c r="AD121" s="360"/>
      <c r="AE121" s="360"/>
      <c r="AG121" s="360"/>
      <c r="AH121" s="360"/>
      <c r="AI121" s="360"/>
      <c r="AJ121" s="360"/>
      <c r="AK121" s="360"/>
      <c r="AL121" s="360"/>
      <c r="AM121" s="360"/>
      <c r="AN121" s="360"/>
      <c r="AO121" s="360"/>
      <c r="AP121" s="360"/>
      <c r="AQ121" s="360"/>
      <c r="AR121" s="360"/>
      <c r="AS121" s="360"/>
      <c r="AT121" s="360"/>
      <c r="AV121" s="542"/>
      <c r="AW121" s="551"/>
      <c r="AX121" s="551"/>
      <c r="AY121" s="9"/>
      <c r="AZ121" s="48"/>
      <c r="BA121" s="360"/>
      <c r="BB121" s="360"/>
      <c r="BC121" s="360"/>
      <c r="BD121" s="360"/>
      <c r="BE121" s="360"/>
    </row>
    <row r="122" spans="8:57" x14ac:dyDescent="0.25">
      <c r="H122" s="548"/>
      <c r="I122" s="4"/>
      <c r="K122" s="4"/>
      <c r="L122" s="4"/>
      <c r="R122" s="360"/>
      <c r="S122" s="360"/>
      <c r="T122" s="360"/>
      <c r="U122" s="360"/>
      <c r="W122" s="360"/>
      <c r="X122" s="360"/>
      <c r="Y122" s="360"/>
      <c r="Z122" s="360"/>
      <c r="AA122" s="541"/>
      <c r="AB122" s="360"/>
      <c r="AC122" s="360"/>
      <c r="AD122" s="360"/>
      <c r="AE122" s="360"/>
      <c r="AG122" s="360"/>
      <c r="AH122" s="360"/>
      <c r="AI122" s="360"/>
      <c r="AJ122" s="360"/>
      <c r="AK122" s="360"/>
      <c r="AL122" s="360"/>
      <c r="AM122" s="360"/>
      <c r="AN122" s="360"/>
      <c r="AO122" s="360"/>
      <c r="AP122" s="360"/>
      <c r="AQ122" s="360"/>
      <c r="AR122" s="360"/>
      <c r="AS122" s="360"/>
      <c r="AT122" s="360"/>
      <c r="AV122" s="542"/>
      <c r="AW122" s="551"/>
      <c r="AX122" s="551"/>
      <c r="AY122" s="9"/>
      <c r="AZ122" s="48"/>
      <c r="BA122" s="360"/>
      <c r="BB122" s="360"/>
      <c r="BC122" s="360"/>
      <c r="BD122" s="360"/>
      <c r="BE122" s="360"/>
    </row>
    <row r="123" spans="8:57" x14ac:dyDescent="0.25">
      <c r="H123" s="548"/>
      <c r="I123" s="4"/>
      <c r="K123" s="4"/>
      <c r="L123" s="4"/>
      <c r="R123" s="360"/>
      <c r="S123" s="360"/>
      <c r="T123" s="360"/>
      <c r="U123" s="360"/>
      <c r="W123" s="360"/>
      <c r="X123" s="360"/>
      <c r="Y123" s="360"/>
      <c r="Z123" s="360"/>
      <c r="AA123" s="541"/>
      <c r="AB123" s="360"/>
      <c r="AC123" s="360"/>
      <c r="AD123" s="360"/>
      <c r="AE123" s="360"/>
      <c r="AG123" s="360"/>
      <c r="AH123" s="360"/>
      <c r="AI123" s="360"/>
      <c r="AJ123" s="360"/>
      <c r="AK123" s="360"/>
      <c r="AL123" s="360"/>
      <c r="AM123" s="360"/>
      <c r="AN123" s="360"/>
      <c r="AO123" s="360"/>
      <c r="AP123" s="360"/>
      <c r="AQ123" s="360"/>
      <c r="AR123" s="360"/>
      <c r="AS123" s="360"/>
      <c r="AT123" s="360"/>
      <c r="AV123" s="542"/>
      <c r="AW123" s="551"/>
      <c r="AX123" s="551"/>
      <c r="AY123" s="9"/>
      <c r="AZ123" s="48"/>
      <c r="BA123" s="360"/>
      <c r="BB123" s="360"/>
      <c r="BC123" s="360"/>
      <c r="BD123" s="360"/>
      <c r="BE123" s="360"/>
    </row>
    <row r="124" spans="8:57" x14ac:dyDescent="0.25">
      <c r="H124" s="548"/>
      <c r="I124" s="4"/>
      <c r="K124" s="4"/>
      <c r="L124" s="4"/>
      <c r="R124" s="360"/>
      <c r="S124" s="360"/>
      <c r="T124" s="360"/>
      <c r="U124" s="360"/>
      <c r="W124" s="360"/>
      <c r="X124" s="360"/>
      <c r="Y124" s="360"/>
      <c r="Z124" s="360"/>
      <c r="AA124" s="541"/>
      <c r="AB124" s="360"/>
      <c r="AC124" s="360"/>
      <c r="AD124" s="360"/>
      <c r="AE124" s="360"/>
      <c r="AG124" s="360"/>
      <c r="AH124" s="360"/>
      <c r="AI124" s="360"/>
      <c r="AJ124" s="360"/>
      <c r="AK124" s="360"/>
      <c r="AL124" s="360"/>
      <c r="AM124" s="360"/>
      <c r="AN124" s="360"/>
      <c r="AO124" s="360"/>
      <c r="AP124" s="360"/>
      <c r="AQ124" s="360"/>
      <c r="AR124" s="360"/>
      <c r="AS124" s="360"/>
      <c r="AT124" s="360"/>
      <c r="AV124" s="542"/>
      <c r="AW124" s="551"/>
      <c r="AX124" s="551"/>
      <c r="AY124" s="9"/>
      <c r="AZ124" s="48"/>
      <c r="BA124" s="360"/>
      <c r="BB124" s="360"/>
      <c r="BC124" s="360"/>
      <c r="BD124" s="360"/>
      <c r="BE124" s="360"/>
    </row>
    <row r="125" spans="8:57" x14ac:dyDescent="0.25">
      <c r="H125" s="548"/>
      <c r="I125" s="4"/>
      <c r="K125" s="4"/>
      <c r="L125" s="4"/>
      <c r="R125" s="360"/>
      <c r="S125" s="360"/>
      <c r="T125" s="360"/>
      <c r="U125" s="360"/>
      <c r="W125" s="360"/>
      <c r="X125" s="360"/>
      <c r="Y125" s="360"/>
      <c r="Z125" s="360"/>
      <c r="AA125" s="541"/>
      <c r="AB125" s="360"/>
      <c r="AC125" s="360"/>
      <c r="AD125" s="360"/>
      <c r="AE125" s="360"/>
      <c r="AG125" s="360"/>
      <c r="AH125" s="360"/>
      <c r="AI125" s="360"/>
      <c r="AJ125" s="360"/>
      <c r="AK125" s="360"/>
      <c r="AL125" s="360"/>
      <c r="AM125" s="360"/>
      <c r="AN125" s="360"/>
      <c r="AO125" s="360"/>
      <c r="AP125" s="360"/>
      <c r="AQ125" s="360"/>
      <c r="AR125" s="360"/>
      <c r="AS125" s="360"/>
      <c r="AT125" s="360"/>
      <c r="AV125" s="542"/>
      <c r="AW125" s="551"/>
      <c r="AX125" s="551"/>
      <c r="AY125" s="9"/>
      <c r="AZ125" s="48"/>
      <c r="BA125" s="360"/>
      <c r="BB125" s="360"/>
      <c r="BC125" s="360"/>
      <c r="BD125" s="360"/>
      <c r="BE125" s="360"/>
    </row>
    <row r="126" spans="8:57" x14ac:dyDescent="0.25">
      <c r="H126" s="548"/>
      <c r="I126" s="4"/>
      <c r="K126" s="4"/>
      <c r="L126" s="4"/>
      <c r="R126" s="360"/>
      <c r="S126" s="360"/>
      <c r="T126" s="360"/>
      <c r="U126" s="360"/>
      <c r="W126" s="360"/>
      <c r="X126" s="360"/>
      <c r="Y126" s="360"/>
      <c r="Z126" s="360"/>
      <c r="AA126" s="541"/>
      <c r="AB126" s="360"/>
      <c r="AC126" s="360"/>
      <c r="AD126" s="360"/>
      <c r="AE126" s="360"/>
      <c r="AG126" s="360"/>
      <c r="AH126" s="360"/>
      <c r="AI126" s="360"/>
      <c r="AJ126" s="360"/>
      <c r="AK126" s="360"/>
      <c r="AL126" s="360"/>
      <c r="AM126" s="360"/>
      <c r="AN126" s="360"/>
      <c r="AO126" s="360"/>
      <c r="AP126" s="360"/>
      <c r="AQ126" s="360"/>
      <c r="AR126" s="360"/>
      <c r="AS126" s="360"/>
      <c r="AT126" s="360"/>
      <c r="AV126" s="542"/>
      <c r="AW126" s="551"/>
      <c r="AX126" s="551"/>
      <c r="AY126" s="9"/>
      <c r="AZ126" s="48"/>
      <c r="BA126" s="360"/>
      <c r="BB126" s="360"/>
      <c r="BC126" s="360"/>
      <c r="BD126" s="360"/>
      <c r="BE126" s="360"/>
    </row>
    <row r="127" spans="8:57" x14ac:dyDescent="0.25">
      <c r="H127" s="548"/>
      <c r="I127" s="4"/>
      <c r="K127" s="4"/>
      <c r="L127" s="4"/>
      <c r="R127" s="360"/>
      <c r="S127" s="360"/>
      <c r="T127" s="360"/>
      <c r="U127" s="360"/>
      <c r="W127" s="360"/>
      <c r="X127" s="360"/>
      <c r="Y127" s="360"/>
      <c r="Z127" s="360"/>
      <c r="AA127" s="541"/>
      <c r="AB127" s="360"/>
      <c r="AC127" s="360"/>
      <c r="AD127" s="360"/>
      <c r="AE127" s="360"/>
      <c r="AG127" s="360"/>
      <c r="AH127" s="360"/>
      <c r="AI127" s="360"/>
      <c r="AJ127" s="360"/>
      <c r="AK127" s="360"/>
      <c r="AL127" s="360"/>
      <c r="AM127" s="360"/>
      <c r="AN127" s="360"/>
      <c r="AO127" s="360"/>
      <c r="AP127" s="360"/>
      <c r="AQ127" s="360"/>
      <c r="AR127" s="360"/>
      <c r="AS127" s="360"/>
      <c r="AT127" s="360"/>
      <c r="AV127" s="542"/>
      <c r="AW127" s="551"/>
      <c r="AX127" s="551"/>
      <c r="AY127" s="9"/>
      <c r="AZ127" s="48"/>
      <c r="BA127" s="360"/>
      <c r="BB127" s="360"/>
      <c r="BC127" s="360"/>
      <c r="BD127" s="360"/>
      <c r="BE127" s="360"/>
    </row>
    <row r="128" spans="8:57" x14ac:dyDescent="0.25">
      <c r="H128" s="548"/>
      <c r="I128" s="4"/>
      <c r="K128" s="4"/>
      <c r="L128" s="4"/>
      <c r="R128" s="360"/>
      <c r="S128" s="360"/>
      <c r="T128" s="360"/>
      <c r="U128" s="360"/>
      <c r="W128" s="360"/>
      <c r="X128" s="360"/>
      <c r="Y128" s="360"/>
      <c r="Z128" s="360"/>
      <c r="AA128" s="541"/>
      <c r="AB128" s="360"/>
      <c r="AC128" s="360"/>
      <c r="AD128" s="360"/>
      <c r="AE128" s="360"/>
      <c r="AG128" s="360"/>
      <c r="AH128" s="360"/>
      <c r="AI128" s="360"/>
      <c r="AJ128" s="360"/>
      <c r="AK128" s="360"/>
      <c r="AL128" s="360"/>
      <c r="AM128" s="360"/>
      <c r="AN128" s="360"/>
      <c r="AO128" s="360"/>
      <c r="AP128" s="360"/>
      <c r="AQ128" s="360"/>
      <c r="AR128" s="360"/>
      <c r="AS128" s="360"/>
      <c r="AT128" s="360"/>
      <c r="AV128" s="542"/>
      <c r="AW128" s="551"/>
      <c r="AX128" s="551"/>
      <c r="AY128" s="9"/>
      <c r="AZ128" s="48"/>
      <c r="BA128" s="360"/>
      <c r="BB128" s="360"/>
      <c r="BC128" s="360"/>
      <c r="BD128" s="360"/>
      <c r="BE128" s="360"/>
    </row>
    <row r="129" spans="8:57" x14ac:dyDescent="0.25">
      <c r="H129" s="548"/>
      <c r="I129" s="4"/>
      <c r="K129" s="4"/>
      <c r="L129" s="4"/>
      <c r="R129" s="360"/>
      <c r="S129" s="360"/>
      <c r="T129" s="360"/>
      <c r="U129" s="360"/>
      <c r="W129" s="360"/>
      <c r="X129" s="360"/>
      <c r="Y129" s="360"/>
      <c r="Z129" s="360"/>
      <c r="AA129" s="541"/>
      <c r="AB129" s="360"/>
      <c r="AC129" s="360"/>
      <c r="AD129" s="360"/>
      <c r="AE129" s="360"/>
      <c r="AG129" s="360"/>
      <c r="AH129" s="360"/>
      <c r="AI129" s="360"/>
      <c r="AJ129" s="360"/>
      <c r="AK129" s="360"/>
      <c r="AL129" s="360"/>
      <c r="AM129" s="360"/>
      <c r="AN129" s="360"/>
      <c r="AO129" s="360"/>
      <c r="AP129" s="360"/>
      <c r="AQ129" s="360"/>
      <c r="AR129" s="360"/>
      <c r="AS129" s="360"/>
      <c r="AT129" s="360"/>
      <c r="AV129" s="542"/>
      <c r="AW129" s="551"/>
      <c r="AX129" s="551"/>
      <c r="AY129" s="9"/>
      <c r="AZ129" s="48"/>
      <c r="BA129" s="360"/>
      <c r="BB129" s="360"/>
      <c r="BC129" s="360"/>
      <c r="BD129" s="360"/>
      <c r="BE129" s="360"/>
    </row>
    <row r="130" spans="8:57" x14ac:dyDescent="0.25">
      <c r="H130" s="548"/>
      <c r="I130" s="4"/>
      <c r="K130" s="4"/>
      <c r="L130" s="4"/>
      <c r="R130" s="360"/>
      <c r="S130" s="360"/>
      <c r="T130" s="360"/>
      <c r="U130" s="360"/>
      <c r="W130" s="360"/>
      <c r="X130" s="360"/>
      <c r="Y130" s="360"/>
      <c r="Z130" s="360"/>
      <c r="AA130" s="541"/>
      <c r="AB130" s="360"/>
      <c r="AC130" s="360"/>
      <c r="AD130" s="360"/>
      <c r="AE130" s="360"/>
      <c r="AG130" s="360"/>
      <c r="AH130" s="360"/>
      <c r="AI130" s="360"/>
      <c r="AJ130" s="360"/>
      <c r="AK130" s="360"/>
      <c r="AL130" s="360"/>
      <c r="AM130" s="360"/>
      <c r="AN130" s="360"/>
      <c r="AO130" s="360"/>
      <c r="AP130" s="360"/>
      <c r="AQ130" s="360"/>
      <c r="AR130" s="360"/>
      <c r="AS130" s="360"/>
      <c r="AT130" s="360"/>
      <c r="AV130" s="542"/>
      <c r="AW130" s="551"/>
      <c r="AX130" s="551"/>
      <c r="AY130" s="9"/>
      <c r="AZ130" s="48"/>
      <c r="BA130" s="360"/>
      <c r="BB130" s="360"/>
      <c r="BC130" s="360"/>
      <c r="BD130" s="360"/>
      <c r="BE130" s="360"/>
    </row>
    <row r="131" spans="8:57" x14ac:dyDescent="0.25">
      <c r="H131" s="548"/>
      <c r="I131" s="4"/>
      <c r="K131" s="4"/>
      <c r="L131" s="4"/>
      <c r="R131" s="360"/>
      <c r="S131" s="360"/>
      <c r="T131" s="360"/>
      <c r="U131" s="360"/>
      <c r="W131" s="360"/>
      <c r="X131" s="360"/>
      <c r="Y131" s="360"/>
      <c r="Z131" s="360"/>
      <c r="AA131" s="541"/>
      <c r="AB131" s="360"/>
      <c r="AC131" s="360"/>
      <c r="AD131" s="360"/>
      <c r="AE131" s="360"/>
      <c r="AG131" s="360"/>
      <c r="AH131" s="360"/>
      <c r="AI131" s="360"/>
      <c r="AJ131" s="360"/>
      <c r="AK131" s="360"/>
      <c r="AL131" s="360"/>
      <c r="AM131" s="360"/>
      <c r="AN131" s="360"/>
      <c r="AO131" s="360"/>
      <c r="AP131" s="360"/>
      <c r="AQ131" s="360"/>
      <c r="AR131" s="360"/>
      <c r="AS131" s="360"/>
      <c r="AT131" s="360"/>
      <c r="AV131" s="542"/>
      <c r="AW131" s="551"/>
      <c r="AX131" s="551"/>
      <c r="AY131" s="9"/>
      <c r="AZ131" s="48"/>
      <c r="BA131" s="360"/>
      <c r="BB131" s="360"/>
      <c r="BC131" s="360"/>
      <c r="BD131" s="360"/>
      <c r="BE131" s="360"/>
    </row>
    <row r="132" spans="8:57" x14ac:dyDescent="0.25">
      <c r="H132" s="548"/>
      <c r="I132" s="4"/>
      <c r="K132" s="4"/>
      <c r="L132" s="4"/>
      <c r="R132" s="360"/>
      <c r="S132" s="360"/>
      <c r="T132" s="360"/>
      <c r="U132" s="360"/>
      <c r="W132" s="360"/>
      <c r="X132" s="360"/>
      <c r="Y132" s="360"/>
      <c r="Z132" s="360"/>
      <c r="AA132" s="541"/>
      <c r="AB132" s="360"/>
      <c r="AC132" s="360"/>
      <c r="AD132" s="360"/>
      <c r="AE132" s="360"/>
      <c r="AG132" s="360"/>
      <c r="AH132" s="360"/>
      <c r="AI132" s="360"/>
      <c r="AJ132" s="360"/>
      <c r="AK132" s="360"/>
      <c r="AL132" s="360"/>
      <c r="AM132" s="360"/>
      <c r="AN132" s="360"/>
      <c r="AO132" s="360"/>
      <c r="AP132" s="360"/>
      <c r="AQ132" s="360"/>
      <c r="AR132" s="360"/>
      <c r="AS132" s="360"/>
      <c r="AT132" s="360"/>
      <c r="AV132" s="542"/>
      <c r="AW132" s="551"/>
      <c r="AX132" s="551"/>
      <c r="AY132" s="9"/>
      <c r="AZ132" s="48"/>
      <c r="BA132" s="360"/>
      <c r="BB132" s="360"/>
      <c r="BC132" s="360"/>
      <c r="BD132" s="360"/>
      <c r="BE132" s="360"/>
    </row>
    <row r="133" spans="8:57" x14ac:dyDescent="0.25">
      <c r="H133" s="548"/>
      <c r="I133" s="4"/>
      <c r="K133" s="4"/>
      <c r="L133" s="4"/>
      <c r="R133" s="360"/>
      <c r="S133" s="360"/>
      <c r="T133" s="360"/>
      <c r="U133" s="360"/>
      <c r="W133" s="360"/>
      <c r="X133" s="360"/>
      <c r="Y133" s="360"/>
      <c r="Z133" s="360"/>
      <c r="AA133" s="541"/>
      <c r="AB133" s="360"/>
      <c r="AC133" s="360"/>
      <c r="AD133" s="360"/>
      <c r="AE133" s="360"/>
      <c r="AG133" s="360"/>
      <c r="AH133" s="360"/>
      <c r="AI133" s="360"/>
      <c r="AJ133" s="360"/>
      <c r="AK133" s="360"/>
      <c r="AL133" s="360"/>
      <c r="AM133" s="360"/>
      <c r="AN133" s="360"/>
      <c r="AO133" s="360"/>
      <c r="AP133" s="360"/>
      <c r="AQ133" s="360"/>
      <c r="AR133" s="360"/>
      <c r="AS133" s="360"/>
      <c r="AT133" s="360"/>
      <c r="AV133" s="542"/>
      <c r="AW133" s="551"/>
      <c r="AX133" s="551"/>
      <c r="AY133" s="9"/>
      <c r="AZ133" s="48"/>
      <c r="BA133" s="360"/>
      <c r="BB133" s="360"/>
      <c r="BC133" s="360"/>
      <c r="BD133" s="360"/>
      <c r="BE133" s="360"/>
    </row>
    <row r="134" spans="8:57" x14ac:dyDescent="0.25">
      <c r="H134" s="548"/>
      <c r="I134" s="4"/>
      <c r="K134" s="4"/>
      <c r="L134" s="4"/>
      <c r="R134" s="360"/>
      <c r="S134" s="360"/>
      <c r="T134" s="360"/>
      <c r="U134" s="360"/>
      <c r="W134" s="360"/>
      <c r="X134" s="360"/>
      <c r="Y134" s="360"/>
      <c r="Z134" s="360"/>
      <c r="AA134" s="541"/>
      <c r="AB134" s="360"/>
      <c r="AC134" s="360"/>
      <c r="AD134" s="360"/>
      <c r="AE134" s="360"/>
      <c r="AG134" s="360"/>
      <c r="AH134" s="360"/>
      <c r="AI134" s="360"/>
      <c r="AJ134" s="360"/>
      <c r="AK134" s="360"/>
      <c r="AL134" s="360"/>
      <c r="AM134" s="360"/>
      <c r="AN134" s="360"/>
      <c r="AO134" s="360"/>
      <c r="AP134" s="360"/>
      <c r="AQ134" s="360"/>
      <c r="AR134" s="360"/>
      <c r="AS134" s="360"/>
      <c r="AT134" s="360"/>
      <c r="AV134" s="542"/>
      <c r="AW134" s="551"/>
      <c r="AX134" s="551"/>
      <c r="AY134" s="9"/>
      <c r="AZ134" s="48"/>
      <c r="BA134" s="360"/>
      <c r="BB134" s="360"/>
      <c r="BC134" s="360"/>
      <c r="BD134" s="360"/>
      <c r="BE134" s="360"/>
    </row>
    <row r="135" spans="8:57" x14ac:dyDescent="0.25">
      <c r="H135" s="548"/>
      <c r="I135" s="4"/>
      <c r="K135" s="4"/>
      <c r="L135" s="4"/>
      <c r="R135" s="360"/>
      <c r="S135" s="360"/>
      <c r="T135" s="360"/>
      <c r="U135" s="360"/>
      <c r="W135" s="360"/>
      <c r="X135" s="360"/>
      <c r="Y135" s="360"/>
      <c r="Z135" s="360"/>
      <c r="AA135" s="541"/>
      <c r="AB135" s="360"/>
      <c r="AC135" s="360"/>
      <c r="AD135" s="360"/>
      <c r="AE135" s="360"/>
      <c r="AG135" s="360"/>
      <c r="AH135" s="360"/>
      <c r="AI135" s="360"/>
      <c r="AJ135" s="360"/>
      <c r="AK135" s="360"/>
      <c r="AL135" s="360"/>
      <c r="AM135" s="360"/>
      <c r="AN135" s="360"/>
      <c r="AO135" s="360"/>
      <c r="AP135" s="360"/>
      <c r="AQ135" s="360"/>
      <c r="AR135" s="360"/>
      <c r="AS135" s="360"/>
      <c r="AT135" s="360"/>
      <c r="AV135" s="542"/>
      <c r="AW135" s="551"/>
      <c r="AX135" s="551"/>
      <c r="AY135" s="9"/>
      <c r="AZ135" s="48"/>
      <c r="BA135" s="360"/>
      <c r="BB135" s="360"/>
      <c r="BC135" s="360"/>
      <c r="BD135" s="360"/>
      <c r="BE135" s="360"/>
    </row>
    <row r="136" spans="8:57" x14ac:dyDescent="0.25">
      <c r="H136" s="548"/>
      <c r="I136" s="4"/>
      <c r="K136" s="4"/>
      <c r="L136" s="4"/>
      <c r="R136" s="360"/>
      <c r="S136" s="360"/>
      <c r="T136" s="360"/>
      <c r="U136" s="360"/>
      <c r="W136" s="360"/>
      <c r="X136" s="360"/>
      <c r="Y136" s="360"/>
      <c r="Z136" s="360"/>
      <c r="AA136" s="541"/>
      <c r="AB136" s="360"/>
      <c r="AC136" s="360"/>
      <c r="AD136" s="360"/>
      <c r="AE136" s="360"/>
      <c r="AG136" s="360"/>
      <c r="AH136" s="360"/>
      <c r="AI136" s="360"/>
      <c r="AJ136" s="360"/>
      <c r="AK136" s="360"/>
      <c r="AL136" s="360"/>
      <c r="AM136" s="360"/>
      <c r="AN136" s="360"/>
      <c r="AO136" s="360"/>
      <c r="AP136" s="360"/>
      <c r="AQ136" s="360"/>
      <c r="AR136" s="360"/>
      <c r="AS136" s="360"/>
      <c r="AT136" s="360"/>
      <c r="AV136" s="542"/>
      <c r="AW136" s="551"/>
      <c r="AX136" s="551"/>
      <c r="AY136" s="9"/>
      <c r="AZ136" s="48"/>
      <c r="BA136" s="360"/>
      <c r="BB136" s="360"/>
      <c r="BC136" s="360"/>
      <c r="BD136" s="360"/>
      <c r="BE136" s="360"/>
    </row>
    <row r="137" spans="8:57" x14ac:dyDescent="0.25">
      <c r="H137" s="548"/>
      <c r="I137" s="4"/>
      <c r="K137" s="4"/>
      <c r="L137" s="4"/>
      <c r="R137" s="360"/>
      <c r="S137" s="360"/>
      <c r="T137" s="360"/>
      <c r="U137" s="360"/>
      <c r="W137" s="360"/>
      <c r="X137" s="360"/>
      <c r="Y137" s="360"/>
      <c r="Z137" s="360"/>
      <c r="AA137" s="541"/>
      <c r="AB137" s="360"/>
      <c r="AC137" s="360"/>
      <c r="AD137" s="360"/>
      <c r="AE137" s="360"/>
      <c r="AG137" s="360"/>
      <c r="AH137" s="360"/>
      <c r="AI137" s="360"/>
      <c r="AJ137" s="360"/>
      <c r="AK137" s="360"/>
      <c r="AL137" s="360"/>
      <c r="AM137" s="360"/>
      <c r="AN137" s="360"/>
      <c r="AO137" s="360"/>
      <c r="AP137" s="360"/>
      <c r="AQ137" s="360"/>
      <c r="AR137" s="360"/>
      <c r="AS137" s="360"/>
      <c r="AT137" s="360"/>
      <c r="AV137" s="542"/>
      <c r="AW137" s="551"/>
      <c r="AX137" s="551"/>
      <c r="AY137" s="9"/>
      <c r="AZ137" s="48"/>
      <c r="BA137" s="360"/>
      <c r="BB137" s="360"/>
      <c r="BC137" s="360"/>
      <c r="BD137" s="360"/>
      <c r="BE137" s="360"/>
    </row>
    <row r="138" spans="8:57" x14ac:dyDescent="0.25">
      <c r="H138" s="548"/>
      <c r="I138" s="4"/>
      <c r="K138" s="4"/>
      <c r="L138" s="4"/>
      <c r="R138" s="360"/>
      <c r="S138" s="360"/>
      <c r="T138" s="360"/>
      <c r="U138" s="360"/>
      <c r="W138" s="360"/>
      <c r="X138" s="360"/>
      <c r="Y138" s="360"/>
      <c r="Z138" s="360"/>
      <c r="AA138" s="541"/>
      <c r="AB138" s="360"/>
      <c r="AC138" s="360"/>
      <c r="AD138" s="360"/>
      <c r="AE138" s="360"/>
      <c r="AG138" s="360"/>
      <c r="AH138" s="360"/>
      <c r="AI138" s="360"/>
      <c r="AJ138" s="360"/>
      <c r="AK138" s="360"/>
      <c r="AL138" s="360"/>
      <c r="AM138" s="360"/>
      <c r="AN138" s="360"/>
      <c r="AO138" s="360"/>
      <c r="AP138" s="360"/>
      <c r="AQ138" s="360"/>
      <c r="AR138" s="360"/>
      <c r="AS138" s="360"/>
      <c r="AT138" s="360"/>
      <c r="AV138" s="542"/>
      <c r="AW138" s="551"/>
      <c r="AX138" s="551"/>
      <c r="AY138" s="9"/>
      <c r="AZ138" s="48"/>
      <c r="BA138" s="360"/>
      <c r="BB138" s="360"/>
      <c r="BC138" s="360"/>
      <c r="BD138" s="360"/>
      <c r="BE138" s="360"/>
    </row>
    <row r="139" spans="8:57" x14ac:dyDescent="0.25">
      <c r="H139" s="548"/>
      <c r="I139" s="4"/>
      <c r="K139" s="4"/>
      <c r="L139" s="4"/>
      <c r="R139" s="360"/>
      <c r="S139" s="360"/>
      <c r="T139" s="360"/>
      <c r="U139" s="360"/>
      <c r="W139" s="360"/>
      <c r="X139" s="360"/>
      <c r="Y139" s="360"/>
      <c r="Z139" s="360"/>
      <c r="AA139" s="541"/>
      <c r="AB139" s="360"/>
      <c r="AC139" s="360"/>
      <c r="AD139" s="360"/>
      <c r="AE139" s="360"/>
      <c r="AG139" s="360"/>
      <c r="AH139" s="360"/>
      <c r="AI139" s="360"/>
      <c r="AJ139" s="360"/>
      <c r="AK139" s="360"/>
      <c r="AL139" s="360"/>
      <c r="AM139" s="360"/>
      <c r="AN139" s="360"/>
      <c r="AO139" s="360"/>
      <c r="AP139" s="360"/>
      <c r="AQ139" s="360"/>
      <c r="AR139" s="360"/>
      <c r="AS139" s="360"/>
      <c r="AT139" s="360"/>
      <c r="AV139" s="542"/>
      <c r="AW139" s="551"/>
      <c r="AX139" s="551"/>
      <c r="AY139" s="9"/>
      <c r="AZ139" s="48"/>
      <c r="BA139" s="360"/>
      <c r="BB139" s="360"/>
      <c r="BC139" s="360"/>
      <c r="BD139" s="360"/>
      <c r="BE139" s="360"/>
    </row>
    <row r="140" spans="8:57" x14ac:dyDescent="0.25">
      <c r="H140" s="548"/>
      <c r="I140" s="4"/>
      <c r="K140" s="4"/>
      <c r="L140" s="4"/>
      <c r="R140" s="360"/>
      <c r="S140" s="360"/>
      <c r="T140" s="360"/>
      <c r="U140" s="360"/>
      <c r="W140" s="360"/>
      <c r="X140" s="360"/>
      <c r="Y140" s="360"/>
      <c r="Z140" s="360"/>
      <c r="AA140" s="541"/>
      <c r="AB140" s="360"/>
      <c r="AC140" s="360"/>
      <c r="AD140" s="360"/>
      <c r="AE140" s="360"/>
      <c r="AG140" s="360"/>
      <c r="AH140" s="360"/>
      <c r="AI140" s="360"/>
      <c r="AJ140" s="360"/>
      <c r="AK140" s="360"/>
      <c r="AL140" s="360"/>
      <c r="AM140" s="360"/>
      <c r="AN140" s="360"/>
      <c r="AO140" s="360"/>
      <c r="AP140" s="360"/>
      <c r="AQ140" s="360"/>
      <c r="AR140" s="360"/>
      <c r="AS140" s="360"/>
      <c r="AT140" s="360"/>
      <c r="AV140" s="542"/>
      <c r="AW140" s="551"/>
      <c r="AX140" s="551"/>
      <c r="AY140" s="9"/>
      <c r="AZ140" s="48"/>
      <c r="BA140" s="360"/>
      <c r="BB140" s="360"/>
      <c r="BC140" s="360"/>
      <c r="BD140" s="360"/>
      <c r="BE140" s="360"/>
    </row>
    <row r="141" spans="8:57" x14ac:dyDescent="0.25">
      <c r="H141" s="548"/>
      <c r="I141" s="4"/>
      <c r="K141" s="4"/>
      <c r="L141" s="4"/>
      <c r="R141" s="360"/>
      <c r="S141" s="360"/>
      <c r="T141" s="360"/>
      <c r="U141" s="360"/>
      <c r="W141" s="360"/>
      <c r="X141" s="360"/>
      <c r="Y141" s="360"/>
      <c r="Z141" s="360"/>
      <c r="AA141" s="541"/>
      <c r="AB141" s="360"/>
      <c r="AC141" s="360"/>
      <c r="AD141" s="360"/>
      <c r="AE141" s="360"/>
      <c r="AG141" s="360"/>
      <c r="AH141" s="360"/>
      <c r="AI141" s="360"/>
      <c r="AJ141" s="360"/>
      <c r="AK141" s="360"/>
      <c r="AL141" s="360"/>
      <c r="AM141" s="360"/>
      <c r="AN141" s="360"/>
      <c r="AO141" s="360"/>
      <c r="AP141" s="360"/>
      <c r="AQ141" s="360"/>
      <c r="AR141" s="360"/>
      <c r="AS141" s="360"/>
      <c r="AT141" s="360"/>
      <c r="AV141" s="542"/>
      <c r="AW141" s="551"/>
      <c r="AX141" s="551"/>
      <c r="AY141" s="9"/>
      <c r="AZ141" s="48"/>
      <c r="BA141" s="360"/>
      <c r="BB141" s="360"/>
      <c r="BC141" s="360"/>
      <c r="BD141" s="360"/>
      <c r="BE141" s="360"/>
    </row>
    <row r="142" spans="8:57" x14ac:dyDescent="0.25">
      <c r="H142" s="548"/>
      <c r="I142" s="4"/>
      <c r="K142" s="4"/>
      <c r="L142" s="4"/>
      <c r="R142" s="360"/>
      <c r="S142" s="360"/>
      <c r="T142" s="360"/>
      <c r="U142" s="360"/>
      <c r="W142" s="360"/>
      <c r="X142" s="360"/>
      <c r="Y142" s="360"/>
      <c r="Z142" s="360"/>
      <c r="AA142" s="541"/>
      <c r="AB142" s="360"/>
      <c r="AC142" s="360"/>
      <c r="AD142" s="360"/>
      <c r="AE142" s="360"/>
      <c r="AG142" s="360"/>
      <c r="AH142" s="360"/>
      <c r="AI142" s="360"/>
      <c r="AJ142" s="360"/>
      <c r="AK142" s="360"/>
      <c r="AL142" s="360"/>
      <c r="AM142" s="360"/>
      <c r="AN142" s="360"/>
      <c r="AO142" s="360"/>
      <c r="AP142" s="360"/>
      <c r="AQ142" s="360"/>
      <c r="AR142" s="360"/>
      <c r="AS142" s="360"/>
      <c r="AT142" s="360"/>
      <c r="AV142" s="542"/>
      <c r="AW142" s="551"/>
      <c r="AX142" s="551"/>
      <c r="AY142" s="9"/>
      <c r="AZ142" s="48"/>
      <c r="BA142" s="360"/>
      <c r="BB142" s="360"/>
      <c r="BC142" s="360"/>
      <c r="BD142" s="360"/>
      <c r="BE142" s="360"/>
    </row>
    <row r="143" spans="8:57" x14ac:dyDescent="0.25">
      <c r="H143" s="548"/>
      <c r="I143" s="4"/>
      <c r="K143" s="4"/>
      <c r="L143" s="4"/>
      <c r="R143" s="360"/>
      <c r="S143" s="360"/>
      <c r="T143" s="360"/>
      <c r="U143" s="360"/>
      <c r="W143" s="360"/>
      <c r="X143" s="360"/>
      <c r="Y143" s="360"/>
      <c r="Z143" s="360"/>
      <c r="AA143" s="541"/>
      <c r="AB143" s="360"/>
      <c r="AC143" s="360"/>
      <c r="AD143" s="360"/>
      <c r="AE143" s="360"/>
      <c r="AG143" s="360"/>
      <c r="AH143" s="360"/>
      <c r="AI143" s="360"/>
      <c r="AJ143" s="360"/>
      <c r="AK143" s="360"/>
      <c r="AL143" s="360"/>
      <c r="AM143" s="360"/>
      <c r="AN143" s="360"/>
      <c r="AO143" s="360"/>
      <c r="AP143" s="360"/>
      <c r="AQ143" s="360"/>
      <c r="AR143" s="360"/>
      <c r="AS143" s="360"/>
      <c r="AT143" s="360"/>
      <c r="AV143" s="542"/>
      <c r="AW143" s="551"/>
      <c r="AX143" s="551"/>
      <c r="AY143" s="9"/>
      <c r="AZ143" s="48"/>
      <c r="BA143" s="360"/>
      <c r="BB143" s="360"/>
      <c r="BC143" s="360"/>
      <c r="BD143" s="360"/>
      <c r="BE143" s="360"/>
    </row>
    <row r="144" spans="8:57" x14ac:dyDescent="0.25">
      <c r="H144" s="548"/>
      <c r="I144" s="4"/>
      <c r="K144" s="4"/>
      <c r="L144" s="4"/>
      <c r="R144" s="360"/>
      <c r="S144" s="360"/>
      <c r="T144" s="360"/>
      <c r="U144" s="360"/>
      <c r="W144" s="360"/>
      <c r="X144" s="360"/>
      <c r="Y144" s="360"/>
      <c r="Z144" s="360"/>
      <c r="AA144" s="541"/>
      <c r="AB144" s="360"/>
      <c r="AC144" s="360"/>
      <c r="AD144" s="360"/>
      <c r="AE144" s="360"/>
      <c r="AG144" s="360"/>
      <c r="AH144" s="360"/>
      <c r="AI144" s="360"/>
      <c r="AJ144" s="360"/>
      <c r="AK144" s="360"/>
      <c r="AL144" s="360"/>
      <c r="AM144" s="360"/>
      <c r="AN144" s="360"/>
      <c r="AO144" s="360"/>
      <c r="AP144" s="360"/>
      <c r="AQ144" s="360"/>
      <c r="AR144" s="360"/>
      <c r="AS144" s="360"/>
      <c r="AT144" s="360"/>
      <c r="AV144" s="542"/>
      <c r="AW144" s="551"/>
      <c r="AX144" s="551"/>
      <c r="AY144" s="9"/>
      <c r="AZ144" s="48"/>
      <c r="BA144" s="360"/>
      <c r="BB144" s="360"/>
      <c r="BC144" s="360"/>
      <c r="BD144" s="360"/>
      <c r="BE144" s="360"/>
    </row>
    <row r="145" spans="8:57" x14ac:dyDescent="0.25">
      <c r="H145" s="548"/>
      <c r="I145" s="4"/>
      <c r="K145" s="4"/>
      <c r="L145" s="4"/>
      <c r="R145" s="360"/>
      <c r="S145" s="360"/>
      <c r="T145" s="360"/>
      <c r="U145" s="360"/>
      <c r="W145" s="360"/>
      <c r="X145" s="360"/>
      <c r="Y145" s="360"/>
      <c r="Z145" s="360"/>
      <c r="AA145" s="541"/>
      <c r="AB145" s="360"/>
      <c r="AC145" s="360"/>
      <c r="AD145" s="360"/>
      <c r="AE145" s="360"/>
      <c r="AG145" s="360"/>
      <c r="AH145" s="360"/>
      <c r="AI145" s="360"/>
      <c r="AJ145" s="360"/>
      <c r="AK145" s="360"/>
      <c r="AL145" s="360"/>
      <c r="AM145" s="360"/>
      <c r="AN145" s="360"/>
      <c r="AO145" s="360"/>
      <c r="AP145" s="360"/>
      <c r="AQ145" s="360"/>
      <c r="AR145" s="360"/>
      <c r="AS145" s="360"/>
      <c r="AT145" s="360"/>
      <c r="AV145" s="542"/>
      <c r="AW145" s="551"/>
      <c r="AX145" s="551"/>
      <c r="AY145" s="9"/>
      <c r="AZ145" s="48"/>
      <c r="BA145" s="360"/>
      <c r="BB145" s="360"/>
      <c r="BC145" s="360"/>
      <c r="BD145" s="360"/>
      <c r="BE145" s="360"/>
    </row>
    <row r="146" spans="8:57" x14ac:dyDescent="0.25">
      <c r="H146" s="548"/>
      <c r="I146" s="4"/>
      <c r="K146" s="4"/>
      <c r="L146" s="4"/>
      <c r="R146" s="360"/>
      <c r="S146" s="360"/>
      <c r="T146" s="360"/>
      <c r="U146" s="360"/>
      <c r="W146" s="360"/>
      <c r="X146" s="360"/>
      <c r="Y146" s="360"/>
      <c r="Z146" s="360"/>
      <c r="AA146" s="541"/>
      <c r="AB146" s="360"/>
      <c r="AC146" s="360"/>
      <c r="AD146" s="360"/>
      <c r="AE146" s="360"/>
      <c r="AG146" s="360"/>
      <c r="AH146" s="360"/>
      <c r="AI146" s="360"/>
      <c r="AJ146" s="360"/>
      <c r="AK146" s="360"/>
      <c r="AL146" s="360"/>
      <c r="AM146" s="360"/>
      <c r="AN146" s="360"/>
      <c r="AO146" s="360"/>
      <c r="AP146" s="360"/>
      <c r="AQ146" s="360"/>
      <c r="AR146" s="360"/>
      <c r="AS146" s="360"/>
      <c r="AT146" s="360"/>
      <c r="AV146" s="542"/>
      <c r="AW146" s="551"/>
      <c r="AX146" s="551"/>
      <c r="AY146" s="9"/>
      <c r="AZ146" s="48"/>
      <c r="BA146" s="360"/>
      <c r="BB146" s="360"/>
      <c r="BC146" s="360"/>
      <c r="BD146" s="360"/>
      <c r="BE146" s="360"/>
    </row>
    <row r="147" spans="8:57" x14ac:dyDescent="0.25">
      <c r="H147" s="548"/>
      <c r="I147" s="4"/>
      <c r="K147" s="4"/>
      <c r="L147" s="4"/>
      <c r="R147" s="360"/>
      <c r="S147" s="360"/>
      <c r="T147" s="360"/>
      <c r="U147" s="360"/>
      <c r="W147" s="360"/>
      <c r="X147" s="360"/>
      <c r="Y147" s="360"/>
      <c r="Z147" s="360"/>
      <c r="AA147" s="541"/>
      <c r="AB147" s="360"/>
      <c r="AC147" s="360"/>
      <c r="AD147" s="360"/>
      <c r="AE147" s="360"/>
      <c r="AG147" s="360"/>
      <c r="AH147" s="360"/>
      <c r="AI147" s="360"/>
      <c r="AJ147" s="360"/>
      <c r="AK147" s="360"/>
      <c r="AL147" s="360"/>
      <c r="AM147" s="360"/>
      <c r="AN147" s="360"/>
      <c r="AO147" s="360"/>
      <c r="AP147" s="360"/>
      <c r="AQ147" s="360"/>
      <c r="AR147" s="360"/>
      <c r="AS147" s="360"/>
      <c r="AT147" s="360"/>
      <c r="AV147" s="542"/>
      <c r="AW147" s="551"/>
      <c r="AX147" s="551"/>
      <c r="AY147" s="9"/>
      <c r="AZ147" s="48"/>
      <c r="BA147" s="360"/>
      <c r="BB147" s="360"/>
      <c r="BC147" s="360"/>
      <c r="BD147" s="360"/>
      <c r="BE147" s="360"/>
    </row>
    <row r="148" spans="8:57" x14ac:dyDescent="0.25">
      <c r="H148" s="548"/>
      <c r="I148" s="4"/>
      <c r="K148" s="4"/>
      <c r="L148" s="4"/>
      <c r="R148" s="360"/>
      <c r="S148" s="360"/>
      <c r="T148" s="360"/>
      <c r="U148" s="360"/>
      <c r="W148" s="360"/>
      <c r="X148" s="360"/>
      <c r="Y148" s="360"/>
      <c r="Z148" s="360"/>
      <c r="AA148" s="541"/>
      <c r="AB148" s="360"/>
      <c r="AC148" s="360"/>
      <c r="AD148" s="360"/>
      <c r="AE148" s="360"/>
      <c r="AG148" s="360"/>
      <c r="AH148" s="360"/>
      <c r="AI148" s="360"/>
      <c r="AJ148" s="360"/>
      <c r="AK148" s="360"/>
      <c r="AL148" s="360"/>
      <c r="AM148" s="360"/>
      <c r="AN148" s="360"/>
      <c r="AO148" s="360"/>
      <c r="AP148" s="360"/>
      <c r="AQ148" s="360"/>
      <c r="AR148" s="360"/>
      <c r="AS148" s="360"/>
      <c r="AT148" s="360"/>
      <c r="AV148" s="542"/>
      <c r="AW148" s="551"/>
      <c r="AX148" s="551"/>
      <c r="AY148" s="9"/>
      <c r="AZ148" s="48"/>
      <c r="BA148" s="360"/>
      <c r="BB148" s="360"/>
      <c r="BC148" s="360"/>
      <c r="BD148" s="360"/>
      <c r="BE148" s="360"/>
    </row>
    <row r="149" spans="8:57" x14ac:dyDescent="0.25">
      <c r="H149" s="548"/>
      <c r="I149" s="4"/>
      <c r="K149" s="4"/>
      <c r="L149" s="4"/>
      <c r="R149" s="360"/>
      <c r="S149" s="360"/>
      <c r="T149" s="360"/>
      <c r="U149" s="360"/>
      <c r="W149" s="360"/>
      <c r="X149" s="360"/>
      <c r="Y149" s="360"/>
      <c r="Z149" s="360"/>
      <c r="AA149" s="541"/>
      <c r="AB149" s="360"/>
      <c r="AC149" s="360"/>
      <c r="AD149" s="360"/>
      <c r="AE149" s="360"/>
      <c r="AG149" s="360"/>
      <c r="AH149" s="360"/>
      <c r="AI149" s="360"/>
      <c r="AJ149" s="360"/>
      <c r="AK149" s="360"/>
      <c r="AL149" s="360"/>
      <c r="AM149" s="360"/>
      <c r="AN149" s="360"/>
      <c r="AO149" s="360"/>
      <c r="AP149" s="360"/>
      <c r="AQ149" s="360"/>
      <c r="AR149" s="360"/>
      <c r="AS149" s="360"/>
      <c r="AT149" s="360"/>
      <c r="AV149" s="542"/>
      <c r="AW149" s="551"/>
      <c r="AX149" s="551"/>
      <c r="AY149" s="9"/>
      <c r="AZ149" s="48"/>
      <c r="BA149" s="360"/>
      <c r="BB149" s="360"/>
      <c r="BC149" s="360"/>
      <c r="BD149" s="360"/>
      <c r="BE149" s="360"/>
    </row>
    <row r="150" spans="8:57" x14ac:dyDescent="0.25">
      <c r="H150" s="548"/>
      <c r="I150" s="4"/>
      <c r="K150" s="4"/>
      <c r="L150" s="4"/>
      <c r="R150" s="360"/>
      <c r="S150" s="360"/>
      <c r="T150" s="360"/>
      <c r="U150" s="360"/>
      <c r="W150" s="360"/>
      <c r="X150" s="360"/>
      <c r="Y150" s="360"/>
      <c r="Z150" s="360"/>
      <c r="AA150" s="541"/>
      <c r="AB150" s="360"/>
      <c r="AC150" s="360"/>
      <c r="AD150" s="360"/>
      <c r="AE150" s="360"/>
      <c r="AG150" s="360"/>
      <c r="AH150" s="360"/>
      <c r="AI150" s="360"/>
      <c r="AJ150" s="360"/>
      <c r="AK150" s="360"/>
      <c r="AL150" s="360"/>
      <c r="AM150" s="360"/>
      <c r="AN150" s="360"/>
      <c r="AO150" s="360"/>
      <c r="AP150" s="360"/>
      <c r="AQ150" s="360"/>
      <c r="AR150" s="360"/>
      <c r="AS150" s="360"/>
      <c r="AT150" s="360"/>
      <c r="AV150" s="542"/>
      <c r="AW150" s="551"/>
      <c r="AX150" s="551"/>
      <c r="AY150" s="9"/>
      <c r="AZ150" s="48"/>
      <c r="BA150" s="360"/>
      <c r="BB150" s="360"/>
      <c r="BC150" s="360"/>
      <c r="BD150" s="360"/>
      <c r="BE150" s="360"/>
    </row>
    <row r="151" spans="8:57" x14ac:dyDescent="0.25">
      <c r="H151" s="548"/>
      <c r="I151" s="4"/>
      <c r="K151" s="4"/>
      <c r="L151" s="4"/>
      <c r="R151" s="360"/>
      <c r="S151" s="360"/>
      <c r="T151" s="360"/>
      <c r="U151" s="360"/>
      <c r="W151" s="360"/>
      <c r="X151" s="360"/>
      <c r="Y151" s="360"/>
      <c r="Z151" s="360"/>
      <c r="AA151" s="541"/>
      <c r="AB151" s="360"/>
      <c r="AC151" s="360"/>
      <c r="AD151" s="360"/>
      <c r="AE151" s="360"/>
      <c r="AG151" s="360"/>
      <c r="AH151" s="360"/>
      <c r="AI151" s="360"/>
      <c r="AJ151" s="360"/>
      <c r="AK151" s="360"/>
      <c r="AL151" s="360"/>
      <c r="AM151" s="360"/>
      <c r="AN151" s="360"/>
      <c r="AO151" s="360"/>
      <c r="AP151" s="360"/>
      <c r="AQ151" s="360"/>
      <c r="AR151" s="360"/>
      <c r="AS151" s="360"/>
      <c r="AT151" s="360"/>
      <c r="AV151" s="542"/>
      <c r="AW151" s="551"/>
      <c r="AX151" s="551"/>
      <c r="AY151" s="9"/>
      <c r="AZ151" s="48"/>
      <c r="BA151" s="360"/>
      <c r="BB151" s="360"/>
      <c r="BC151" s="360"/>
      <c r="BD151" s="360"/>
      <c r="BE151" s="360"/>
    </row>
    <row r="152" spans="8:57" x14ac:dyDescent="0.25">
      <c r="H152" s="548"/>
      <c r="I152" s="4"/>
      <c r="K152" s="4"/>
      <c r="L152" s="4"/>
      <c r="R152" s="360"/>
      <c r="S152" s="360"/>
      <c r="T152" s="360"/>
      <c r="U152" s="360"/>
      <c r="W152" s="360"/>
      <c r="X152" s="360"/>
      <c r="Y152" s="360"/>
      <c r="Z152" s="360"/>
      <c r="AA152" s="541"/>
      <c r="AB152" s="360"/>
      <c r="AC152" s="360"/>
      <c r="AD152" s="360"/>
      <c r="AE152" s="360"/>
      <c r="AG152" s="360"/>
      <c r="AH152" s="360"/>
      <c r="AI152" s="360"/>
      <c r="AJ152" s="360"/>
      <c r="AK152" s="360"/>
      <c r="AL152" s="360"/>
      <c r="AM152" s="360"/>
      <c r="AN152" s="360"/>
      <c r="AO152" s="360"/>
      <c r="AP152" s="360"/>
      <c r="AQ152" s="360"/>
      <c r="AR152" s="360"/>
      <c r="AS152" s="360"/>
      <c r="AT152" s="360"/>
      <c r="AV152" s="542"/>
      <c r="AW152" s="551"/>
      <c r="AX152" s="551"/>
      <c r="AY152" s="9"/>
      <c r="AZ152" s="48"/>
      <c r="BA152" s="360"/>
      <c r="BB152" s="360"/>
      <c r="BC152" s="360"/>
      <c r="BD152" s="360"/>
      <c r="BE152" s="360"/>
    </row>
    <row r="153" spans="8:57" x14ac:dyDescent="0.25">
      <c r="H153" s="548"/>
      <c r="I153" s="4"/>
      <c r="K153" s="4"/>
      <c r="L153" s="4"/>
      <c r="R153" s="360"/>
      <c r="S153" s="360"/>
      <c r="T153" s="360"/>
      <c r="U153" s="360"/>
      <c r="W153" s="360"/>
      <c r="X153" s="360"/>
      <c r="Y153" s="360"/>
      <c r="Z153" s="360"/>
      <c r="AA153" s="541"/>
      <c r="AB153" s="360"/>
      <c r="AC153" s="360"/>
      <c r="AD153" s="360"/>
      <c r="AE153" s="360"/>
      <c r="AG153" s="360"/>
      <c r="AH153" s="360"/>
      <c r="AI153" s="360"/>
      <c r="AJ153" s="360"/>
      <c r="AK153" s="360"/>
      <c r="AL153" s="360"/>
      <c r="AM153" s="360"/>
      <c r="AN153" s="360"/>
      <c r="AO153" s="360"/>
      <c r="AP153" s="360"/>
      <c r="AQ153" s="360"/>
      <c r="AR153" s="360"/>
      <c r="AS153" s="360"/>
      <c r="AT153" s="360"/>
      <c r="AV153" s="542"/>
      <c r="AW153" s="551"/>
      <c r="AX153" s="551"/>
      <c r="AY153" s="9"/>
      <c r="AZ153" s="48"/>
      <c r="BA153" s="360"/>
      <c r="BB153" s="360"/>
      <c r="BC153" s="360"/>
      <c r="BD153" s="360"/>
      <c r="BE153" s="360"/>
    </row>
    <row r="154" spans="8:57" x14ac:dyDescent="0.25">
      <c r="H154" s="548"/>
      <c r="I154" s="4"/>
      <c r="K154" s="4"/>
      <c r="L154" s="4"/>
      <c r="R154" s="360"/>
      <c r="S154" s="360"/>
      <c r="T154" s="360"/>
      <c r="U154" s="360"/>
      <c r="W154" s="360"/>
      <c r="X154" s="360"/>
      <c r="Y154" s="360"/>
      <c r="Z154" s="360"/>
      <c r="AA154" s="541"/>
      <c r="AB154" s="360"/>
      <c r="AC154" s="360"/>
      <c r="AD154" s="360"/>
      <c r="AE154" s="360"/>
      <c r="AG154" s="360"/>
      <c r="AH154" s="360"/>
      <c r="AI154" s="360"/>
      <c r="AJ154" s="360"/>
      <c r="AK154" s="360"/>
      <c r="AL154" s="360"/>
      <c r="AM154" s="360"/>
      <c r="AN154" s="360"/>
      <c r="AO154" s="360"/>
      <c r="AP154" s="360"/>
      <c r="AQ154" s="360"/>
      <c r="AR154" s="360"/>
      <c r="AS154" s="360"/>
      <c r="AT154" s="360"/>
      <c r="AV154" s="542"/>
      <c r="AW154" s="551"/>
      <c r="AX154" s="551"/>
      <c r="AY154" s="9"/>
      <c r="AZ154" s="48"/>
      <c r="BA154" s="360"/>
      <c r="BB154" s="360"/>
      <c r="BC154" s="360"/>
      <c r="BD154" s="360"/>
      <c r="BE154" s="360"/>
    </row>
    <row r="155" spans="8:57" x14ac:dyDescent="0.25">
      <c r="H155" s="548"/>
      <c r="I155" s="4"/>
      <c r="K155" s="4"/>
      <c r="L155" s="4"/>
      <c r="R155" s="360"/>
      <c r="S155" s="360"/>
      <c r="T155" s="360"/>
      <c r="U155" s="360"/>
      <c r="W155" s="360"/>
      <c r="X155" s="360"/>
      <c r="Y155" s="360"/>
      <c r="Z155" s="360"/>
      <c r="AA155" s="541"/>
      <c r="AB155" s="360"/>
      <c r="AC155" s="360"/>
      <c r="AD155" s="360"/>
      <c r="AE155" s="360"/>
      <c r="AG155" s="360"/>
      <c r="AH155" s="360"/>
      <c r="AI155" s="360"/>
      <c r="AJ155" s="360"/>
      <c r="AK155" s="360"/>
      <c r="AL155" s="360"/>
      <c r="AM155" s="360"/>
      <c r="AN155" s="360"/>
      <c r="AO155" s="360"/>
      <c r="AP155" s="360"/>
      <c r="AQ155" s="360"/>
      <c r="AR155" s="360"/>
      <c r="AS155" s="360"/>
      <c r="AT155" s="360"/>
      <c r="AV155" s="542"/>
      <c r="AW155" s="551"/>
      <c r="AX155" s="551"/>
      <c r="AY155" s="9"/>
      <c r="AZ155" s="48"/>
      <c r="BA155" s="360"/>
      <c r="BB155" s="360"/>
      <c r="BC155" s="360"/>
      <c r="BD155" s="360"/>
      <c r="BE155" s="360"/>
    </row>
    <row r="156" spans="8:57" x14ac:dyDescent="0.25">
      <c r="H156" s="548"/>
      <c r="I156" s="4"/>
      <c r="K156" s="4"/>
      <c r="L156" s="4"/>
      <c r="R156" s="360"/>
      <c r="S156" s="360"/>
      <c r="T156" s="360"/>
      <c r="U156" s="360"/>
      <c r="W156" s="360"/>
      <c r="X156" s="360"/>
      <c r="Y156" s="360"/>
      <c r="Z156" s="360"/>
      <c r="AA156" s="541"/>
      <c r="AB156" s="360"/>
      <c r="AC156" s="360"/>
      <c r="AD156" s="360"/>
      <c r="AE156" s="360"/>
      <c r="AG156" s="360"/>
      <c r="AH156" s="360"/>
      <c r="AI156" s="360"/>
      <c r="AJ156" s="360"/>
      <c r="AK156" s="360"/>
      <c r="AL156" s="360"/>
      <c r="AM156" s="360"/>
      <c r="AN156" s="360"/>
      <c r="AO156" s="360"/>
      <c r="AP156" s="360"/>
      <c r="AQ156" s="360"/>
      <c r="AR156" s="360"/>
      <c r="AS156" s="360"/>
      <c r="AT156" s="360"/>
      <c r="AV156" s="542"/>
      <c r="AW156" s="551"/>
      <c r="AX156" s="551"/>
      <c r="AY156" s="9"/>
      <c r="AZ156" s="48"/>
      <c r="BA156" s="360"/>
      <c r="BB156" s="360"/>
      <c r="BC156" s="360"/>
      <c r="BD156" s="360"/>
      <c r="BE156" s="360"/>
    </row>
    <row r="157" spans="8:57" x14ac:dyDescent="0.25">
      <c r="H157" s="548"/>
      <c r="I157" s="4"/>
      <c r="K157" s="4"/>
      <c r="L157" s="4"/>
      <c r="R157" s="360"/>
      <c r="S157" s="360"/>
      <c r="T157" s="360"/>
      <c r="U157" s="360"/>
      <c r="W157" s="360"/>
      <c r="X157" s="360"/>
      <c r="Y157" s="360"/>
      <c r="Z157" s="360"/>
      <c r="AA157" s="541"/>
      <c r="AB157" s="360"/>
      <c r="AC157" s="360"/>
      <c r="AD157" s="360"/>
      <c r="AE157" s="360"/>
      <c r="AG157" s="360"/>
      <c r="AH157" s="360"/>
      <c r="AI157" s="360"/>
      <c r="AJ157" s="360"/>
      <c r="AK157" s="360"/>
      <c r="AL157" s="360"/>
      <c r="AM157" s="360"/>
      <c r="AN157" s="360"/>
      <c r="AO157" s="360"/>
      <c r="AP157" s="360"/>
      <c r="AQ157" s="360"/>
      <c r="AR157" s="360"/>
      <c r="AS157" s="360"/>
      <c r="AT157" s="360"/>
      <c r="AV157" s="542"/>
      <c r="AW157" s="551"/>
      <c r="AX157" s="551"/>
      <c r="AY157" s="9"/>
      <c r="AZ157" s="48"/>
      <c r="BA157" s="360"/>
      <c r="BB157" s="360"/>
      <c r="BC157" s="360"/>
      <c r="BD157" s="360"/>
      <c r="BE157" s="360"/>
    </row>
    <row r="158" spans="8:57" x14ac:dyDescent="0.25">
      <c r="H158" s="548"/>
      <c r="I158" s="4"/>
      <c r="K158" s="4"/>
      <c r="L158" s="4"/>
      <c r="R158" s="360"/>
      <c r="S158" s="360"/>
      <c r="T158" s="360"/>
      <c r="U158" s="360"/>
      <c r="W158" s="360"/>
      <c r="X158" s="360"/>
      <c r="Y158" s="360"/>
      <c r="Z158" s="360"/>
      <c r="AA158" s="541"/>
      <c r="AB158" s="360"/>
      <c r="AC158" s="360"/>
      <c r="AD158" s="360"/>
      <c r="AE158" s="360"/>
      <c r="AG158" s="360"/>
      <c r="AH158" s="360"/>
      <c r="AI158" s="360"/>
      <c r="AJ158" s="360"/>
      <c r="AK158" s="360"/>
      <c r="AL158" s="360"/>
      <c r="AM158" s="360"/>
      <c r="AN158" s="360"/>
      <c r="AO158" s="360"/>
      <c r="AP158" s="360"/>
      <c r="AQ158" s="360"/>
      <c r="AR158" s="360"/>
      <c r="AS158" s="360"/>
      <c r="AT158" s="360"/>
      <c r="AV158" s="542"/>
      <c r="AW158" s="551"/>
      <c r="AX158" s="551"/>
      <c r="AY158" s="9"/>
      <c r="AZ158" s="48"/>
      <c r="BA158" s="360"/>
      <c r="BB158" s="360"/>
      <c r="BC158" s="360"/>
      <c r="BD158" s="360"/>
      <c r="BE158" s="360"/>
    </row>
    <row r="159" spans="8:57" x14ac:dyDescent="0.25">
      <c r="H159" s="548"/>
      <c r="I159" s="4"/>
      <c r="K159" s="4"/>
      <c r="L159" s="4"/>
      <c r="R159" s="360"/>
      <c r="S159" s="360"/>
      <c r="T159" s="360"/>
      <c r="U159" s="360"/>
      <c r="W159" s="360"/>
      <c r="X159" s="360"/>
      <c r="Y159" s="360"/>
      <c r="Z159" s="360"/>
      <c r="AA159" s="541"/>
      <c r="AB159" s="360"/>
      <c r="AC159" s="360"/>
      <c r="AD159" s="360"/>
      <c r="AE159" s="360"/>
      <c r="AG159" s="360"/>
      <c r="AH159" s="360"/>
      <c r="AI159" s="360"/>
      <c r="AJ159" s="360"/>
      <c r="AK159" s="360"/>
      <c r="AL159" s="360"/>
      <c r="AM159" s="360"/>
      <c r="AN159" s="360"/>
      <c r="AO159" s="360"/>
      <c r="AP159" s="360"/>
      <c r="AQ159" s="360"/>
      <c r="AR159" s="360"/>
      <c r="AS159" s="360"/>
      <c r="AT159" s="360"/>
      <c r="AV159" s="542"/>
      <c r="AW159" s="551"/>
      <c r="AX159" s="551"/>
      <c r="AY159" s="9"/>
      <c r="AZ159" s="48"/>
      <c r="BA159" s="360"/>
      <c r="BB159" s="360"/>
      <c r="BC159" s="360"/>
      <c r="BD159" s="360"/>
      <c r="BE159" s="360"/>
    </row>
    <row r="160" spans="8:57" x14ac:dyDescent="0.25">
      <c r="H160" s="548"/>
      <c r="I160" s="4"/>
      <c r="K160" s="4"/>
      <c r="L160" s="4"/>
      <c r="R160" s="360"/>
      <c r="S160" s="360"/>
      <c r="T160" s="360"/>
      <c r="U160" s="360"/>
      <c r="W160" s="360"/>
      <c r="X160" s="360"/>
      <c r="Y160" s="360"/>
      <c r="Z160" s="360"/>
      <c r="AA160" s="541"/>
      <c r="AB160" s="360"/>
      <c r="AC160" s="360"/>
      <c r="AD160" s="360"/>
      <c r="AE160" s="360"/>
      <c r="AG160" s="360"/>
      <c r="AH160" s="360"/>
      <c r="AI160" s="360"/>
      <c r="AJ160" s="360"/>
      <c r="AK160" s="360"/>
      <c r="AL160" s="360"/>
      <c r="AM160" s="360"/>
      <c r="AN160" s="360"/>
      <c r="AO160" s="360"/>
      <c r="AP160" s="360"/>
      <c r="AQ160" s="360"/>
      <c r="AR160" s="360"/>
      <c r="AS160" s="360"/>
      <c r="AT160" s="360"/>
      <c r="AV160" s="542"/>
      <c r="AW160" s="551"/>
      <c r="AX160" s="551"/>
      <c r="AY160" s="9"/>
      <c r="AZ160" s="48"/>
      <c r="BA160" s="360"/>
      <c r="BB160" s="360"/>
      <c r="BC160" s="360"/>
      <c r="BD160" s="360"/>
      <c r="BE160" s="360"/>
    </row>
    <row r="161" spans="8:57" x14ac:dyDescent="0.25">
      <c r="H161" s="548"/>
      <c r="I161" s="4"/>
      <c r="K161" s="4"/>
      <c r="L161" s="4"/>
      <c r="R161" s="360"/>
      <c r="S161" s="360"/>
      <c r="T161" s="360"/>
      <c r="U161" s="360"/>
      <c r="W161" s="360"/>
      <c r="X161" s="360"/>
      <c r="Y161" s="360"/>
      <c r="Z161" s="360"/>
      <c r="AA161" s="541"/>
      <c r="AB161" s="360"/>
      <c r="AC161" s="360"/>
      <c r="AD161" s="360"/>
      <c r="AE161" s="360"/>
      <c r="AG161" s="360"/>
      <c r="AH161" s="360"/>
      <c r="AI161" s="360"/>
      <c r="AJ161" s="360"/>
      <c r="AK161" s="360"/>
      <c r="AL161" s="360"/>
      <c r="AM161" s="360"/>
      <c r="AN161" s="360"/>
      <c r="AO161" s="360"/>
      <c r="AP161" s="360"/>
      <c r="AQ161" s="360"/>
      <c r="AR161" s="360"/>
      <c r="AS161" s="360"/>
      <c r="AT161" s="360"/>
      <c r="AV161" s="542"/>
      <c r="AW161" s="551"/>
      <c r="AX161" s="551"/>
      <c r="AY161" s="9"/>
      <c r="AZ161" s="48"/>
      <c r="BA161" s="360"/>
      <c r="BB161" s="360"/>
      <c r="BC161" s="360"/>
      <c r="BD161" s="360"/>
      <c r="BE161" s="360"/>
    </row>
    <row r="162" spans="8:57" x14ac:dyDescent="0.25">
      <c r="H162" s="548"/>
      <c r="I162" s="4"/>
      <c r="K162" s="4"/>
      <c r="L162" s="4"/>
      <c r="R162" s="360"/>
      <c r="S162" s="360"/>
      <c r="T162" s="360"/>
      <c r="U162" s="360"/>
      <c r="W162" s="360"/>
      <c r="X162" s="360"/>
      <c r="Y162" s="360"/>
      <c r="Z162" s="360"/>
      <c r="AA162" s="541"/>
      <c r="AB162" s="360"/>
      <c r="AC162" s="360"/>
      <c r="AD162" s="360"/>
      <c r="AE162" s="360"/>
      <c r="AG162" s="360"/>
      <c r="AH162" s="360"/>
      <c r="AI162" s="360"/>
      <c r="AJ162" s="360"/>
      <c r="AK162" s="360"/>
      <c r="AL162" s="360"/>
      <c r="AM162" s="360"/>
      <c r="AN162" s="360"/>
      <c r="AO162" s="360"/>
      <c r="AP162" s="360"/>
      <c r="AQ162" s="360"/>
      <c r="AR162" s="360"/>
      <c r="AS162" s="360"/>
      <c r="AT162" s="360"/>
      <c r="AV162" s="542"/>
      <c r="AW162" s="551"/>
      <c r="AX162" s="551"/>
      <c r="AY162" s="9"/>
      <c r="AZ162" s="48"/>
      <c r="BA162" s="360"/>
      <c r="BB162" s="360"/>
      <c r="BC162" s="360"/>
      <c r="BD162" s="360"/>
      <c r="BE162" s="360"/>
    </row>
    <row r="163" spans="8:57" x14ac:dyDescent="0.25">
      <c r="H163" s="548"/>
      <c r="I163" s="4"/>
      <c r="K163" s="4"/>
      <c r="L163" s="4"/>
      <c r="R163" s="360"/>
      <c r="S163" s="360"/>
      <c r="T163" s="360"/>
      <c r="U163" s="360"/>
      <c r="W163" s="360"/>
      <c r="X163" s="360"/>
      <c r="Y163" s="360"/>
      <c r="Z163" s="360"/>
      <c r="AA163" s="541"/>
      <c r="AB163" s="360"/>
      <c r="AC163" s="360"/>
      <c r="AD163" s="360"/>
      <c r="AE163" s="360"/>
      <c r="AG163" s="360"/>
      <c r="AH163" s="360"/>
      <c r="AI163" s="360"/>
      <c r="AJ163" s="360"/>
      <c r="AK163" s="360"/>
      <c r="AL163" s="360"/>
      <c r="AM163" s="360"/>
      <c r="AN163" s="360"/>
      <c r="AO163" s="360"/>
      <c r="AP163" s="360"/>
      <c r="AQ163" s="360"/>
      <c r="AR163" s="360"/>
      <c r="AS163" s="360"/>
      <c r="AT163" s="360"/>
      <c r="AV163" s="542"/>
      <c r="AW163" s="551"/>
      <c r="AX163" s="551"/>
      <c r="AY163" s="9"/>
      <c r="AZ163" s="48"/>
      <c r="BA163" s="360"/>
      <c r="BB163" s="360"/>
      <c r="BC163" s="360"/>
      <c r="BD163" s="360"/>
      <c r="BE163" s="360"/>
    </row>
    <row r="164" spans="8:57" x14ac:dyDescent="0.25">
      <c r="H164" s="548"/>
      <c r="I164" s="4"/>
      <c r="K164" s="4"/>
      <c r="L164" s="4"/>
      <c r="R164" s="360"/>
      <c r="S164" s="360"/>
      <c r="T164" s="360"/>
      <c r="U164" s="360"/>
      <c r="W164" s="360"/>
      <c r="X164" s="360"/>
      <c r="Y164" s="360"/>
      <c r="Z164" s="360"/>
      <c r="AA164" s="541"/>
      <c r="AB164" s="360"/>
      <c r="AC164" s="360"/>
      <c r="AD164" s="360"/>
      <c r="AE164" s="360"/>
      <c r="AG164" s="360"/>
      <c r="AH164" s="360"/>
      <c r="AI164" s="360"/>
      <c r="AJ164" s="360"/>
      <c r="AK164" s="360"/>
      <c r="AL164" s="360"/>
      <c r="AM164" s="360"/>
      <c r="AN164" s="360"/>
      <c r="AO164" s="360"/>
      <c r="AP164" s="360"/>
      <c r="AQ164" s="360"/>
      <c r="AR164" s="360"/>
      <c r="AS164" s="360"/>
      <c r="AT164" s="360"/>
      <c r="AV164" s="542"/>
      <c r="AW164" s="551"/>
      <c r="AX164" s="551"/>
      <c r="AY164" s="9"/>
      <c r="AZ164" s="48"/>
      <c r="BA164" s="360"/>
      <c r="BB164" s="360"/>
      <c r="BC164" s="360"/>
      <c r="BD164" s="360"/>
      <c r="BE164" s="360"/>
    </row>
    <row r="165" spans="8:57" x14ac:dyDescent="0.25">
      <c r="H165" s="548"/>
      <c r="I165" s="4"/>
      <c r="K165" s="4"/>
      <c r="L165" s="4"/>
      <c r="R165" s="360"/>
      <c r="S165" s="360"/>
      <c r="T165" s="360"/>
      <c r="U165" s="360"/>
      <c r="W165" s="360"/>
      <c r="X165" s="360"/>
      <c r="Y165" s="360"/>
      <c r="Z165" s="360"/>
      <c r="AA165" s="541"/>
      <c r="AB165" s="360"/>
      <c r="AC165" s="360"/>
      <c r="AD165" s="360"/>
      <c r="AE165" s="360"/>
      <c r="AG165" s="360"/>
      <c r="AH165" s="360"/>
      <c r="AI165" s="360"/>
      <c r="AJ165" s="360"/>
      <c r="AK165" s="360"/>
      <c r="AL165" s="360"/>
      <c r="AM165" s="360"/>
      <c r="AN165" s="360"/>
      <c r="AO165" s="360"/>
      <c r="AP165" s="360"/>
      <c r="AQ165" s="360"/>
      <c r="AR165" s="360"/>
      <c r="AS165" s="360"/>
      <c r="AT165" s="360"/>
      <c r="AV165" s="542"/>
      <c r="AW165" s="551"/>
      <c r="AX165" s="551"/>
      <c r="AY165" s="9"/>
      <c r="AZ165" s="48"/>
      <c r="BA165" s="360"/>
      <c r="BB165" s="360"/>
      <c r="BC165" s="360"/>
      <c r="BD165" s="360"/>
      <c r="BE165" s="360"/>
    </row>
    <row r="166" spans="8:57" x14ac:dyDescent="0.25">
      <c r="H166" s="548"/>
      <c r="I166" s="4"/>
      <c r="K166" s="4"/>
      <c r="L166" s="4"/>
      <c r="R166" s="360"/>
      <c r="S166" s="360"/>
      <c r="T166" s="360"/>
      <c r="U166" s="360"/>
      <c r="W166" s="360"/>
      <c r="X166" s="360"/>
      <c r="Y166" s="360"/>
      <c r="Z166" s="360"/>
      <c r="AA166" s="541"/>
      <c r="AB166" s="360"/>
      <c r="AC166" s="360"/>
      <c r="AD166" s="360"/>
      <c r="AE166" s="360"/>
      <c r="AG166" s="360"/>
      <c r="AH166" s="360"/>
      <c r="AI166" s="360"/>
      <c r="AJ166" s="360"/>
      <c r="AK166" s="360"/>
      <c r="AL166" s="360"/>
      <c r="AM166" s="360"/>
      <c r="AN166" s="360"/>
      <c r="AO166" s="360"/>
      <c r="AP166" s="360"/>
      <c r="AQ166" s="360"/>
      <c r="AR166" s="360"/>
      <c r="AS166" s="360"/>
      <c r="AT166" s="360"/>
      <c r="AV166" s="542"/>
      <c r="AW166" s="551"/>
      <c r="AX166" s="551"/>
      <c r="AY166" s="9"/>
      <c r="AZ166" s="48"/>
      <c r="BA166" s="360"/>
      <c r="BB166" s="360"/>
      <c r="BC166" s="360"/>
      <c r="BD166" s="360"/>
      <c r="BE166" s="360"/>
    </row>
    <row r="167" spans="8:57" x14ac:dyDescent="0.25">
      <c r="H167" s="548"/>
      <c r="I167" s="4"/>
      <c r="K167" s="4"/>
      <c r="L167" s="4"/>
      <c r="R167" s="360"/>
      <c r="S167" s="360"/>
      <c r="T167" s="360"/>
      <c r="U167" s="360"/>
      <c r="W167" s="360"/>
      <c r="X167" s="360"/>
      <c r="Y167" s="360"/>
      <c r="Z167" s="360"/>
      <c r="AA167" s="541"/>
      <c r="AB167" s="360"/>
      <c r="AC167" s="360"/>
      <c r="AD167" s="360"/>
      <c r="AE167" s="360"/>
      <c r="AG167" s="360"/>
      <c r="AH167" s="360"/>
      <c r="AI167" s="360"/>
      <c r="AJ167" s="360"/>
      <c r="AK167" s="360"/>
      <c r="AL167" s="360"/>
      <c r="AM167" s="360"/>
      <c r="AN167" s="360"/>
      <c r="AO167" s="360"/>
      <c r="AP167" s="360"/>
      <c r="AQ167" s="360"/>
      <c r="AR167" s="360"/>
      <c r="AS167" s="360"/>
      <c r="AT167" s="360"/>
      <c r="AV167" s="542"/>
      <c r="AW167" s="551"/>
      <c r="AX167" s="551"/>
      <c r="AY167" s="9"/>
      <c r="AZ167" s="48"/>
      <c r="BA167" s="360"/>
      <c r="BB167" s="360"/>
      <c r="BC167" s="360"/>
      <c r="BD167" s="360"/>
      <c r="BE167" s="360"/>
    </row>
    <row r="168" spans="8:57" x14ac:dyDescent="0.25">
      <c r="H168" s="548"/>
      <c r="I168" s="4"/>
      <c r="K168" s="4"/>
      <c r="L168" s="4"/>
      <c r="R168" s="360"/>
      <c r="S168" s="360"/>
      <c r="T168" s="360"/>
      <c r="U168" s="360"/>
      <c r="W168" s="360"/>
      <c r="X168" s="360"/>
      <c r="Y168" s="360"/>
      <c r="Z168" s="360"/>
      <c r="AA168" s="541"/>
      <c r="AB168" s="360"/>
      <c r="AC168" s="360"/>
      <c r="AD168" s="360"/>
      <c r="AE168" s="360"/>
      <c r="AG168" s="360"/>
      <c r="AH168" s="360"/>
      <c r="AI168" s="360"/>
      <c r="AJ168" s="360"/>
      <c r="AK168" s="360"/>
      <c r="AL168" s="360"/>
      <c r="AM168" s="360"/>
      <c r="AN168" s="360"/>
      <c r="AO168" s="360"/>
      <c r="AP168" s="360"/>
      <c r="AQ168" s="360"/>
      <c r="AR168" s="360"/>
      <c r="AS168" s="360"/>
      <c r="AT168" s="360"/>
      <c r="AV168" s="542"/>
      <c r="AW168" s="551"/>
      <c r="AX168" s="551"/>
      <c r="AY168" s="9"/>
      <c r="AZ168" s="48"/>
      <c r="BA168" s="360"/>
      <c r="BB168" s="360"/>
      <c r="BC168" s="360"/>
      <c r="BD168" s="360"/>
      <c r="BE168" s="360"/>
    </row>
    <row r="169" spans="8:57" x14ac:dyDescent="0.25">
      <c r="H169" s="548"/>
      <c r="I169" s="4"/>
      <c r="K169" s="4"/>
      <c r="L169" s="4"/>
      <c r="R169" s="360"/>
      <c r="S169" s="360"/>
      <c r="T169" s="360"/>
      <c r="U169" s="360"/>
      <c r="W169" s="360"/>
      <c r="X169" s="360"/>
      <c r="Y169" s="360"/>
      <c r="Z169" s="360"/>
      <c r="AA169" s="541"/>
      <c r="AB169" s="360"/>
      <c r="AC169" s="360"/>
      <c r="AD169" s="360"/>
      <c r="AE169" s="360"/>
      <c r="AG169" s="360"/>
      <c r="AH169" s="360"/>
      <c r="AI169" s="360"/>
      <c r="AJ169" s="360"/>
      <c r="AK169" s="360"/>
      <c r="AL169" s="360"/>
      <c r="AM169" s="360"/>
      <c r="AN169" s="360"/>
      <c r="AO169" s="360"/>
      <c r="AP169" s="360"/>
      <c r="AQ169" s="360"/>
      <c r="AR169" s="360"/>
      <c r="AS169" s="360"/>
      <c r="AT169" s="360"/>
      <c r="AV169" s="542"/>
      <c r="AW169" s="551"/>
      <c r="AX169" s="551"/>
      <c r="AY169" s="9"/>
      <c r="AZ169" s="48"/>
      <c r="BA169" s="360"/>
      <c r="BB169" s="360"/>
      <c r="BC169" s="360"/>
      <c r="BD169" s="360"/>
      <c r="BE169" s="360"/>
    </row>
    <row r="170" spans="8:57" x14ac:dyDescent="0.25">
      <c r="H170" s="548"/>
      <c r="I170" s="4"/>
      <c r="K170" s="4"/>
      <c r="L170" s="4"/>
      <c r="R170" s="360"/>
      <c r="S170" s="360"/>
      <c r="T170" s="360"/>
      <c r="U170" s="360"/>
      <c r="W170" s="360"/>
      <c r="X170" s="360"/>
      <c r="Y170" s="360"/>
      <c r="Z170" s="360"/>
      <c r="AA170" s="541"/>
      <c r="AB170" s="360"/>
      <c r="AC170" s="360"/>
      <c r="AD170" s="360"/>
      <c r="AE170" s="360"/>
      <c r="AG170" s="360"/>
      <c r="AH170" s="360"/>
      <c r="AI170" s="360"/>
      <c r="AJ170" s="360"/>
      <c r="AK170" s="360"/>
      <c r="AL170" s="360"/>
      <c r="AM170" s="360"/>
      <c r="AN170" s="360"/>
      <c r="AO170" s="360"/>
      <c r="AP170" s="360"/>
      <c r="AQ170" s="360"/>
      <c r="AR170" s="360"/>
      <c r="AS170" s="360"/>
      <c r="AT170" s="360"/>
      <c r="AV170" s="542"/>
      <c r="AW170" s="551"/>
      <c r="AX170" s="551"/>
      <c r="AY170" s="9"/>
      <c r="AZ170" s="48"/>
      <c r="BA170" s="360"/>
      <c r="BB170" s="360"/>
      <c r="BC170" s="360"/>
      <c r="BD170" s="360"/>
      <c r="BE170" s="360"/>
    </row>
    <row r="171" spans="8:57" x14ac:dyDescent="0.25">
      <c r="H171" s="548"/>
      <c r="I171" s="4"/>
      <c r="K171" s="4"/>
      <c r="L171" s="4"/>
      <c r="R171" s="360"/>
      <c r="S171" s="360"/>
      <c r="T171" s="360"/>
      <c r="U171" s="360"/>
      <c r="W171" s="360"/>
      <c r="X171" s="360"/>
      <c r="Y171" s="360"/>
      <c r="Z171" s="360"/>
      <c r="AA171" s="541"/>
      <c r="AB171" s="360"/>
      <c r="AC171" s="360"/>
      <c r="AD171" s="360"/>
      <c r="AE171" s="360"/>
      <c r="AG171" s="360"/>
      <c r="AH171" s="360"/>
      <c r="AI171" s="360"/>
      <c r="AJ171" s="360"/>
      <c r="AK171" s="360"/>
      <c r="AL171" s="360"/>
      <c r="AM171" s="360"/>
      <c r="AN171" s="360"/>
      <c r="AO171" s="360"/>
      <c r="AP171" s="360"/>
      <c r="AQ171" s="360"/>
      <c r="AR171" s="360"/>
      <c r="AS171" s="360"/>
      <c r="AT171" s="360"/>
      <c r="AV171" s="542"/>
      <c r="AW171" s="551"/>
      <c r="AX171" s="551"/>
      <c r="AY171" s="9"/>
      <c r="AZ171" s="48"/>
      <c r="BA171" s="360"/>
      <c r="BB171" s="360"/>
      <c r="BC171" s="360"/>
      <c r="BD171" s="360"/>
      <c r="BE171" s="360"/>
    </row>
    <row r="172" spans="8:57" x14ac:dyDescent="0.25">
      <c r="H172" s="548"/>
      <c r="I172" s="4"/>
      <c r="K172" s="4"/>
      <c r="L172" s="4"/>
      <c r="R172" s="360"/>
      <c r="S172" s="360"/>
      <c r="T172" s="360"/>
      <c r="U172" s="360"/>
      <c r="W172" s="360"/>
      <c r="X172" s="360"/>
      <c r="Y172" s="360"/>
      <c r="Z172" s="360"/>
      <c r="AA172" s="541"/>
      <c r="AB172" s="360"/>
      <c r="AC172" s="360"/>
      <c r="AD172" s="360"/>
      <c r="AE172" s="360"/>
      <c r="AG172" s="360"/>
      <c r="AH172" s="360"/>
      <c r="AI172" s="360"/>
      <c r="AJ172" s="360"/>
      <c r="AK172" s="360"/>
      <c r="AL172" s="360"/>
      <c r="AM172" s="360"/>
      <c r="AN172" s="360"/>
      <c r="AO172" s="360"/>
      <c r="AP172" s="360"/>
      <c r="AQ172" s="360"/>
      <c r="AR172" s="360"/>
      <c r="AS172" s="360"/>
      <c r="AT172" s="360"/>
      <c r="AV172" s="542"/>
      <c r="AW172" s="551"/>
      <c r="AX172" s="551"/>
      <c r="AY172" s="9"/>
      <c r="AZ172" s="48"/>
      <c r="BA172" s="360"/>
      <c r="BB172" s="360"/>
      <c r="BC172" s="360"/>
      <c r="BD172" s="360"/>
      <c r="BE172" s="360"/>
    </row>
    <row r="173" spans="8:57" x14ac:dyDescent="0.25">
      <c r="H173" s="548"/>
      <c r="I173" s="4"/>
      <c r="K173" s="4"/>
      <c r="L173" s="4"/>
      <c r="R173" s="360"/>
      <c r="S173" s="360"/>
      <c r="T173" s="360"/>
      <c r="U173" s="360"/>
      <c r="W173" s="360"/>
      <c r="X173" s="360"/>
      <c r="Y173" s="360"/>
      <c r="Z173" s="360"/>
      <c r="AA173" s="541"/>
      <c r="AB173" s="360"/>
      <c r="AC173" s="360"/>
      <c r="AD173" s="360"/>
      <c r="AE173" s="360"/>
      <c r="AG173" s="360"/>
      <c r="AH173" s="360"/>
      <c r="AI173" s="360"/>
      <c r="AJ173" s="360"/>
      <c r="AK173" s="360"/>
      <c r="AL173" s="360"/>
      <c r="AM173" s="360"/>
      <c r="AN173" s="360"/>
      <c r="AO173" s="360"/>
      <c r="AP173" s="360"/>
      <c r="AQ173" s="360"/>
      <c r="AR173" s="360"/>
      <c r="AS173" s="360"/>
      <c r="AT173" s="360"/>
      <c r="AV173" s="542"/>
      <c r="AW173" s="551"/>
      <c r="AX173" s="551"/>
      <c r="AY173" s="9"/>
      <c r="AZ173" s="48"/>
      <c r="BA173" s="360"/>
      <c r="BB173" s="360"/>
      <c r="BC173" s="360"/>
      <c r="BD173" s="360"/>
      <c r="BE173" s="360"/>
    </row>
    <row r="174" spans="8:57" x14ac:dyDescent="0.25">
      <c r="H174" s="548"/>
      <c r="I174" s="4"/>
      <c r="K174" s="4"/>
      <c r="L174" s="4"/>
      <c r="R174" s="360"/>
      <c r="S174" s="360"/>
      <c r="T174" s="360"/>
      <c r="U174" s="360"/>
      <c r="W174" s="360"/>
      <c r="X174" s="360"/>
      <c r="Y174" s="360"/>
      <c r="Z174" s="360"/>
      <c r="AA174" s="541"/>
      <c r="AB174" s="360"/>
      <c r="AC174" s="360"/>
      <c r="AD174" s="360"/>
      <c r="AE174" s="360"/>
      <c r="AG174" s="360"/>
      <c r="AH174" s="360"/>
      <c r="AI174" s="360"/>
      <c r="AJ174" s="360"/>
      <c r="AK174" s="360"/>
      <c r="AL174" s="360"/>
      <c r="AM174" s="360"/>
      <c r="AN174" s="360"/>
      <c r="AO174" s="360"/>
      <c r="AP174" s="360"/>
      <c r="AQ174" s="360"/>
      <c r="AR174" s="360"/>
      <c r="AS174" s="360"/>
      <c r="AT174" s="360"/>
      <c r="AV174" s="542"/>
      <c r="AW174" s="551"/>
      <c r="AX174" s="551"/>
      <c r="AY174" s="9"/>
      <c r="AZ174" s="48"/>
      <c r="BA174" s="360"/>
      <c r="BB174" s="360"/>
      <c r="BC174" s="360"/>
      <c r="BD174" s="360"/>
      <c r="BE174" s="360"/>
    </row>
    <row r="175" spans="8:57" x14ac:dyDescent="0.25">
      <c r="H175" s="548"/>
      <c r="I175" s="4"/>
      <c r="K175" s="4"/>
      <c r="L175" s="4"/>
      <c r="R175" s="360"/>
      <c r="S175" s="360"/>
      <c r="T175" s="360"/>
      <c r="U175" s="360"/>
      <c r="W175" s="360"/>
      <c r="X175" s="360"/>
      <c r="Y175" s="360"/>
      <c r="Z175" s="360"/>
      <c r="AA175" s="541"/>
      <c r="AB175" s="360"/>
      <c r="AC175" s="360"/>
      <c r="AD175" s="360"/>
      <c r="AE175" s="360"/>
      <c r="AG175" s="360"/>
      <c r="AH175" s="360"/>
      <c r="AI175" s="360"/>
      <c r="AJ175" s="360"/>
      <c r="AK175" s="360"/>
      <c r="AL175" s="360"/>
      <c r="AM175" s="360"/>
      <c r="AN175" s="360"/>
      <c r="AO175" s="360"/>
      <c r="AP175" s="360"/>
      <c r="AQ175" s="360"/>
      <c r="AR175" s="360"/>
      <c r="AS175" s="360"/>
      <c r="AT175" s="360"/>
      <c r="AV175" s="542"/>
      <c r="AW175" s="551"/>
      <c r="AX175" s="551"/>
      <c r="AY175" s="9"/>
      <c r="AZ175" s="48"/>
      <c r="BA175" s="360"/>
      <c r="BB175" s="360"/>
      <c r="BC175" s="360"/>
      <c r="BD175" s="360"/>
      <c r="BE175" s="360"/>
    </row>
    <row r="176" spans="8:57" x14ac:dyDescent="0.25">
      <c r="H176" s="548"/>
      <c r="I176" s="4"/>
      <c r="K176" s="4"/>
      <c r="L176" s="4"/>
      <c r="R176" s="360"/>
      <c r="S176" s="360"/>
      <c r="T176" s="360"/>
      <c r="U176" s="360"/>
      <c r="W176" s="360"/>
      <c r="X176" s="360"/>
      <c r="Y176" s="360"/>
      <c r="Z176" s="360"/>
      <c r="AA176" s="541"/>
      <c r="AB176" s="360"/>
      <c r="AC176" s="360"/>
      <c r="AD176" s="360"/>
      <c r="AE176" s="360"/>
      <c r="AG176" s="360"/>
      <c r="AH176" s="360"/>
      <c r="AI176" s="360"/>
      <c r="AJ176" s="360"/>
      <c r="AK176" s="360"/>
      <c r="AL176" s="360"/>
      <c r="AM176" s="360"/>
      <c r="AN176" s="360"/>
      <c r="AO176" s="360"/>
      <c r="AP176" s="360"/>
      <c r="AQ176" s="360"/>
      <c r="AR176" s="360"/>
      <c r="AS176" s="360"/>
      <c r="AT176" s="360"/>
      <c r="AV176" s="542"/>
      <c r="AW176" s="551"/>
      <c r="AX176" s="551"/>
      <c r="AY176" s="9"/>
      <c r="AZ176" s="48"/>
      <c r="BA176" s="360"/>
      <c r="BB176" s="360"/>
      <c r="BC176" s="360"/>
      <c r="BD176" s="360"/>
      <c r="BE176" s="360"/>
    </row>
    <row r="177" spans="8:57" x14ac:dyDescent="0.25">
      <c r="H177" s="548"/>
      <c r="I177" s="4"/>
      <c r="K177" s="4"/>
      <c r="L177" s="4"/>
      <c r="R177" s="360"/>
      <c r="S177" s="360"/>
      <c r="T177" s="360"/>
      <c r="U177" s="360"/>
      <c r="W177" s="360"/>
      <c r="X177" s="360"/>
      <c r="Y177" s="360"/>
      <c r="Z177" s="360"/>
      <c r="AA177" s="541"/>
      <c r="AB177" s="360"/>
      <c r="AC177" s="360"/>
      <c r="AD177" s="360"/>
      <c r="AE177" s="360"/>
      <c r="AG177" s="360"/>
      <c r="AH177" s="360"/>
      <c r="AI177" s="360"/>
      <c r="AJ177" s="360"/>
      <c r="AK177" s="360"/>
      <c r="AL177" s="360"/>
      <c r="AM177" s="360"/>
      <c r="AN177" s="360"/>
      <c r="AO177" s="360"/>
      <c r="AP177" s="360"/>
      <c r="AQ177" s="360"/>
      <c r="AR177" s="360"/>
      <c r="AS177" s="360"/>
      <c r="AT177" s="360"/>
      <c r="AV177" s="542"/>
      <c r="AW177" s="551"/>
      <c r="AX177" s="551"/>
      <c r="AY177" s="9"/>
      <c r="AZ177" s="48"/>
      <c r="BA177" s="360"/>
      <c r="BB177" s="360"/>
      <c r="BC177" s="360"/>
      <c r="BD177" s="360"/>
      <c r="BE177" s="360"/>
    </row>
    <row r="178" spans="8:57" x14ac:dyDescent="0.25">
      <c r="H178" s="548"/>
      <c r="I178" s="4"/>
      <c r="K178" s="4"/>
      <c r="L178" s="4"/>
      <c r="R178" s="360"/>
      <c r="S178" s="360"/>
      <c r="T178" s="360"/>
      <c r="U178" s="360"/>
      <c r="W178" s="360"/>
      <c r="X178" s="360"/>
      <c r="Y178" s="360"/>
      <c r="Z178" s="360"/>
      <c r="AA178" s="541"/>
      <c r="AB178" s="360"/>
      <c r="AC178" s="360"/>
      <c r="AD178" s="360"/>
      <c r="AE178" s="360"/>
      <c r="AG178" s="360"/>
      <c r="AH178" s="360"/>
      <c r="AI178" s="360"/>
      <c r="AJ178" s="360"/>
      <c r="AK178" s="360"/>
      <c r="AL178" s="360"/>
      <c r="AM178" s="360"/>
      <c r="AN178" s="360"/>
      <c r="AO178" s="360"/>
      <c r="AP178" s="360"/>
      <c r="AQ178" s="360"/>
      <c r="AR178" s="360"/>
      <c r="AS178" s="360"/>
      <c r="AT178" s="360"/>
      <c r="AV178" s="542"/>
      <c r="AW178" s="551"/>
      <c r="AX178" s="551"/>
      <c r="AY178" s="9"/>
      <c r="AZ178" s="48"/>
      <c r="BA178" s="360"/>
      <c r="BB178" s="360"/>
      <c r="BC178" s="360"/>
      <c r="BD178" s="360"/>
      <c r="BE178" s="360"/>
    </row>
    <row r="179" spans="8:57" x14ac:dyDescent="0.25">
      <c r="H179" s="548"/>
      <c r="I179" s="4"/>
      <c r="K179" s="4"/>
      <c r="L179" s="4"/>
      <c r="R179" s="360"/>
      <c r="S179" s="360"/>
      <c r="T179" s="360"/>
      <c r="U179" s="360"/>
      <c r="W179" s="360"/>
      <c r="X179" s="360"/>
      <c r="Y179" s="360"/>
      <c r="Z179" s="360"/>
      <c r="AA179" s="541"/>
      <c r="AB179" s="360"/>
      <c r="AC179" s="360"/>
      <c r="AD179" s="360"/>
      <c r="AE179" s="360"/>
      <c r="AG179" s="360"/>
      <c r="AH179" s="360"/>
      <c r="AI179" s="360"/>
      <c r="AJ179" s="360"/>
      <c r="AK179" s="360"/>
      <c r="AL179" s="360"/>
      <c r="AM179" s="360"/>
      <c r="AN179" s="360"/>
      <c r="AO179" s="360"/>
      <c r="AP179" s="360"/>
      <c r="AQ179" s="360"/>
      <c r="AR179" s="360"/>
      <c r="AS179" s="360"/>
      <c r="AT179" s="360"/>
      <c r="AV179" s="542"/>
      <c r="AW179" s="551"/>
      <c r="AX179" s="551"/>
      <c r="AY179" s="9"/>
      <c r="AZ179" s="48"/>
      <c r="BA179" s="360"/>
      <c r="BB179" s="360"/>
      <c r="BC179" s="360"/>
      <c r="BD179" s="360"/>
      <c r="BE179" s="360"/>
    </row>
    <row r="180" spans="8:57" x14ac:dyDescent="0.25">
      <c r="H180" s="548"/>
      <c r="I180" s="4"/>
      <c r="K180" s="4"/>
      <c r="L180" s="4"/>
      <c r="R180" s="360"/>
      <c r="S180" s="360"/>
      <c r="T180" s="360"/>
      <c r="U180" s="360"/>
      <c r="W180" s="360"/>
      <c r="X180" s="360"/>
      <c r="Y180" s="360"/>
      <c r="Z180" s="360"/>
      <c r="AA180" s="541"/>
      <c r="AB180" s="360"/>
      <c r="AC180" s="360"/>
      <c r="AD180" s="360"/>
      <c r="AE180" s="360"/>
      <c r="AG180" s="360"/>
      <c r="AH180" s="360"/>
      <c r="AI180" s="360"/>
      <c r="AJ180" s="360"/>
      <c r="AK180" s="360"/>
      <c r="AL180" s="360"/>
      <c r="AM180" s="360"/>
      <c r="AN180" s="360"/>
      <c r="AO180" s="360"/>
      <c r="AP180" s="360"/>
      <c r="AQ180" s="360"/>
      <c r="AR180" s="360"/>
      <c r="AS180" s="360"/>
      <c r="AT180" s="360"/>
      <c r="AV180" s="542"/>
      <c r="AW180" s="551"/>
      <c r="AX180" s="551"/>
      <c r="AY180" s="9"/>
      <c r="AZ180" s="48"/>
      <c r="BA180" s="360"/>
      <c r="BB180" s="360"/>
      <c r="BC180" s="360"/>
      <c r="BD180" s="360"/>
      <c r="BE180" s="360"/>
    </row>
    <row r="181" spans="8:57" x14ac:dyDescent="0.25">
      <c r="H181" s="548"/>
      <c r="I181" s="4"/>
      <c r="K181" s="4"/>
      <c r="L181" s="4"/>
      <c r="R181" s="360"/>
      <c r="S181" s="360"/>
      <c r="T181" s="360"/>
      <c r="U181" s="360"/>
      <c r="W181" s="360"/>
      <c r="X181" s="360"/>
      <c r="Y181" s="360"/>
      <c r="Z181" s="360"/>
      <c r="AA181" s="541"/>
      <c r="AB181" s="360"/>
      <c r="AC181" s="360"/>
      <c r="AD181" s="360"/>
      <c r="AE181" s="360"/>
      <c r="AG181" s="360"/>
      <c r="AH181" s="360"/>
      <c r="AI181" s="360"/>
      <c r="AJ181" s="360"/>
      <c r="AK181" s="360"/>
      <c r="AL181" s="360"/>
      <c r="AM181" s="360"/>
      <c r="AN181" s="360"/>
      <c r="AO181" s="360"/>
      <c r="AP181" s="360"/>
      <c r="AQ181" s="360"/>
      <c r="AR181" s="360"/>
      <c r="AS181" s="360"/>
      <c r="AT181" s="360"/>
      <c r="AV181" s="542"/>
      <c r="AW181" s="551"/>
      <c r="AX181" s="551"/>
      <c r="AY181" s="9"/>
      <c r="AZ181" s="48"/>
      <c r="BA181" s="360"/>
      <c r="BB181" s="360"/>
      <c r="BC181" s="360"/>
      <c r="BD181" s="360"/>
      <c r="BE181" s="360"/>
    </row>
    <row r="182" spans="8:57" x14ac:dyDescent="0.25">
      <c r="H182" s="548"/>
      <c r="I182" s="4"/>
      <c r="K182" s="4"/>
      <c r="L182" s="4"/>
      <c r="R182" s="360"/>
      <c r="S182" s="360"/>
      <c r="T182" s="360"/>
      <c r="U182" s="360"/>
      <c r="W182" s="360"/>
      <c r="X182" s="360"/>
      <c r="Y182" s="360"/>
      <c r="Z182" s="360"/>
      <c r="AA182" s="541"/>
      <c r="AB182" s="360"/>
      <c r="AC182" s="360"/>
      <c r="AD182" s="360"/>
      <c r="AE182" s="360"/>
      <c r="AG182" s="360"/>
      <c r="AH182" s="360"/>
      <c r="AI182" s="360"/>
      <c r="AJ182" s="360"/>
      <c r="AK182" s="360"/>
      <c r="AL182" s="360"/>
      <c r="AM182" s="360"/>
      <c r="AN182" s="360"/>
      <c r="AO182" s="360"/>
      <c r="AP182" s="360"/>
      <c r="AQ182" s="360"/>
      <c r="AR182" s="360"/>
      <c r="AS182" s="360"/>
      <c r="AT182" s="360"/>
      <c r="AV182" s="542"/>
      <c r="AW182" s="551"/>
      <c r="AX182" s="551"/>
      <c r="AY182" s="9"/>
      <c r="AZ182" s="48"/>
      <c r="BA182" s="360"/>
      <c r="BB182" s="360"/>
      <c r="BC182" s="360"/>
      <c r="BD182" s="360"/>
      <c r="BE182" s="360"/>
    </row>
    <row r="183" spans="8:57" x14ac:dyDescent="0.25">
      <c r="H183" s="548"/>
      <c r="I183" s="4"/>
      <c r="K183" s="4"/>
      <c r="L183" s="4"/>
      <c r="R183" s="360"/>
      <c r="S183" s="360"/>
      <c r="T183" s="360"/>
      <c r="U183" s="360"/>
      <c r="W183" s="360"/>
      <c r="X183" s="360"/>
      <c r="Y183" s="360"/>
      <c r="Z183" s="360"/>
      <c r="AA183" s="541"/>
      <c r="AB183" s="360"/>
      <c r="AC183" s="360"/>
      <c r="AD183" s="360"/>
      <c r="AE183" s="360"/>
      <c r="AG183" s="360"/>
      <c r="AH183" s="360"/>
      <c r="AI183" s="360"/>
      <c r="AJ183" s="360"/>
      <c r="AK183" s="360"/>
      <c r="AL183" s="360"/>
      <c r="AM183" s="360"/>
      <c r="AN183" s="360"/>
      <c r="AO183" s="360"/>
      <c r="AP183" s="360"/>
      <c r="AQ183" s="360"/>
      <c r="AR183" s="360"/>
      <c r="AS183" s="360"/>
      <c r="AT183" s="360"/>
      <c r="AV183" s="542"/>
      <c r="AW183" s="551"/>
      <c r="AX183" s="551"/>
      <c r="AY183" s="9"/>
      <c r="AZ183" s="48"/>
      <c r="BA183" s="360"/>
      <c r="BB183" s="360"/>
      <c r="BC183" s="360"/>
      <c r="BD183" s="360"/>
      <c r="BE183" s="360"/>
    </row>
    <row r="184" spans="8:57" x14ac:dyDescent="0.25">
      <c r="H184" s="548"/>
      <c r="I184" s="4"/>
      <c r="K184" s="4"/>
      <c r="L184" s="4"/>
      <c r="R184" s="360"/>
      <c r="S184" s="360"/>
      <c r="T184" s="360"/>
      <c r="U184" s="360"/>
      <c r="W184" s="360"/>
      <c r="X184" s="360"/>
      <c r="Y184" s="360"/>
      <c r="Z184" s="360"/>
      <c r="AA184" s="541"/>
      <c r="AB184" s="360"/>
      <c r="AC184" s="360"/>
      <c r="AD184" s="360"/>
      <c r="AE184" s="360"/>
      <c r="AG184" s="360"/>
      <c r="AH184" s="360"/>
      <c r="AI184" s="360"/>
      <c r="AJ184" s="360"/>
      <c r="AK184" s="360"/>
      <c r="AL184" s="360"/>
      <c r="AM184" s="360"/>
      <c r="AN184" s="360"/>
      <c r="AO184" s="360"/>
      <c r="AP184" s="360"/>
      <c r="AQ184" s="360"/>
      <c r="AR184" s="360"/>
      <c r="AS184" s="360"/>
      <c r="AT184" s="360"/>
      <c r="AV184" s="542"/>
      <c r="AW184" s="551"/>
      <c r="AX184" s="551"/>
      <c r="AY184" s="9"/>
      <c r="AZ184" s="48"/>
      <c r="BA184" s="360"/>
      <c r="BB184" s="360"/>
      <c r="BC184" s="360"/>
      <c r="BD184" s="360"/>
      <c r="BE184" s="360"/>
    </row>
    <row r="185" spans="8:57" x14ac:dyDescent="0.25">
      <c r="H185" s="548"/>
      <c r="I185" s="4"/>
      <c r="K185" s="4"/>
      <c r="L185" s="4"/>
      <c r="R185" s="360"/>
      <c r="S185" s="360"/>
      <c r="T185" s="360"/>
      <c r="U185" s="360"/>
      <c r="W185" s="360"/>
      <c r="X185" s="360"/>
      <c r="Y185" s="360"/>
      <c r="Z185" s="360"/>
      <c r="AA185" s="541"/>
      <c r="AB185" s="360"/>
      <c r="AC185" s="360"/>
      <c r="AD185" s="360"/>
      <c r="AE185" s="360"/>
      <c r="AG185" s="360"/>
      <c r="AH185" s="360"/>
      <c r="AI185" s="360"/>
      <c r="AJ185" s="360"/>
      <c r="AK185" s="360"/>
      <c r="AL185" s="360"/>
      <c r="AM185" s="360"/>
      <c r="AN185" s="360"/>
      <c r="AO185" s="360"/>
      <c r="AP185" s="360"/>
      <c r="AQ185" s="360"/>
      <c r="AR185" s="360"/>
      <c r="AS185" s="360"/>
      <c r="AT185" s="360"/>
      <c r="AV185" s="542"/>
      <c r="AW185" s="551"/>
      <c r="AX185" s="551"/>
      <c r="AY185" s="9"/>
      <c r="AZ185" s="48"/>
      <c r="BA185" s="360"/>
      <c r="BB185" s="360"/>
      <c r="BC185" s="360"/>
      <c r="BD185" s="360"/>
      <c r="BE185" s="360"/>
    </row>
    <row r="186" spans="8:57" x14ac:dyDescent="0.25">
      <c r="H186" s="548"/>
      <c r="I186" s="4"/>
      <c r="K186" s="4"/>
      <c r="L186" s="4"/>
      <c r="R186" s="360"/>
      <c r="S186" s="360"/>
      <c r="T186" s="360"/>
      <c r="U186" s="360"/>
      <c r="W186" s="360"/>
      <c r="X186" s="360"/>
      <c r="Y186" s="360"/>
      <c r="Z186" s="360"/>
      <c r="AA186" s="541"/>
      <c r="AB186" s="360"/>
      <c r="AC186" s="360"/>
      <c r="AD186" s="360"/>
      <c r="AE186" s="360"/>
      <c r="AG186" s="360"/>
      <c r="AH186" s="360"/>
      <c r="AI186" s="360"/>
      <c r="AJ186" s="360"/>
      <c r="AK186" s="360"/>
      <c r="AL186" s="360"/>
      <c r="AM186" s="360"/>
      <c r="AN186" s="360"/>
      <c r="AO186" s="360"/>
      <c r="AP186" s="360"/>
      <c r="AQ186" s="360"/>
      <c r="AR186" s="360"/>
      <c r="AS186" s="360"/>
      <c r="AT186" s="360"/>
      <c r="AV186" s="542"/>
      <c r="AW186" s="551"/>
      <c r="AX186" s="551"/>
      <c r="AY186" s="9"/>
      <c r="AZ186" s="48"/>
      <c r="BA186" s="360"/>
      <c r="BB186" s="360"/>
      <c r="BC186" s="360"/>
      <c r="BD186" s="360"/>
      <c r="BE186" s="360"/>
    </row>
    <row r="187" spans="8:57" x14ac:dyDescent="0.25">
      <c r="H187" s="548"/>
      <c r="I187" s="4"/>
      <c r="K187" s="4"/>
      <c r="L187" s="4"/>
      <c r="R187" s="360"/>
      <c r="S187" s="360"/>
      <c r="T187" s="360"/>
      <c r="U187" s="360"/>
      <c r="W187" s="360"/>
      <c r="X187" s="360"/>
      <c r="Y187" s="360"/>
      <c r="Z187" s="360"/>
      <c r="AA187" s="541"/>
      <c r="AB187" s="360"/>
      <c r="AC187" s="360"/>
      <c r="AD187" s="360"/>
      <c r="AE187" s="360"/>
      <c r="AG187" s="360"/>
      <c r="AH187" s="360"/>
      <c r="AI187" s="360"/>
      <c r="AJ187" s="360"/>
      <c r="AK187" s="360"/>
      <c r="AL187" s="360"/>
      <c r="AM187" s="360"/>
      <c r="AN187" s="360"/>
      <c r="AO187" s="360"/>
      <c r="AP187" s="360"/>
      <c r="AQ187" s="360"/>
      <c r="AR187" s="360"/>
      <c r="AS187" s="360"/>
      <c r="AT187" s="360"/>
      <c r="AV187" s="542"/>
      <c r="AW187" s="551"/>
      <c r="AX187" s="551"/>
      <c r="AY187" s="9"/>
      <c r="AZ187" s="48"/>
      <c r="BA187" s="360"/>
      <c r="BB187" s="360"/>
      <c r="BC187" s="360"/>
      <c r="BD187" s="360"/>
      <c r="BE187" s="360"/>
    </row>
    <row r="188" spans="8:57" x14ac:dyDescent="0.25">
      <c r="H188" s="548"/>
      <c r="I188" s="4"/>
      <c r="K188" s="4"/>
      <c r="L188" s="4"/>
      <c r="R188" s="360"/>
      <c r="S188" s="360"/>
      <c r="T188" s="360"/>
      <c r="U188" s="360"/>
      <c r="W188" s="360"/>
      <c r="X188" s="360"/>
      <c r="Y188" s="360"/>
      <c r="Z188" s="360"/>
      <c r="AA188" s="541"/>
      <c r="AB188" s="360"/>
      <c r="AC188" s="360"/>
      <c r="AD188" s="360"/>
      <c r="AE188" s="360"/>
      <c r="AG188" s="360"/>
      <c r="AH188" s="360"/>
      <c r="AI188" s="360"/>
      <c r="AJ188" s="360"/>
      <c r="AK188" s="360"/>
      <c r="AL188" s="360"/>
      <c r="AM188" s="360"/>
      <c r="AN188" s="360"/>
      <c r="AO188" s="360"/>
      <c r="AP188" s="360"/>
      <c r="AQ188" s="360"/>
      <c r="AR188" s="360"/>
      <c r="AS188" s="360"/>
      <c r="AT188" s="360"/>
      <c r="AV188" s="542"/>
      <c r="AW188" s="551"/>
      <c r="AX188" s="551"/>
      <c r="AY188" s="9"/>
      <c r="AZ188" s="48"/>
      <c r="BA188" s="360"/>
      <c r="BB188" s="360"/>
      <c r="BC188" s="360"/>
      <c r="BD188" s="360"/>
      <c r="BE188" s="360"/>
    </row>
    <row r="189" spans="8:57" x14ac:dyDescent="0.25">
      <c r="H189" s="548"/>
      <c r="I189" s="4"/>
      <c r="K189" s="4"/>
      <c r="L189" s="4"/>
      <c r="R189" s="360"/>
      <c r="S189" s="360"/>
      <c r="T189" s="360"/>
      <c r="U189" s="360"/>
      <c r="W189" s="360"/>
      <c r="X189" s="360"/>
      <c r="Y189" s="360"/>
      <c r="Z189" s="360"/>
      <c r="AA189" s="541"/>
      <c r="AB189" s="360"/>
      <c r="AC189" s="360"/>
      <c r="AD189" s="360"/>
      <c r="AE189" s="360"/>
      <c r="AG189" s="360"/>
      <c r="AH189" s="360"/>
      <c r="AI189" s="360"/>
      <c r="AJ189" s="360"/>
      <c r="AK189" s="360"/>
      <c r="AL189" s="360"/>
      <c r="AM189" s="360"/>
      <c r="AN189" s="360"/>
      <c r="AO189" s="360"/>
      <c r="AP189" s="360"/>
      <c r="AQ189" s="360"/>
      <c r="AR189" s="360"/>
      <c r="AS189" s="360"/>
      <c r="AT189" s="360"/>
      <c r="AV189" s="542"/>
      <c r="AW189" s="551"/>
      <c r="AX189" s="551"/>
      <c r="AY189" s="9"/>
      <c r="AZ189" s="48"/>
      <c r="BA189" s="360"/>
      <c r="BB189" s="360"/>
      <c r="BC189" s="360"/>
      <c r="BD189" s="360"/>
      <c r="BE189" s="360"/>
    </row>
    <row r="190" spans="8:57" x14ac:dyDescent="0.25">
      <c r="H190" s="548"/>
      <c r="I190" s="4"/>
      <c r="K190" s="4"/>
      <c r="L190" s="4"/>
      <c r="R190" s="360"/>
      <c r="S190" s="360"/>
      <c r="T190" s="360"/>
      <c r="U190" s="360"/>
      <c r="W190" s="360"/>
      <c r="X190" s="360"/>
      <c r="Y190" s="360"/>
      <c r="Z190" s="360"/>
      <c r="AA190" s="541"/>
      <c r="AB190" s="360"/>
      <c r="AC190" s="360"/>
      <c r="AD190" s="360"/>
      <c r="AE190" s="360"/>
      <c r="AG190" s="360"/>
      <c r="AH190" s="360"/>
      <c r="AI190" s="360"/>
      <c r="AJ190" s="360"/>
      <c r="AK190" s="360"/>
      <c r="AL190" s="360"/>
      <c r="AM190" s="360"/>
      <c r="AN190" s="360"/>
      <c r="AO190" s="360"/>
      <c r="AP190" s="360"/>
      <c r="AQ190" s="360"/>
      <c r="AR190" s="360"/>
      <c r="AS190" s="360"/>
      <c r="AT190" s="360"/>
      <c r="AV190" s="542"/>
      <c r="AW190" s="551"/>
      <c r="AX190" s="551"/>
      <c r="AY190" s="9"/>
      <c r="AZ190" s="48"/>
      <c r="BA190" s="360"/>
      <c r="BB190" s="360"/>
      <c r="BC190" s="360"/>
      <c r="BD190" s="360"/>
      <c r="BE190" s="360"/>
    </row>
    <row r="191" spans="8:57" x14ac:dyDescent="0.25">
      <c r="H191" s="548"/>
      <c r="I191" s="4"/>
      <c r="K191" s="4"/>
      <c r="L191" s="4"/>
      <c r="R191" s="360"/>
      <c r="S191" s="360"/>
      <c r="T191" s="360"/>
      <c r="U191" s="360"/>
      <c r="W191" s="360"/>
      <c r="X191" s="360"/>
      <c r="Y191" s="360"/>
      <c r="Z191" s="360"/>
      <c r="AA191" s="541"/>
      <c r="AB191" s="360"/>
      <c r="AC191" s="360"/>
      <c r="AD191" s="360"/>
      <c r="AE191" s="360"/>
      <c r="AG191" s="360"/>
      <c r="AH191" s="360"/>
      <c r="AI191" s="360"/>
      <c r="AJ191" s="360"/>
      <c r="AK191" s="360"/>
      <c r="AL191" s="360"/>
      <c r="AM191" s="360"/>
      <c r="AN191" s="360"/>
      <c r="AO191" s="360"/>
      <c r="AP191" s="360"/>
      <c r="AQ191" s="360"/>
      <c r="AR191" s="360"/>
      <c r="AS191" s="360"/>
      <c r="AT191" s="360"/>
      <c r="AV191" s="542"/>
      <c r="AW191" s="551"/>
      <c r="AX191" s="551"/>
      <c r="AY191" s="9"/>
      <c r="AZ191" s="48"/>
      <c r="BA191" s="360"/>
      <c r="BB191" s="360"/>
      <c r="BC191" s="360"/>
      <c r="BD191" s="360"/>
      <c r="BE191" s="360"/>
    </row>
    <row r="192" spans="8:57" x14ac:dyDescent="0.25">
      <c r="H192" s="548"/>
      <c r="I192" s="4"/>
      <c r="K192" s="4"/>
      <c r="L192" s="4"/>
      <c r="R192" s="360"/>
      <c r="S192" s="360"/>
      <c r="T192" s="360"/>
      <c r="U192" s="360"/>
      <c r="W192" s="360"/>
      <c r="X192" s="360"/>
      <c r="Y192" s="360"/>
      <c r="Z192" s="360"/>
      <c r="AA192" s="541"/>
      <c r="AB192" s="360"/>
      <c r="AC192" s="360"/>
      <c r="AD192" s="360"/>
      <c r="AE192" s="360"/>
      <c r="AG192" s="360"/>
      <c r="AH192" s="360"/>
      <c r="AI192" s="360"/>
      <c r="AJ192" s="360"/>
      <c r="AK192" s="360"/>
      <c r="AL192" s="360"/>
      <c r="AM192" s="360"/>
      <c r="AN192" s="360"/>
      <c r="AO192" s="360"/>
      <c r="AP192" s="360"/>
      <c r="AQ192" s="360"/>
      <c r="AR192" s="360"/>
      <c r="AS192" s="360"/>
      <c r="AT192" s="360"/>
      <c r="AV192" s="542"/>
      <c r="AW192" s="551"/>
      <c r="AX192" s="551"/>
      <c r="AY192" s="9"/>
      <c r="AZ192" s="48"/>
      <c r="BA192" s="360"/>
      <c r="BB192" s="360"/>
      <c r="BC192" s="360"/>
      <c r="BD192" s="360"/>
      <c r="BE192" s="360"/>
    </row>
    <row r="193" spans="8:57" x14ac:dyDescent="0.25">
      <c r="H193" s="548"/>
      <c r="I193" s="4"/>
      <c r="K193" s="4"/>
      <c r="L193" s="4"/>
      <c r="R193" s="360"/>
      <c r="S193" s="360"/>
      <c r="T193" s="360"/>
      <c r="U193" s="360"/>
      <c r="W193" s="360"/>
      <c r="X193" s="360"/>
      <c r="Y193" s="360"/>
      <c r="Z193" s="360"/>
      <c r="AA193" s="541"/>
      <c r="AB193" s="360"/>
      <c r="AC193" s="360"/>
      <c r="AD193" s="360"/>
      <c r="AE193" s="360"/>
      <c r="AG193" s="360"/>
      <c r="AH193" s="360"/>
      <c r="AI193" s="360"/>
      <c r="AJ193" s="360"/>
      <c r="AK193" s="360"/>
      <c r="AL193" s="360"/>
      <c r="AM193" s="360"/>
      <c r="AN193" s="360"/>
      <c r="AO193" s="360"/>
      <c r="AP193" s="360"/>
      <c r="AQ193" s="360"/>
      <c r="AR193" s="360"/>
      <c r="AS193" s="360"/>
      <c r="AT193" s="360"/>
      <c r="AV193" s="542"/>
      <c r="AW193" s="551"/>
      <c r="AX193" s="551"/>
      <c r="AY193" s="9"/>
      <c r="AZ193" s="48"/>
      <c r="BA193" s="360"/>
      <c r="BB193" s="360"/>
      <c r="BC193" s="360"/>
      <c r="BD193" s="360"/>
      <c r="BE193" s="360"/>
    </row>
    <row r="194" spans="8:57" x14ac:dyDescent="0.25">
      <c r="H194" s="548"/>
      <c r="I194" s="4"/>
      <c r="K194" s="4"/>
      <c r="L194" s="4"/>
      <c r="R194" s="360"/>
      <c r="S194" s="360"/>
      <c r="T194" s="360"/>
      <c r="U194" s="360"/>
      <c r="W194" s="360"/>
      <c r="X194" s="360"/>
      <c r="Y194" s="360"/>
      <c r="Z194" s="360"/>
      <c r="AA194" s="541"/>
      <c r="AB194" s="360"/>
      <c r="AC194" s="360"/>
      <c r="AD194" s="360"/>
      <c r="AE194" s="360"/>
      <c r="AG194" s="360"/>
      <c r="AH194" s="360"/>
      <c r="AI194" s="360"/>
      <c r="AJ194" s="360"/>
      <c r="AK194" s="360"/>
      <c r="AL194" s="360"/>
      <c r="AM194" s="360"/>
      <c r="AN194" s="360"/>
      <c r="AO194" s="360"/>
      <c r="AP194" s="360"/>
      <c r="AQ194" s="360"/>
      <c r="AR194" s="360"/>
      <c r="AS194" s="360"/>
      <c r="AT194" s="360"/>
      <c r="AV194" s="542"/>
      <c r="AW194" s="551"/>
      <c r="AX194" s="551"/>
      <c r="AY194" s="9"/>
      <c r="AZ194" s="48"/>
      <c r="BA194" s="360"/>
      <c r="BB194" s="360"/>
      <c r="BC194" s="360"/>
      <c r="BD194" s="360"/>
      <c r="BE194" s="360"/>
    </row>
    <row r="195" spans="8:57" x14ac:dyDescent="0.25">
      <c r="H195" s="548"/>
      <c r="I195" s="4"/>
      <c r="K195" s="4"/>
      <c r="L195" s="4"/>
      <c r="R195" s="360"/>
      <c r="S195" s="360"/>
      <c r="T195" s="360"/>
      <c r="U195" s="360"/>
      <c r="W195" s="360"/>
      <c r="X195" s="360"/>
      <c r="Y195" s="360"/>
      <c r="Z195" s="360"/>
      <c r="AA195" s="541"/>
      <c r="AB195" s="360"/>
      <c r="AC195" s="360"/>
      <c r="AD195" s="360"/>
      <c r="AE195" s="360"/>
      <c r="AG195" s="360"/>
      <c r="AH195" s="360"/>
      <c r="AI195" s="360"/>
      <c r="AJ195" s="360"/>
      <c r="AK195" s="360"/>
      <c r="AL195" s="360"/>
      <c r="AM195" s="360"/>
      <c r="AN195" s="360"/>
      <c r="AO195" s="360"/>
      <c r="AP195" s="360"/>
      <c r="AQ195" s="360"/>
      <c r="AR195" s="360"/>
      <c r="AS195" s="360"/>
      <c r="AT195" s="360"/>
      <c r="AV195" s="542"/>
      <c r="AW195" s="551"/>
      <c r="AX195" s="551"/>
      <c r="AY195" s="9"/>
      <c r="AZ195" s="48"/>
      <c r="BA195" s="360"/>
      <c r="BB195" s="360"/>
      <c r="BC195" s="360"/>
      <c r="BD195" s="360"/>
      <c r="BE195" s="360"/>
    </row>
    <row r="196" spans="8:57" x14ac:dyDescent="0.25">
      <c r="H196" s="548"/>
      <c r="I196" s="4"/>
      <c r="K196" s="4"/>
      <c r="L196" s="4"/>
      <c r="R196" s="360"/>
      <c r="S196" s="360"/>
      <c r="T196" s="360"/>
      <c r="U196" s="360"/>
      <c r="W196" s="360"/>
      <c r="X196" s="360"/>
      <c r="Y196" s="360"/>
      <c r="Z196" s="360"/>
      <c r="AA196" s="541"/>
      <c r="AB196" s="360"/>
      <c r="AC196" s="360"/>
      <c r="AD196" s="360"/>
      <c r="AE196" s="360"/>
      <c r="AG196" s="360"/>
      <c r="AH196" s="360"/>
      <c r="AI196" s="360"/>
      <c r="AJ196" s="360"/>
      <c r="AK196" s="360"/>
      <c r="AL196" s="360"/>
      <c r="AM196" s="360"/>
      <c r="AN196" s="360"/>
      <c r="AO196" s="360"/>
      <c r="AP196" s="360"/>
      <c r="AQ196" s="360"/>
      <c r="AR196" s="360"/>
      <c r="AS196" s="360"/>
      <c r="AT196" s="360"/>
      <c r="AV196" s="542"/>
      <c r="AW196" s="551"/>
      <c r="AX196" s="551"/>
      <c r="AY196" s="9"/>
      <c r="AZ196" s="48"/>
      <c r="BA196" s="360"/>
      <c r="BB196" s="360"/>
      <c r="BC196" s="360"/>
      <c r="BD196" s="360"/>
      <c r="BE196" s="360"/>
    </row>
    <row r="197" spans="8:57" x14ac:dyDescent="0.25">
      <c r="H197" s="548"/>
      <c r="I197" s="4"/>
      <c r="K197" s="4"/>
      <c r="L197" s="4"/>
      <c r="R197" s="360"/>
      <c r="S197" s="360"/>
      <c r="T197" s="360"/>
      <c r="U197" s="360"/>
      <c r="W197" s="360"/>
      <c r="X197" s="360"/>
      <c r="Y197" s="360"/>
      <c r="Z197" s="360"/>
      <c r="AA197" s="541"/>
      <c r="AB197" s="360"/>
      <c r="AC197" s="360"/>
      <c r="AD197" s="360"/>
      <c r="AE197" s="360"/>
      <c r="AG197" s="360"/>
      <c r="AH197" s="360"/>
      <c r="AI197" s="360"/>
      <c r="AJ197" s="360"/>
      <c r="AK197" s="360"/>
      <c r="AL197" s="360"/>
      <c r="AM197" s="360"/>
      <c r="AN197" s="360"/>
      <c r="AO197" s="360"/>
      <c r="AP197" s="360"/>
      <c r="AQ197" s="360"/>
      <c r="AR197" s="360"/>
      <c r="AS197" s="360"/>
      <c r="AT197" s="360"/>
      <c r="AV197" s="542"/>
      <c r="AW197" s="551"/>
      <c r="AX197" s="551"/>
      <c r="AY197" s="9"/>
      <c r="AZ197" s="48"/>
      <c r="BA197" s="360"/>
      <c r="BB197" s="360"/>
      <c r="BC197" s="360"/>
      <c r="BD197" s="360"/>
      <c r="BE197" s="360"/>
    </row>
    <row r="198" spans="8:57" x14ac:dyDescent="0.25">
      <c r="H198" s="548"/>
      <c r="I198" s="4"/>
      <c r="K198" s="4"/>
      <c r="L198" s="4"/>
      <c r="R198" s="360"/>
      <c r="S198" s="360"/>
      <c r="T198" s="360"/>
      <c r="U198" s="360"/>
      <c r="W198" s="360"/>
      <c r="X198" s="360"/>
      <c r="Y198" s="360"/>
      <c r="Z198" s="360"/>
      <c r="AA198" s="541"/>
      <c r="AB198" s="360"/>
      <c r="AC198" s="360"/>
      <c r="AD198" s="360"/>
      <c r="AE198" s="360"/>
      <c r="AG198" s="360"/>
      <c r="AH198" s="360"/>
      <c r="AI198" s="360"/>
      <c r="AJ198" s="360"/>
      <c r="AK198" s="360"/>
      <c r="AL198" s="360"/>
      <c r="AM198" s="360"/>
      <c r="AN198" s="360"/>
      <c r="AO198" s="360"/>
      <c r="AP198" s="360"/>
      <c r="AQ198" s="360"/>
      <c r="AR198" s="360"/>
      <c r="AS198" s="360"/>
      <c r="AT198" s="360"/>
      <c r="AV198" s="542"/>
      <c r="AW198" s="551"/>
      <c r="AX198" s="551"/>
      <c r="AY198" s="9"/>
      <c r="AZ198" s="48"/>
      <c r="BA198" s="360"/>
      <c r="BB198" s="360"/>
      <c r="BC198" s="360"/>
      <c r="BD198" s="360"/>
      <c r="BE198" s="360"/>
    </row>
    <row r="199" spans="8:57" x14ac:dyDescent="0.25">
      <c r="H199" s="548"/>
      <c r="I199" s="4"/>
      <c r="K199" s="4"/>
      <c r="L199" s="4"/>
      <c r="R199" s="360"/>
      <c r="S199" s="360"/>
      <c r="T199" s="360"/>
      <c r="U199" s="360"/>
      <c r="W199" s="360"/>
      <c r="X199" s="360"/>
      <c r="Y199" s="360"/>
      <c r="Z199" s="360"/>
      <c r="AA199" s="541"/>
      <c r="AB199" s="360"/>
      <c r="AC199" s="360"/>
      <c r="AD199" s="360"/>
      <c r="AE199" s="360"/>
      <c r="AG199" s="360"/>
      <c r="AH199" s="360"/>
      <c r="AI199" s="360"/>
      <c r="AJ199" s="360"/>
      <c r="AK199" s="360"/>
      <c r="AL199" s="360"/>
      <c r="AM199" s="360"/>
      <c r="AN199" s="360"/>
      <c r="AO199" s="360"/>
      <c r="AP199" s="360"/>
      <c r="AQ199" s="360"/>
      <c r="AR199" s="360"/>
      <c r="AS199" s="360"/>
      <c r="AT199" s="360"/>
      <c r="AV199" s="542"/>
      <c r="AW199" s="551"/>
      <c r="AX199" s="551"/>
      <c r="AY199" s="9"/>
      <c r="AZ199" s="48"/>
      <c r="BA199" s="360"/>
      <c r="BB199" s="360"/>
      <c r="BC199" s="360"/>
      <c r="BD199" s="360"/>
      <c r="BE199" s="360"/>
    </row>
    <row r="200" spans="8:57" x14ac:dyDescent="0.25">
      <c r="H200" s="548"/>
      <c r="I200" s="4"/>
      <c r="K200" s="4"/>
      <c r="L200" s="4"/>
      <c r="R200" s="360"/>
      <c r="S200" s="360"/>
      <c r="T200" s="360"/>
      <c r="U200" s="360"/>
      <c r="W200" s="360"/>
      <c r="X200" s="360"/>
      <c r="Y200" s="360"/>
      <c r="Z200" s="360"/>
      <c r="AA200" s="541"/>
      <c r="AB200" s="360"/>
      <c r="AC200" s="360"/>
      <c r="AD200" s="360"/>
      <c r="AE200" s="360"/>
      <c r="AG200" s="360"/>
      <c r="AH200" s="360"/>
      <c r="AI200" s="360"/>
      <c r="AJ200" s="360"/>
      <c r="AK200" s="360"/>
      <c r="AL200" s="360"/>
      <c r="AM200" s="360"/>
      <c r="AN200" s="360"/>
      <c r="AO200" s="360"/>
      <c r="AP200" s="360"/>
      <c r="AQ200" s="360"/>
      <c r="AR200" s="360"/>
      <c r="AS200" s="360"/>
      <c r="AT200" s="360"/>
      <c r="AV200" s="542"/>
      <c r="AW200" s="551"/>
      <c r="AX200" s="551"/>
      <c r="AY200" s="9"/>
      <c r="AZ200" s="48"/>
      <c r="BA200" s="360"/>
      <c r="BB200" s="360"/>
      <c r="BC200" s="360"/>
      <c r="BD200" s="360"/>
      <c r="BE200" s="360"/>
    </row>
    <row r="201" spans="8:57" x14ac:dyDescent="0.25">
      <c r="H201" s="548"/>
      <c r="I201" s="4"/>
      <c r="K201" s="4"/>
      <c r="L201" s="4"/>
      <c r="R201" s="360"/>
      <c r="S201" s="360"/>
      <c r="T201" s="360"/>
      <c r="U201" s="360"/>
      <c r="W201" s="360"/>
      <c r="X201" s="360"/>
      <c r="Y201" s="360"/>
      <c r="Z201" s="360"/>
      <c r="AA201" s="541"/>
      <c r="AB201" s="360"/>
      <c r="AC201" s="360"/>
      <c r="AD201" s="360"/>
      <c r="AE201" s="360"/>
      <c r="AG201" s="360"/>
      <c r="AH201" s="360"/>
      <c r="AI201" s="360"/>
      <c r="AJ201" s="360"/>
      <c r="AK201" s="360"/>
      <c r="AL201" s="360"/>
      <c r="AM201" s="360"/>
      <c r="AN201" s="360"/>
      <c r="AO201" s="360"/>
      <c r="AP201" s="360"/>
      <c r="AQ201" s="360"/>
      <c r="AR201" s="360"/>
      <c r="AS201" s="360"/>
      <c r="AT201" s="360"/>
      <c r="AV201" s="542"/>
      <c r="AW201" s="551"/>
      <c r="AX201" s="551"/>
      <c r="AY201" s="9"/>
      <c r="AZ201" s="48"/>
      <c r="BA201" s="360"/>
      <c r="BB201" s="360"/>
      <c r="BC201" s="360"/>
      <c r="BD201" s="360"/>
      <c r="BE201" s="360"/>
    </row>
    <row r="202" spans="8:57" x14ac:dyDescent="0.25">
      <c r="H202" s="548"/>
      <c r="I202" s="4"/>
      <c r="K202" s="4"/>
      <c r="L202" s="4"/>
      <c r="R202" s="360"/>
      <c r="S202" s="360"/>
      <c r="T202" s="360"/>
      <c r="U202" s="360"/>
      <c r="W202" s="360"/>
      <c r="X202" s="360"/>
      <c r="Y202" s="360"/>
      <c r="Z202" s="360"/>
      <c r="AA202" s="541"/>
      <c r="AB202" s="360"/>
      <c r="AC202" s="360"/>
      <c r="AD202" s="360"/>
      <c r="AE202" s="360"/>
      <c r="AG202" s="360"/>
      <c r="AH202" s="360"/>
      <c r="AI202" s="360"/>
      <c r="AJ202" s="360"/>
      <c r="AK202" s="360"/>
      <c r="AL202" s="360"/>
      <c r="AM202" s="360"/>
      <c r="AN202" s="360"/>
      <c r="AO202" s="360"/>
      <c r="AP202" s="360"/>
      <c r="AQ202" s="360"/>
      <c r="AR202" s="360"/>
      <c r="AS202" s="360"/>
      <c r="AT202" s="360"/>
      <c r="AV202" s="542"/>
      <c r="AW202" s="551"/>
      <c r="AX202" s="551"/>
      <c r="AY202" s="9"/>
      <c r="AZ202" s="48"/>
      <c r="BA202" s="360"/>
      <c r="BB202" s="360"/>
      <c r="BC202" s="360"/>
      <c r="BD202" s="360"/>
      <c r="BE202" s="360"/>
    </row>
    <row r="203" spans="8:57" x14ac:dyDescent="0.25">
      <c r="H203" s="548"/>
      <c r="I203" s="4"/>
      <c r="K203" s="4"/>
      <c r="L203" s="4"/>
      <c r="R203" s="360"/>
      <c r="S203" s="360"/>
      <c r="T203" s="360"/>
      <c r="U203" s="360"/>
      <c r="W203" s="360"/>
      <c r="X203" s="360"/>
      <c r="Y203" s="360"/>
      <c r="Z203" s="360"/>
      <c r="AA203" s="541"/>
      <c r="AB203" s="360"/>
      <c r="AC203" s="360"/>
      <c r="AD203" s="360"/>
      <c r="AE203" s="360"/>
      <c r="AG203" s="360"/>
      <c r="AH203" s="360"/>
      <c r="AI203" s="360"/>
      <c r="AJ203" s="360"/>
      <c r="AK203" s="360"/>
      <c r="AL203" s="360"/>
      <c r="AM203" s="360"/>
      <c r="AN203" s="360"/>
      <c r="AO203" s="360"/>
      <c r="AP203" s="360"/>
      <c r="AQ203" s="360"/>
      <c r="AR203" s="360"/>
      <c r="AS203" s="360"/>
      <c r="AT203" s="360"/>
      <c r="AV203" s="542"/>
      <c r="AW203" s="551"/>
      <c r="AX203" s="551"/>
      <c r="AY203" s="9"/>
      <c r="AZ203" s="48"/>
      <c r="BA203" s="360"/>
      <c r="BB203" s="360"/>
      <c r="BC203" s="360"/>
      <c r="BD203" s="360"/>
      <c r="BE203" s="360"/>
    </row>
    <row r="204" spans="8:57" x14ac:dyDescent="0.25">
      <c r="H204" s="548"/>
      <c r="I204" s="4"/>
      <c r="K204" s="4"/>
      <c r="L204" s="4"/>
      <c r="R204" s="360"/>
      <c r="S204" s="360"/>
      <c r="T204" s="360"/>
      <c r="U204" s="360"/>
      <c r="W204" s="360"/>
      <c r="X204" s="360"/>
      <c r="Y204" s="360"/>
      <c r="Z204" s="360"/>
      <c r="AA204" s="541"/>
      <c r="AB204" s="360"/>
      <c r="AC204" s="360"/>
      <c r="AD204" s="360"/>
      <c r="AE204" s="360"/>
      <c r="AG204" s="360"/>
      <c r="AH204" s="360"/>
      <c r="AI204" s="360"/>
      <c r="AJ204" s="360"/>
      <c r="AK204" s="360"/>
      <c r="AL204" s="360"/>
      <c r="AM204" s="360"/>
      <c r="AN204" s="360"/>
      <c r="AO204" s="360"/>
      <c r="AP204" s="360"/>
      <c r="AQ204" s="360"/>
      <c r="AR204" s="360"/>
      <c r="AS204" s="360"/>
      <c r="AT204" s="360"/>
      <c r="AV204" s="542"/>
      <c r="AW204" s="551"/>
      <c r="AX204" s="551"/>
      <c r="AY204" s="9"/>
      <c r="AZ204" s="48"/>
      <c r="BA204" s="360"/>
      <c r="BB204" s="360"/>
      <c r="BC204" s="360"/>
      <c r="BD204" s="360"/>
      <c r="BE204" s="360"/>
    </row>
    <row r="205" spans="8:57" x14ac:dyDescent="0.25">
      <c r="H205" s="548"/>
      <c r="I205" s="4"/>
      <c r="K205" s="4"/>
      <c r="L205" s="4"/>
      <c r="R205" s="360"/>
      <c r="S205" s="360"/>
      <c r="T205" s="360"/>
      <c r="U205" s="360"/>
      <c r="W205" s="360"/>
      <c r="X205" s="360"/>
      <c r="Y205" s="360"/>
      <c r="Z205" s="360"/>
      <c r="AA205" s="541"/>
      <c r="AB205" s="360"/>
      <c r="AC205" s="360"/>
      <c r="AD205" s="360"/>
      <c r="AE205" s="360"/>
      <c r="AG205" s="360"/>
      <c r="AH205" s="360"/>
      <c r="AI205" s="360"/>
      <c r="AJ205" s="360"/>
      <c r="AK205" s="360"/>
      <c r="AL205" s="360"/>
      <c r="AM205" s="360"/>
      <c r="AN205" s="360"/>
      <c r="AO205" s="360"/>
      <c r="AP205" s="360"/>
      <c r="AQ205" s="360"/>
      <c r="AR205" s="360"/>
      <c r="AS205" s="360"/>
      <c r="AT205" s="360"/>
      <c r="AV205" s="542"/>
      <c r="AW205" s="551"/>
      <c r="AX205" s="551"/>
      <c r="AY205" s="9"/>
      <c r="AZ205" s="48"/>
      <c r="BA205" s="360"/>
      <c r="BB205" s="360"/>
      <c r="BC205" s="360"/>
      <c r="BD205" s="360"/>
      <c r="BE205" s="360"/>
    </row>
    <row r="206" spans="8:57" x14ac:dyDescent="0.25">
      <c r="H206" s="548"/>
      <c r="I206" s="4"/>
      <c r="K206" s="4"/>
      <c r="L206" s="4"/>
      <c r="R206" s="360"/>
      <c r="S206" s="360"/>
      <c r="T206" s="360"/>
      <c r="U206" s="360"/>
      <c r="W206" s="360"/>
      <c r="X206" s="360"/>
      <c r="Y206" s="360"/>
      <c r="Z206" s="360"/>
      <c r="AA206" s="541"/>
      <c r="AB206" s="360"/>
      <c r="AC206" s="360"/>
      <c r="AD206" s="360"/>
      <c r="AE206" s="360"/>
      <c r="AG206" s="360"/>
      <c r="AH206" s="360"/>
      <c r="AI206" s="360"/>
      <c r="AJ206" s="360"/>
      <c r="AK206" s="360"/>
      <c r="AL206" s="360"/>
      <c r="AM206" s="360"/>
      <c r="AN206" s="360"/>
      <c r="AO206" s="360"/>
      <c r="AP206" s="360"/>
      <c r="AQ206" s="360"/>
      <c r="AR206" s="360"/>
      <c r="AS206" s="360"/>
      <c r="AT206" s="360"/>
      <c r="AV206" s="542"/>
      <c r="AW206" s="551"/>
      <c r="AX206" s="551"/>
      <c r="AY206" s="9"/>
      <c r="AZ206" s="48"/>
      <c r="BA206" s="360"/>
      <c r="BB206" s="360"/>
      <c r="BC206" s="360"/>
      <c r="BD206" s="360"/>
      <c r="BE206" s="360"/>
    </row>
    <row r="207" spans="8:57" x14ac:dyDescent="0.25">
      <c r="H207" s="548"/>
      <c r="I207" s="4"/>
      <c r="K207" s="4"/>
      <c r="L207" s="4"/>
      <c r="R207" s="360"/>
      <c r="S207" s="360"/>
      <c r="T207" s="360"/>
      <c r="U207" s="360"/>
      <c r="W207" s="360"/>
      <c r="X207" s="360"/>
      <c r="Y207" s="360"/>
      <c r="Z207" s="360"/>
      <c r="AA207" s="541"/>
      <c r="AB207" s="360"/>
      <c r="AC207" s="360"/>
      <c r="AD207" s="360"/>
      <c r="AE207" s="360"/>
      <c r="AG207" s="360"/>
      <c r="AH207" s="360"/>
      <c r="AI207" s="360"/>
      <c r="AJ207" s="360"/>
      <c r="AK207" s="360"/>
      <c r="AL207" s="360"/>
      <c r="AM207" s="360"/>
      <c r="AN207" s="360"/>
      <c r="AO207" s="360"/>
      <c r="AP207" s="360"/>
      <c r="AQ207" s="360"/>
      <c r="AR207" s="360"/>
      <c r="AS207" s="360"/>
      <c r="AT207" s="360"/>
      <c r="AV207" s="542"/>
      <c r="AW207" s="551"/>
      <c r="AX207" s="551"/>
      <c r="AY207" s="9"/>
      <c r="AZ207" s="48"/>
      <c r="BA207" s="360"/>
      <c r="BB207" s="360"/>
      <c r="BC207" s="360"/>
      <c r="BD207" s="360"/>
      <c r="BE207" s="360"/>
    </row>
    <row r="208" spans="8:57" x14ac:dyDescent="0.25">
      <c r="H208" s="548"/>
      <c r="I208" s="4"/>
      <c r="K208" s="4"/>
      <c r="L208" s="4"/>
      <c r="R208" s="360"/>
      <c r="S208" s="360"/>
      <c r="T208" s="360"/>
      <c r="U208" s="360"/>
      <c r="W208" s="360"/>
      <c r="X208" s="360"/>
      <c r="Y208" s="360"/>
      <c r="Z208" s="360"/>
      <c r="AA208" s="541"/>
      <c r="AB208" s="360"/>
      <c r="AC208" s="360"/>
      <c r="AD208" s="360"/>
      <c r="AE208" s="360"/>
      <c r="AG208" s="360"/>
      <c r="AH208" s="360"/>
      <c r="AI208" s="360"/>
      <c r="AJ208" s="360"/>
      <c r="AK208" s="360"/>
      <c r="AL208" s="360"/>
      <c r="AM208" s="360"/>
      <c r="AN208" s="360"/>
      <c r="AO208" s="360"/>
      <c r="AP208" s="360"/>
      <c r="AQ208" s="360"/>
      <c r="AR208" s="360"/>
      <c r="AS208" s="360"/>
      <c r="AT208" s="360"/>
      <c r="AV208" s="542"/>
      <c r="AW208" s="551"/>
      <c r="AX208" s="551"/>
      <c r="AY208" s="9"/>
      <c r="AZ208" s="48"/>
      <c r="BA208" s="360"/>
      <c r="BB208" s="360"/>
      <c r="BC208" s="360"/>
      <c r="BD208" s="360"/>
      <c r="BE208" s="360"/>
    </row>
    <row r="209" spans="8:57" x14ac:dyDescent="0.25">
      <c r="H209" s="548"/>
      <c r="I209" s="4"/>
      <c r="K209" s="4"/>
      <c r="L209" s="4"/>
      <c r="R209" s="360"/>
      <c r="S209" s="360"/>
      <c r="T209" s="360"/>
      <c r="U209" s="360"/>
      <c r="W209" s="360"/>
      <c r="X209" s="360"/>
      <c r="Y209" s="360"/>
      <c r="Z209" s="360"/>
      <c r="AA209" s="541"/>
      <c r="AB209" s="360"/>
      <c r="AC209" s="360"/>
      <c r="AD209" s="360"/>
      <c r="AE209" s="360"/>
      <c r="AG209" s="360"/>
      <c r="AH209" s="360"/>
      <c r="AI209" s="360"/>
      <c r="AJ209" s="360"/>
      <c r="AK209" s="360"/>
      <c r="AL209" s="360"/>
      <c r="AM209" s="360"/>
      <c r="AN209" s="360"/>
      <c r="AO209" s="360"/>
      <c r="AP209" s="360"/>
      <c r="AQ209" s="360"/>
      <c r="AR209" s="360"/>
      <c r="AS209" s="360"/>
      <c r="AT209" s="360"/>
      <c r="AV209" s="542"/>
      <c r="AW209" s="551"/>
      <c r="AX209" s="551"/>
      <c r="AY209" s="9"/>
      <c r="AZ209" s="48"/>
      <c r="BA209" s="360"/>
      <c r="BB209" s="360"/>
      <c r="BC209" s="360"/>
      <c r="BD209" s="360"/>
      <c r="BE209" s="360"/>
    </row>
  </sheetData>
  <sheetProtection selectLockedCells="1"/>
  <mergeCells count="11">
    <mergeCell ref="AB7:AG7"/>
    <mergeCell ref="AH7:AK7"/>
    <mergeCell ref="AO7:AS7"/>
    <mergeCell ref="AT7:AX7"/>
    <mergeCell ref="AZ7:BE7"/>
    <mergeCell ref="Y7:AA7"/>
    <mergeCell ref="A1:D4"/>
    <mergeCell ref="A6:D7"/>
    <mergeCell ref="G7:N7"/>
    <mergeCell ref="R7:U7"/>
    <mergeCell ref="V7:X7"/>
  </mergeCells>
  <pageMargins left="0.75" right="0.75" top="1" bottom="1" header="0.5" footer="0.5"/>
  <pageSetup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2:B7"/>
  <sheetViews>
    <sheetView zoomScaleNormal="100" workbookViewId="0">
      <selection activeCell="F5" sqref="F5"/>
    </sheetView>
  </sheetViews>
  <sheetFormatPr defaultRowHeight="12.5" x14ac:dyDescent="0.25"/>
  <cols>
    <col min="1" max="1" width="10.54296875" customWidth="1"/>
    <col min="2" max="2" width="126" customWidth="1"/>
  </cols>
  <sheetData>
    <row r="2" spans="1:2" x14ac:dyDescent="0.25">
      <c r="A2" t="str">
        <f>IF(PLOT_TYPE=1, "EFF_Ch1", "EFF_Ch2")</f>
        <v>EFF_Ch1</v>
      </c>
    </row>
    <row r="5" spans="1:2" ht="409.5" customHeight="1" x14ac:dyDescent="0.25">
      <c r="B5" s="537"/>
    </row>
    <row r="7" spans="1:2" ht="409.5" customHeight="1" x14ac:dyDescent="0.25">
      <c r="B7" s="537"/>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N10"/>
  <sheetViews>
    <sheetView topLeftCell="A10" zoomScaleNormal="100" workbookViewId="0">
      <selection activeCell="B14" sqref="B14"/>
    </sheetView>
  </sheetViews>
  <sheetFormatPr defaultRowHeight="12.5" x14ac:dyDescent="0.25"/>
  <cols>
    <col min="1" max="1" width="10.54296875" customWidth="1"/>
    <col min="2" max="2" width="129.36328125" customWidth="1"/>
  </cols>
  <sheetData>
    <row r="1" spans="1:14" x14ac:dyDescent="0.25">
      <c r="J1" s="114" t="s">
        <v>621</v>
      </c>
      <c r="N1" s="114" t="s">
        <v>623</v>
      </c>
    </row>
    <row r="2" spans="1:14" x14ac:dyDescent="0.25">
      <c r="A2" t="str">
        <f>CHOOSE(SCH_MODE, "SCH_DUAL", "SCH_SINGLE", "SCH_MULTIPHASE", "SCH_MULTIPHASE")</f>
        <v>SCH_SINGLE</v>
      </c>
      <c r="J2" s="114" t="s">
        <v>622</v>
      </c>
      <c r="N2" s="114" t="s">
        <v>777</v>
      </c>
    </row>
    <row r="3" spans="1:14" x14ac:dyDescent="0.25">
      <c r="J3" s="114" t="s">
        <v>620</v>
      </c>
    </row>
    <row r="4" spans="1:14" x14ac:dyDescent="0.25">
      <c r="J4" s="114" t="s">
        <v>619</v>
      </c>
    </row>
    <row r="5" spans="1:14" ht="409.5" customHeight="1" x14ac:dyDescent="0.25">
      <c r="B5" s="537"/>
    </row>
    <row r="6" spans="1:14" ht="12" customHeight="1" x14ac:dyDescent="0.25">
      <c r="B6" s="537"/>
    </row>
    <row r="7" spans="1:14" ht="34.5" customHeight="1" x14ac:dyDescent="0.25"/>
    <row r="8" spans="1:14" ht="409.5" customHeight="1" x14ac:dyDescent="0.25">
      <c r="B8" s="537"/>
    </row>
    <row r="9" spans="1:14" x14ac:dyDescent="0.25">
      <c r="B9" s="537"/>
    </row>
    <row r="10" spans="1:14" ht="409.5" customHeight="1" x14ac:dyDescent="0.25">
      <c r="B10" s="537"/>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2:P159"/>
  <sheetViews>
    <sheetView workbookViewId="0">
      <selection activeCell="L45" sqref="L44:L45"/>
    </sheetView>
  </sheetViews>
  <sheetFormatPr defaultRowHeight="12.5" x14ac:dyDescent="0.25"/>
  <cols>
    <col min="1" max="1" width="17.36328125" customWidth="1"/>
    <col min="2" max="2" width="12" bestFit="1" customWidth="1"/>
    <col min="3" max="4" width="12.453125" bestFit="1" customWidth="1"/>
    <col min="7" max="9" width="12.453125" bestFit="1" customWidth="1"/>
    <col min="10" max="10" width="11.453125" bestFit="1" customWidth="1"/>
    <col min="13" max="13" width="12.08984375" customWidth="1"/>
    <col min="14" max="14" width="12.453125" bestFit="1" customWidth="1"/>
    <col min="15" max="15" width="15.453125" customWidth="1"/>
  </cols>
  <sheetData>
    <row r="2" spans="1:16" x14ac:dyDescent="0.25">
      <c r="A2" t="s">
        <v>160</v>
      </c>
      <c r="B2" t="s">
        <v>152</v>
      </c>
      <c r="C2" t="s">
        <v>31</v>
      </c>
      <c r="D2" t="s">
        <v>32</v>
      </c>
      <c r="E2" t="s">
        <v>25</v>
      </c>
      <c r="F2" t="s">
        <v>57</v>
      </c>
      <c r="G2" s="114" t="s">
        <v>682</v>
      </c>
      <c r="H2" s="114" t="s">
        <v>323</v>
      </c>
      <c r="I2" s="114" t="s">
        <v>734</v>
      </c>
      <c r="J2" s="114" t="s">
        <v>735</v>
      </c>
    </row>
    <row r="3" spans="1:16" ht="13" x14ac:dyDescent="0.3">
      <c r="A3" t="s">
        <v>163</v>
      </c>
      <c r="B3">
        <f>Css</f>
        <v>1.0000000000000002E-7</v>
      </c>
      <c r="C3">
        <f>Cc1ea</f>
        <v>3.1355585225382007E-9</v>
      </c>
      <c r="D3">
        <f>Cc2ea</f>
        <v>7.9149034701909774E-11</v>
      </c>
      <c r="E3">
        <f>Cout</f>
        <v>2.04E-4</v>
      </c>
      <c r="F3">
        <f>Cin</f>
        <v>1.328E-3</v>
      </c>
      <c r="G3">
        <f>Cres</f>
        <v>5.0000000000000008E-7</v>
      </c>
      <c r="H3">
        <f>Cdither_init</f>
        <v>9.2592592592592591E-9</v>
      </c>
      <c r="I3">
        <f>Cc3ea</f>
        <v>1.7590483311439309E-9</v>
      </c>
      <c r="J3">
        <f>Cc4ea</f>
        <v>8.9581893058718698E-11</v>
      </c>
      <c r="M3" t="s">
        <v>165</v>
      </c>
      <c r="N3" t="s">
        <v>166</v>
      </c>
      <c r="O3" s="2" t="s">
        <v>162</v>
      </c>
    </row>
    <row r="4" spans="1:16" ht="13" x14ac:dyDescent="0.3">
      <c r="A4" s="7" t="s">
        <v>162</v>
      </c>
      <c r="B4" s="7">
        <f>SUM(B6:B158)/1000000000000</f>
        <v>9.9999999999999995E-8</v>
      </c>
      <c r="C4" s="7">
        <f>IF(C3="OPEN","OPEN",SUM(C6:C158)/1000000000000)</f>
        <v>3.3000000000000002E-9</v>
      </c>
      <c r="D4" s="7">
        <f>SUM(D6:D158)/1000000000000</f>
        <v>8.2000000000000001E-11</v>
      </c>
      <c r="E4" s="7">
        <f>SUM(E6:E158)/1000000000000</f>
        <v>2.2000000000000001E-4</v>
      </c>
      <c r="F4" s="7">
        <f>SUM(F6:F158)/1000000000000</f>
        <v>1.1999999999999999E-3</v>
      </c>
      <c r="G4" s="7">
        <f>SUM(G6:G158)/1000000000000</f>
        <v>4.7E-7</v>
      </c>
      <c r="H4" s="7">
        <f t="shared" ref="H4:J4" si="0">IF(H3="OPEN","OPEN",SUM(H6:H158)/1000000000000)</f>
        <v>1E-8</v>
      </c>
      <c r="I4" s="7">
        <f t="shared" si="0"/>
        <v>1.8E-9</v>
      </c>
      <c r="J4" s="7">
        <f t="shared" si="0"/>
        <v>8.2000000000000001E-11</v>
      </c>
      <c r="M4" s="114" t="s">
        <v>280</v>
      </c>
      <c r="N4">
        <f>Rfadj</f>
        <v>100000</v>
      </c>
      <c r="O4" s="2">
        <f t="shared" ref="O4:O7" si="1">IF(N4&gt;(INT(0.5+100*POWER(10,IF(96*(LOG(N4)-INT(LOG(N4)))-ROUND(96*(LOG(N4)-INT(LOG(N4))),0)&lt;0,ROUND(96*(LOG(N4)-INT(LOG(N4))),0)-1,ROUND(96*(LOG(N4)-INT(LOG(N4))),0))/96))*POWER(10,INT(LOG(N4))-2)+INT(0.5+100*POWER(10,(IF(96*(LOG(N4)-INT(LOG(N4)))-ROUND(96*(LOG(N4)-INT(LOG(N4))),0)&lt;0,ROUND(96*(LOG(N4)-INT(LOG(N4))),0)-1,ROUND(96*(LOG(N4)-INT(LOG(N4))),0))+1)/96))*POWER(10,INT(LOG(N4))-2))/2,INT(0.5+100*POWER(10,(IF(96*(LOG(N4)-INT(LOG(N4)))-ROUND(96*(LOG(N4)-INT(LOG(N4))),0)&lt;0,ROUND(96*(LOG(N4)-INT(LOG(N4))),0)-1,ROUND(96*(LOG(N4)-INT(LOG(N4))),0))+1)/96))*POWER(10,INT(LOG(N4))-2),INT(0.5+100*POWER(10,IF(96*(LOG(N4)-INT(LOG(N4)))-ROUND(96*(LOG(N4)-INT(LOG(N4))),0)&lt;0,ROUND(96*(LOG(N4)-INT(LOG(N4))),0)-1,ROUND(96*(LOG(N4)-INT(LOG(N4))),0))/96))*POWER(10,INT(LOG(N4))-2))</f>
        <v>100000</v>
      </c>
      <c r="P4" s="45" t="s">
        <v>268</v>
      </c>
    </row>
    <row r="5" spans="1:16" ht="13" x14ac:dyDescent="0.3">
      <c r="A5" t="s">
        <v>161</v>
      </c>
      <c r="O5" s="2"/>
      <c r="P5" s="45"/>
    </row>
    <row r="6" spans="1:16" ht="13" x14ac:dyDescent="0.3">
      <c r="A6">
        <v>0.47</v>
      </c>
      <c r="B6">
        <f t="shared" ref="B6:J6" si="2">IF(IF((B$3*10^12-$A7)*(B$3*10^12-$A6)*-1&lt;0,0,1)*IF(ABS(B$3*10^12-$A7)&gt;(B$3*10^12-$A6),$A6,$A7)=B7,0,IF((B$3*10^12-$A7)*(B$3*10^12-$A6)*-1&lt;0,0,1)*IF(ABS(B$3*10^12-$A7)&gt;(B$3*10^12-$A6),$A6,$A7))</f>
        <v>0</v>
      </c>
      <c r="C6">
        <f t="shared" si="2"/>
        <v>0</v>
      </c>
      <c r="D6">
        <f t="shared" si="2"/>
        <v>0</v>
      </c>
      <c r="E6">
        <f t="shared" si="2"/>
        <v>0</v>
      </c>
      <c r="F6">
        <f t="shared" si="2"/>
        <v>0</v>
      </c>
      <c r="G6">
        <f t="shared" si="2"/>
        <v>0</v>
      </c>
      <c r="H6">
        <f t="shared" si="2"/>
        <v>0</v>
      </c>
      <c r="I6">
        <f t="shared" si="2"/>
        <v>0</v>
      </c>
      <c r="J6">
        <f t="shared" si="2"/>
        <v>0</v>
      </c>
      <c r="M6" s="114"/>
      <c r="N6" s="53"/>
      <c r="O6" s="2"/>
      <c r="P6" s="45"/>
    </row>
    <row r="7" spans="1:16" ht="13" x14ac:dyDescent="0.3">
      <c r="A7">
        <v>0.56000000000000005</v>
      </c>
      <c r="B7">
        <f t="shared" ref="B7:B70" si="3">IF(IF((B$3*10^12-$A8)*(B$3*10^12-$A7)*-1&lt;0,0,1)*IF(ABS(B$3*10^12-$A8)&gt;(B$3*10^12-$A7),$A7,$A8)=B8,0,IF((B$3*10^12-$A8)*(B$3*10^12-$A7)*-1&lt;0,0,1)*IF(ABS(B$3*10^12-$A8)&gt;(B$3*10^12-$A7),$A7,$A8))</f>
        <v>0</v>
      </c>
      <c r="C7">
        <f t="shared" ref="C7:C38" si="4">IF(IF((C$3*10^12-$A8)*(C$3*10^12-$A7)*-1&lt;0,0,1)*IF(ABS(C$3*10^12-$A8)&gt;(C$3*10^12-$A7),$A7,$A8)=C8,0,IF((C$3*10^12-$A8)*(C$3*10^12-$A7)*-1&lt;0,0,1)*IF(ABS(C$3*10^12-$A8)&gt;(C$3*10^12-$A7),$A7,$A8))</f>
        <v>0</v>
      </c>
      <c r="D7">
        <f t="shared" ref="D7:D69" si="5">IF(IF((D$3*10^12-$A8)*(D$3*10^12-$A7)*-1&lt;0,0,1)*IF(ABS(D$3*10^12-$A8)&gt;(D$3*10^12-$A7),$A7,$A8)=D8,0,IF((D$3*10^12-$A8)*(D$3*10^12-$A7)*-1&lt;0,0,1)*IF(ABS(D$3*10^12-$A8)&gt;(D$3*10^12-$A7),$A7,$A8))</f>
        <v>0</v>
      </c>
      <c r="E7">
        <f t="shared" ref="E7:E69" si="6">IF(IF((E$3*10^12-$A8)*(E$3*10^12-$A7)*-1&lt;0,0,1)*IF(ABS(E$3*10^12-$A8)&gt;(E$3*10^12-$A7),$A7,$A8)=E8,0,IF((E$3*10^12-$A8)*(E$3*10^12-$A7)*-1&lt;0,0,1)*IF(ABS(E$3*10^12-$A8)&gt;(E$3*10^12-$A7),$A7,$A8))</f>
        <v>0</v>
      </c>
      <c r="F7">
        <f t="shared" ref="F7:F69" si="7">IF(IF((F$3*10^12-$A8)*(F$3*10^12-$A7)*-1&lt;0,0,1)*IF(ABS(F$3*10^12-$A8)&gt;(F$3*10^12-$A7),$A7,$A8)=F8,0,IF((F$3*10^12-$A8)*(F$3*10^12-$A7)*-1&lt;0,0,1)*IF(ABS(F$3*10^12-$A8)&gt;(F$3*10^12-$A7),$A7,$A8))</f>
        <v>0</v>
      </c>
      <c r="G7">
        <f t="shared" ref="G7:J69" si="8">IF(IF((G$3*10^12-$A8)*(G$3*10^12-$A7)*-1&lt;0,0,1)*IF(ABS(G$3*10^12-$A8)&gt;(G$3*10^12-$A7),$A7,$A8)=G8,0,IF((G$3*10^12-$A8)*(G$3*10^12-$A7)*-1&lt;0,0,1)*IF(ABS(G$3*10^12-$A8)&gt;(G$3*10^12-$A7),$A7,$A8))</f>
        <v>0</v>
      </c>
      <c r="H7">
        <f t="shared" si="8"/>
        <v>0</v>
      </c>
      <c r="I7">
        <f t="shared" si="8"/>
        <v>0</v>
      </c>
      <c r="J7">
        <f t="shared" si="8"/>
        <v>0</v>
      </c>
      <c r="M7" t="s">
        <v>179</v>
      </c>
      <c r="N7">
        <f>Rcea1</f>
        <v>16919.361375840006</v>
      </c>
      <c r="O7" s="2">
        <f t="shared" si="1"/>
        <v>16900</v>
      </c>
      <c r="P7" s="45" t="s">
        <v>268</v>
      </c>
    </row>
    <row r="8" spans="1:16" ht="13" x14ac:dyDescent="0.3">
      <c r="A8">
        <v>0.68</v>
      </c>
      <c r="B8">
        <f t="shared" si="3"/>
        <v>0</v>
      </c>
      <c r="C8">
        <f t="shared" si="4"/>
        <v>0</v>
      </c>
      <c r="D8">
        <f t="shared" si="5"/>
        <v>0</v>
      </c>
      <c r="E8">
        <f t="shared" si="6"/>
        <v>0</v>
      </c>
      <c r="F8">
        <f t="shared" si="7"/>
        <v>0</v>
      </c>
      <c r="G8">
        <f t="shared" si="8"/>
        <v>0</v>
      </c>
      <c r="H8">
        <f t="shared" si="8"/>
        <v>0</v>
      </c>
      <c r="I8">
        <f t="shared" si="8"/>
        <v>0</v>
      </c>
      <c r="J8">
        <f t="shared" si="8"/>
        <v>0</v>
      </c>
      <c r="M8" t="s">
        <v>179</v>
      </c>
      <c r="N8">
        <f>Rcea2</f>
        <v>15079.644720000004</v>
      </c>
      <c r="O8" s="2">
        <f t="shared" ref="O8" si="9">IF(N8&gt;(INT(0.5+100*POWER(10,IF(96*(LOG(N8)-INT(LOG(N8)))-ROUND(96*(LOG(N8)-INT(LOG(N8))),0)&lt;0,ROUND(96*(LOG(N8)-INT(LOG(N8))),0)-1,ROUND(96*(LOG(N8)-INT(LOG(N8))),0))/96))*POWER(10,INT(LOG(N8))-2)+INT(0.5+100*POWER(10,(IF(96*(LOG(N8)-INT(LOG(N8)))-ROUND(96*(LOG(N8)-INT(LOG(N8))),0)&lt;0,ROUND(96*(LOG(N8)-INT(LOG(N8))),0)-1,ROUND(96*(LOG(N8)-INT(LOG(N8))),0))+1)/96))*POWER(10,INT(LOG(N8))-2))/2,INT(0.5+100*POWER(10,(IF(96*(LOG(N8)-INT(LOG(N8)))-ROUND(96*(LOG(N8)-INT(LOG(N8))),0)&lt;0,ROUND(96*(LOG(N8)-INT(LOG(N8))),0)-1,ROUND(96*(LOG(N8)-INT(LOG(N8))),0))+1)/96))*POWER(10,INT(LOG(N8))-2),INT(0.5+100*POWER(10,IF(96*(LOG(N8)-INT(LOG(N8)))-ROUND(96*(LOG(N8)-INT(LOG(N8))),0)&lt;0,ROUND(96*(LOG(N8)-INT(LOG(N8))),0)-1,ROUND(96*(LOG(N8)-INT(LOG(N8))),0))/96))*POWER(10,INT(LOG(N8))-2))</f>
        <v>15000</v>
      </c>
      <c r="P8" s="45" t="s">
        <v>268</v>
      </c>
    </row>
    <row r="9" spans="1:16" x14ac:dyDescent="0.25">
      <c r="A9">
        <v>0.82</v>
      </c>
      <c r="B9">
        <f t="shared" si="3"/>
        <v>0</v>
      </c>
      <c r="C9">
        <f t="shared" si="4"/>
        <v>0</v>
      </c>
      <c r="D9">
        <f t="shared" si="5"/>
        <v>0</v>
      </c>
      <c r="E9">
        <f t="shared" si="6"/>
        <v>0</v>
      </c>
      <c r="F9">
        <f t="shared" si="7"/>
        <v>0</v>
      </c>
      <c r="G9">
        <f t="shared" si="8"/>
        <v>0</v>
      </c>
      <c r="H9">
        <f t="shared" si="8"/>
        <v>0</v>
      </c>
      <c r="I9">
        <f t="shared" si="8"/>
        <v>0</v>
      </c>
      <c r="J9">
        <f t="shared" si="8"/>
        <v>0</v>
      </c>
    </row>
    <row r="10" spans="1:16" ht="13" x14ac:dyDescent="0.3">
      <c r="A10">
        <v>1</v>
      </c>
      <c r="B10">
        <f t="shared" si="3"/>
        <v>0</v>
      </c>
      <c r="C10">
        <f t="shared" si="4"/>
        <v>0</v>
      </c>
      <c r="D10">
        <f t="shared" si="5"/>
        <v>0</v>
      </c>
      <c r="E10">
        <f t="shared" si="6"/>
        <v>0</v>
      </c>
      <c r="F10">
        <f t="shared" si="7"/>
        <v>0</v>
      </c>
      <c r="G10">
        <f t="shared" si="8"/>
        <v>0</v>
      </c>
      <c r="H10">
        <f t="shared" si="8"/>
        <v>0</v>
      </c>
      <c r="I10">
        <f t="shared" si="8"/>
        <v>0</v>
      </c>
      <c r="J10">
        <f t="shared" si="8"/>
        <v>0</v>
      </c>
      <c r="M10" t="s">
        <v>29</v>
      </c>
      <c r="N10">
        <f>Rfb1_</f>
        <v>390000</v>
      </c>
      <c r="O10" s="2">
        <f>IF(N10&gt;(INT(0.5+100*POWER(10,IF(96*(LOG(N10)-INT(LOG(N10)))-ROUND(96*(LOG(N10)-INT(LOG(N10))),0)&lt;0,ROUND(96*(LOG(N10)-INT(LOG(N10))),0)-1,ROUND(96*(LOG(N10)-INT(LOG(N10))),0))/96))*POWER(10,INT(LOG(N10))-2)+INT(0.5+100*POWER(10,(IF(96*(LOG(N10)-INT(LOG(N10)))-ROUND(96*(LOG(N10)-INT(LOG(N10))),0)&lt;0,ROUND(96*(LOG(N10)-INT(LOG(N10))),0)-1,ROUND(96*(LOG(N10)-INT(LOG(N10))),0))+1)/96))*POWER(10,INT(LOG(N10))-2))/2,INT(0.5+100*POWER(10,(IF(96*(LOG(N10)-INT(LOG(N10)))-ROUND(96*(LOG(N10)-INT(LOG(N10))),0)&lt;0,ROUND(96*(LOG(N10)-INT(LOG(N10))),0)-1,ROUND(96*(LOG(N10)-INT(LOG(N10))),0))+1)/96))*POWER(10,INT(LOG(N10))-2),INT(0.5+100*POWER(10,IF(96*(LOG(N10)-INT(LOG(N10)))-ROUND(96*(LOG(N10)-INT(LOG(N10))),0)&lt;0,ROUND(96*(LOG(N10)-INT(LOG(N10))),0)-1,ROUND(96*(LOG(N10)-INT(LOG(N10))),0))/96))*POWER(10,INT(LOG(N10))-2))</f>
        <v>392000</v>
      </c>
      <c r="P10" s="45" t="s">
        <v>268</v>
      </c>
    </row>
    <row r="11" spans="1:16" ht="13" x14ac:dyDescent="0.3">
      <c r="A11">
        <v>1.2</v>
      </c>
      <c r="B11">
        <f t="shared" si="3"/>
        <v>0</v>
      </c>
      <c r="C11">
        <f t="shared" si="4"/>
        <v>0</v>
      </c>
      <c r="D11">
        <f t="shared" si="5"/>
        <v>0</v>
      </c>
      <c r="E11">
        <f t="shared" si="6"/>
        <v>0</v>
      </c>
      <c r="F11">
        <f t="shared" si="7"/>
        <v>0</v>
      </c>
      <c r="G11">
        <f t="shared" si="8"/>
        <v>0</v>
      </c>
      <c r="H11">
        <f t="shared" si="8"/>
        <v>0</v>
      </c>
      <c r="I11">
        <f t="shared" si="8"/>
        <v>0</v>
      </c>
      <c r="J11">
        <f t="shared" si="8"/>
        <v>0</v>
      </c>
      <c r="M11" t="s">
        <v>40</v>
      </c>
      <c r="N11" s="48">
        <f>Rfb2_</f>
        <v>10000</v>
      </c>
      <c r="O11" s="2">
        <f>IF(N11="OPEN","OPEN",IF(N11&gt;(INT(0.5+100*POWER(10,IF(96*(LOG(N11)-INT(LOG(N11)))-ROUND(96*(LOG(N11)-INT(LOG(N11))),0)&lt;0,ROUND(96*(LOG(N11)-INT(LOG(N11))),0)-1,ROUND(96*(LOG(N11)-INT(LOG(N11))),0))/96))*POWER(10,INT(LOG(N11))-2)+INT(0.5+100*POWER(10,(IF(96*(LOG(N11)-INT(LOG(N11)))-ROUND(96*(LOG(N11)-INT(LOG(N11))),0)&lt;0,ROUND(96*(LOG(N11)-INT(LOG(N11))),0)-1,ROUND(96*(LOG(N11)-INT(LOG(N11))),0))+1)/96))*POWER(10,INT(LOG(N11))-2))/2,INT(0.5+100*POWER(10,(IF(96*(LOG(N11)-INT(LOG(N11)))-ROUND(96*(LOG(N11)-INT(LOG(N11))),0)&lt;0,ROUND(96*(LOG(N11)-INT(LOG(N11))),0)-1,ROUND(96*(LOG(N11)-INT(LOG(N11))),0))+1)/96))*POWER(10,INT(LOG(N11))-2),INT(0.5+100*POWER(10,IF(96*(LOG(N11)-INT(LOG(N11)))-ROUND(96*(LOG(N11)-INT(LOG(N11))),0)&lt;0,ROUND(96*(LOG(N11)-INT(LOG(N11))),0)-1,ROUND(96*(LOG(N11)-INT(LOG(N11))),0))/96))*POWER(10,INT(LOG(N11))-2)))</f>
        <v>10000</v>
      </c>
      <c r="P11" s="45" t="s">
        <v>268</v>
      </c>
    </row>
    <row r="12" spans="1:16" ht="13" x14ac:dyDescent="0.3">
      <c r="A12">
        <v>1.5</v>
      </c>
      <c r="B12">
        <f t="shared" si="3"/>
        <v>0</v>
      </c>
      <c r="C12">
        <f t="shared" si="4"/>
        <v>0</v>
      </c>
      <c r="D12">
        <f t="shared" si="5"/>
        <v>0</v>
      </c>
      <c r="E12">
        <f t="shared" si="6"/>
        <v>0</v>
      </c>
      <c r="F12">
        <f t="shared" si="7"/>
        <v>0</v>
      </c>
      <c r="G12">
        <f t="shared" si="8"/>
        <v>0</v>
      </c>
      <c r="H12">
        <f t="shared" si="8"/>
        <v>0</v>
      </c>
      <c r="I12">
        <f t="shared" si="8"/>
        <v>0</v>
      </c>
      <c r="J12">
        <f t="shared" si="8"/>
        <v>0</v>
      </c>
      <c r="M12" s="114" t="s">
        <v>736</v>
      </c>
      <c r="N12">
        <f>Rfb3_</f>
        <v>115000</v>
      </c>
      <c r="O12" s="2">
        <f>IF(N12&gt;(INT(0.5+100*POWER(10,IF(96*(LOG(N12)-INT(LOG(N12)))-ROUND(96*(LOG(N12)-INT(LOG(N12))),0)&lt;0,ROUND(96*(LOG(N12)-INT(LOG(N12))),0)-1,ROUND(96*(LOG(N12)-INT(LOG(N12))),0))/96))*POWER(10,INT(LOG(N12))-2)+INT(0.5+100*POWER(10,(IF(96*(LOG(N12)-INT(LOG(N12)))-ROUND(96*(LOG(N12)-INT(LOG(N12))),0)&lt;0,ROUND(96*(LOG(N12)-INT(LOG(N12))),0)-1,ROUND(96*(LOG(N12)-INT(LOG(N12))),0))+1)/96))*POWER(10,INT(LOG(N12))-2))/2,INT(0.5+100*POWER(10,(IF(96*(LOG(N12)-INT(LOG(N12)))-ROUND(96*(LOG(N12)-INT(LOG(N12))),0)&lt;0,ROUND(96*(LOG(N12)-INT(LOG(N12))),0)-1,ROUND(96*(LOG(N12)-INT(LOG(N12))),0))+1)/96))*POWER(10,INT(LOG(N12))-2),INT(0.5+100*POWER(10,IF(96*(LOG(N12)-INT(LOG(N12)))-ROUND(96*(LOG(N12)-INT(LOG(N12))),0)&lt;0,ROUND(96*(LOG(N12)-INT(LOG(N12))),0)-1,ROUND(96*(LOG(N12)-INT(LOG(N12))),0))/96))*POWER(10,INT(LOG(N12))-2))</f>
        <v>115000</v>
      </c>
      <c r="P12" s="45" t="s">
        <v>268</v>
      </c>
    </row>
    <row r="13" spans="1:16" ht="13" x14ac:dyDescent="0.3">
      <c r="A13">
        <v>1.8</v>
      </c>
      <c r="B13">
        <f t="shared" si="3"/>
        <v>0</v>
      </c>
      <c r="C13">
        <f t="shared" si="4"/>
        <v>0</v>
      </c>
      <c r="D13">
        <f t="shared" si="5"/>
        <v>0</v>
      </c>
      <c r="E13">
        <f t="shared" si="6"/>
        <v>0</v>
      </c>
      <c r="F13">
        <f t="shared" si="7"/>
        <v>0</v>
      </c>
      <c r="G13">
        <f t="shared" si="8"/>
        <v>0</v>
      </c>
      <c r="H13">
        <f t="shared" si="8"/>
        <v>0</v>
      </c>
      <c r="I13">
        <f t="shared" si="8"/>
        <v>0</v>
      </c>
      <c r="J13">
        <f t="shared" si="8"/>
        <v>0</v>
      </c>
      <c r="M13" s="114" t="s">
        <v>737</v>
      </c>
      <c r="N13" s="48">
        <f>Rfb4_</f>
        <v>15681.81818181818</v>
      </c>
      <c r="O13" s="2">
        <f>IF(N13="OPEN","OPEN",IF(N13&gt;(INT(0.5+100*POWER(10,IF(96*(LOG(N13)-INT(LOG(N13)))-ROUND(96*(LOG(N13)-INT(LOG(N13))),0)&lt;0,ROUND(96*(LOG(N13)-INT(LOG(N13))),0)-1,ROUND(96*(LOG(N13)-INT(LOG(N13))),0))/96))*POWER(10,INT(LOG(N13))-2)+INT(0.5+100*POWER(10,(IF(96*(LOG(N13)-INT(LOG(N13)))-ROUND(96*(LOG(N13)-INT(LOG(N13))),0)&lt;0,ROUND(96*(LOG(N13)-INT(LOG(N13))),0)-1,ROUND(96*(LOG(N13)-INT(LOG(N13))),0))+1)/96))*POWER(10,INT(LOG(N13))-2))/2,INT(0.5+100*POWER(10,(IF(96*(LOG(N13)-INT(LOG(N13)))-ROUND(96*(LOG(N13)-INT(LOG(N13))),0)&lt;0,ROUND(96*(LOG(N13)-INT(LOG(N13))),0)-1,ROUND(96*(LOG(N13)-INT(LOG(N13))),0))+1)/96))*POWER(10,INT(LOG(N13))-2),INT(0.5+100*POWER(10,IF(96*(LOG(N13)-INT(LOG(N13)))-ROUND(96*(LOG(N13)-INT(LOG(N13))),0)&lt;0,ROUND(96*(LOG(N13)-INT(LOG(N13))),0)-1,ROUND(96*(LOG(N13)-INT(LOG(N13))),0))/96))*POWER(10,INT(LOG(N13))-2)))</f>
        <v>15800</v>
      </c>
      <c r="P13" s="45" t="s">
        <v>268</v>
      </c>
    </row>
    <row r="14" spans="1:16" x14ac:dyDescent="0.25">
      <c r="A14">
        <v>2.2000000000000002</v>
      </c>
      <c r="B14">
        <f t="shared" ref="B14:J14" si="10">IF(IF((B$3*10^12-$A15)*(B$3*10^12-$A14)*-1&lt;0,0,1)*IF(ABS(B$3*10^12-$A15)&gt;(B$3*10^12-$A14),$A14,$A15)=B15,0,IF((B$3*10^12-$A15)*(B$3*10^12-$A14)*-1&lt;0,0,1)*IF(ABS(B$3*10^12-$A15)&gt;(B$3*10^12-$A14),$A14,$A15))</f>
        <v>0</v>
      </c>
      <c r="C14">
        <f t="shared" si="10"/>
        <v>0</v>
      </c>
      <c r="D14">
        <f t="shared" si="10"/>
        <v>0</v>
      </c>
      <c r="E14">
        <f t="shared" si="10"/>
        <v>0</v>
      </c>
      <c r="F14">
        <f t="shared" si="10"/>
        <v>0</v>
      </c>
      <c r="G14">
        <f t="shared" si="10"/>
        <v>0</v>
      </c>
      <c r="H14">
        <f t="shared" si="10"/>
        <v>0</v>
      </c>
      <c r="I14">
        <f t="shared" si="10"/>
        <v>0</v>
      </c>
      <c r="J14">
        <f t="shared" si="10"/>
        <v>0</v>
      </c>
    </row>
    <row r="15" spans="1:16" x14ac:dyDescent="0.25">
      <c r="A15">
        <v>2.7</v>
      </c>
      <c r="B15">
        <f t="shared" si="3"/>
        <v>0</v>
      </c>
      <c r="C15">
        <f t="shared" si="4"/>
        <v>0</v>
      </c>
      <c r="D15">
        <f t="shared" si="5"/>
        <v>0</v>
      </c>
      <c r="E15">
        <f t="shared" si="6"/>
        <v>0</v>
      </c>
      <c r="F15">
        <f t="shared" si="7"/>
        <v>0</v>
      </c>
      <c r="G15">
        <f t="shared" si="8"/>
        <v>0</v>
      </c>
      <c r="H15">
        <f t="shared" si="8"/>
        <v>0</v>
      </c>
      <c r="I15">
        <f t="shared" si="8"/>
        <v>0</v>
      </c>
      <c r="J15">
        <f t="shared" si="8"/>
        <v>0</v>
      </c>
    </row>
    <row r="16" spans="1:16" ht="13" x14ac:dyDescent="0.3">
      <c r="A16">
        <v>3.3</v>
      </c>
      <c r="B16">
        <f t="shared" si="3"/>
        <v>0</v>
      </c>
      <c r="C16">
        <f t="shared" si="4"/>
        <v>0</v>
      </c>
      <c r="D16">
        <f t="shared" si="5"/>
        <v>0</v>
      </c>
      <c r="E16">
        <f t="shared" si="6"/>
        <v>0</v>
      </c>
      <c r="F16">
        <f t="shared" si="7"/>
        <v>0</v>
      </c>
      <c r="G16">
        <f t="shared" si="8"/>
        <v>0</v>
      </c>
      <c r="H16">
        <f t="shared" si="8"/>
        <v>0</v>
      </c>
      <c r="I16">
        <f t="shared" si="8"/>
        <v>0</v>
      </c>
      <c r="J16">
        <f t="shared" si="8"/>
        <v>0</v>
      </c>
      <c r="M16" s="114" t="s">
        <v>167</v>
      </c>
      <c r="N16" s="360">
        <f>Rs_ideal*1000</f>
        <v>2.2423848496618994</v>
      </c>
      <c r="O16" s="2">
        <f>IF(N16=0,0,IF(N16&gt;(INT(0.5+100*POWER(10,IF(96*(LOG(N16)-INT(LOG(N16)))-ROUND(96*(LOG(N16)-INT(LOG(N16))),0)&lt;0,ROUND(96*(LOG(N16)-INT(LOG(N16))),0)-1,ROUND(96*(LOG(N16)-INT(LOG(N16))),0))/96))*POWER(10,INT(LOG(N16))-2)+INT(0.5+100*POWER(10,(IF(96*(LOG(N16)-INT(LOG(N16)))-ROUND(96*(LOG(N16)-INT(LOG(N16))),0)&lt;0,ROUND(96*(LOG(N16)-INT(LOG(N16))),0)-1,ROUND(96*(LOG(N16)-INT(LOG(N16))),0))+1)/96))*POWER(10,INT(LOG(N16))-2))/2,INT(0.5+100*POWER(10,(IF(96*(LOG(N16)-INT(LOG(N16)))-ROUND(96*(LOG(N16)-INT(LOG(N16))),0)&lt;0,ROUND(96*(LOG(N16)-INT(LOG(N16))),0)-1,ROUND(96*(LOG(N16)-INT(LOG(N16))),0))+1)/96))*POWER(10,INT(LOG(N16))-2),INT(0.5+100*POWER(10,IF(96*(LOG(N16)-INT(LOG(N16)))-ROUND(96*(LOG(N16)-INT(LOG(N16))),0)&lt;0,ROUND(96*(LOG(N16)-INT(LOG(N16))),0)-1,ROUND(96*(LOG(N16)-INT(LOG(N16))),0))/96))*POWER(10,INT(LOG(N16))-2)))</f>
        <v>2.2600000000000002</v>
      </c>
      <c r="P16" s="45" t="s">
        <v>318</v>
      </c>
    </row>
    <row r="17" spans="1:16" x14ac:dyDescent="0.25">
      <c r="A17">
        <v>3.9</v>
      </c>
      <c r="B17">
        <f t="shared" si="3"/>
        <v>0</v>
      </c>
      <c r="C17">
        <f t="shared" si="4"/>
        <v>0</v>
      </c>
      <c r="D17">
        <f t="shared" si="5"/>
        <v>0</v>
      </c>
      <c r="E17">
        <f t="shared" si="6"/>
        <v>0</v>
      </c>
      <c r="F17">
        <f t="shared" si="7"/>
        <v>0</v>
      </c>
      <c r="G17">
        <f t="shared" si="8"/>
        <v>0</v>
      </c>
      <c r="H17">
        <f t="shared" si="8"/>
        <v>0</v>
      </c>
      <c r="I17">
        <f t="shared" si="8"/>
        <v>0</v>
      </c>
      <c r="J17">
        <f t="shared" si="8"/>
        <v>0</v>
      </c>
      <c r="M17" s="114" t="s">
        <v>682</v>
      </c>
      <c r="N17">
        <f>Cres</f>
        <v>5.0000000000000008E-7</v>
      </c>
      <c r="O17">
        <f>G4*1000000000000</f>
        <v>470000</v>
      </c>
      <c r="P17" s="114" t="s">
        <v>30</v>
      </c>
    </row>
    <row r="18" spans="1:16" x14ac:dyDescent="0.25">
      <c r="A18">
        <v>4.7</v>
      </c>
      <c r="B18">
        <f t="shared" si="3"/>
        <v>0</v>
      </c>
      <c r="C18">
        <f t="shared" si="4"/>
        <v>0</v>
      </c>
      <c r="D18">
        <f t="shared" si="5"/>
        <v>0</v>
      </c>
      <c r="E18">
        <f t="shared" si="6"/>
        <v>0</v>
      </c>
      <c r="F18">
        <f t="shared" si="7"/>
        <v>0</v>
      </c>
      <c r="G18">
        <f t="shared" si="8"/>
        <v>0</v>
      </c>
      <c r="H18">
        <f t="shared" si="8"/>
        <v>0</v>
      </c>
      <c r="I18">
        <f t="shared" si="8"/>
        <v>0</v>
      </c>
      <c r="J18">
        <f t="shared" si="8"/>
        <v>0</v>
      </c>
    </row>
    <row r="19" spans="1:16" ht="13" x14ac:dyDescent="0.3">
      <c r="A19">
        <v>5.6</v>
      </c>
      <c r="B19">
        <f t="shared" si="3"/>
        <v>0</v>
      </c>
      <c r="C19">
        <f t="shared" si="4"/>
        <v>0</v>
      </c>
      <c r="D19">
        <f t="shared" si="5"/>
        <v>0</v>
      </c>
      <c r="E19">
        <f t="shared" si="6"/>
        <v>0</v>
      </c>
      <c r="F19">
        <f t="shared" si="7"/>
        <v>0</v>
      </c>
      <c r="G19">
        <f t="shared" si="8"/>
        <v>0</v>
      </c>
      <c r="H19">
        <f t="shared" si="8"/>
        <v>0</v>
      </c>
      <c r="I19">
        <f t="shared" si="8"/>
        <v>0</v>
      </c>
      <c r="J19">
        <f t="shared" si="8"/>
        <v>0</v>
      </c>
      <c r="M19" s="114"/>
      <c r="O19" s="2"/>
      <c r="P19" s="45"/>
    </row>
    <row r="20" spans="1:16" ht="13" x14ac:dyDescent="0.3">
      <c r="A20">
        <v>6.8</v>
      </c>
      <c r="B20">
        <f t="shared" si="3"/>
        <v>0</v>
      </c>
      <c r="C20">
        <f t="shared" si="4"/>
        <v>0</v>
      </c>
      <c r="D20">
        <f t="shared" si="5"/>
        <v>0</v>
      </c>
      <c r="E20">
        <f t="shared" si="6"/>
        <v>0</v>
      </c>
      <c r="F20">
        <f t="shared" si="7"/>
        <v>0</v>
      </c>
      <c r="G20">
        <f t="shared" si="8"/>
        <v>0</v>
      </c>
      <c r="H20">
        <f t="shared" si="8"/>
        <v>0</v>
      </c>
      <c r="I20">
        <f t="shared" si="8"/>
        <v>0</v>
      </c>
      <c r="J20">
        <f t="shared" si="8"/>
        <v>0</v>
      </c>
      <c r="M20" s="114"/>
      <c r="O20" s="2"/>
      <c r="P20" s="45"/>
    </row>
    <row r="21" spans="1:16" ht="13" x14ac:dyDescent="0.3">
      <c r="A21">
        <v>8.1999999999999993</v>
      </c>
      <c r="B21">
        <f t="shared" si="3"/>
        <v>0</v>
      </c>
      <c r="C21">
        <f t="shared" si="4"/>
        <v>0</v>
      </c>
      <c r="D21">
        <f t="shared" si="5"/>
        <v>0</v>
      </c>
      <c r="E21">
        <f t="shared" si="6"/>
        <v>0</v>
      </c>
      <c r="F21">
        <f t="shared" si="7"/>
        <v>0</v>
      </c>
      <c r="G21">
        <f t="shared" si="8"/>
        <v>0</v>
      </c>
      <c r="H21">
        <f t="shared" si="8"/>
        <v>0</v>
      </c>
      <c r="I21">
        <f t="shared" si="8"/>
        <v>0</v>
      </c>
      <c r="J21">
        <f t="shared" si="8"/>
        <v>0</v>
      </c>
      <c r="O21" s="2"/>
    </row>
    <row r="22" spans="1:16" ht="13" x14ac:dyDescent="0.3">
      <c r="A22">
        <v>10</v>
      </c>
      <c r="B22">
        <f t="shared" si="3"/>
        <v>0</v>
      </c>
      <c r="C22">
        <f t="shared" si="4"/>
        <v>0</v>
      </c>
      <c r="D22">
        <f t="shared" si="5"/>
        <v>0</v>
      </c>
      <c r="E22">
        <f t="shared" si="6"/>
        <v>0</v>
      </c>
      <c r="F22">
        <f t="shared" si="7"/>
        <v>0</v>
      </c>
      <c r="G22">
        <f t="shared" si="8"/>
        <v>0</v>
      </c>
      <c r="H22">
        <f t="shared" si="8"/>
        <v>0</v>
      </c>
      <c r="I22">
        <f t="shared" si="8"/>
        <v>0</v>
      </c>
      <c r="J22">
        <f t="shared" si="8"/>
        <v>0</v>
      </c>
      <c r="M22" s="114" t="s">
        <v>323</v>
      </c>
      <c r="N22">
        <f>Cdither_init</f>
        <v>9.2592592592592591E-9</v>
      </c>
      <c r="O22" s="2">
        <f>H4</f>
        <v>1E-8</v>
      </c>
    </row>
    <row r="23" spans="1:16" ht="13" x14ac:dyDescent="0.3">
      <c r="A23">
        <v>12</v>
      </c>
      <c r="B23">
        <f t="shared" si="3"/>
        <v>0</v>
      </c>
      <c r="C23">
        <f t="shared" si="4"/>
        <v>0</v>
      </c>
      <c r="D23">
        <f t="shared" si="5"/>
        <v>0</v>
      </c>
      <c r="E23">
        <f t="shared" si="6"/>
        <v>0</v>
      </c>
      <c r="F23">
        <f t="shared" si="7"/>
        <v>0</v>
      </c>
      <c r="G23">
        <f t="shared" si="8"/>
        <v>0</v>
      </c>
      <c r="H23">
        <f t="shared" si="8"/>
        <v>0</v>
      </c>
      <c r="I23">
        <f t="shared" si="8"/>
        <v>0</v>
      </c>
      <c r="J23">
        <f t="shared" si="8"/>
        <v>0</v>
      </c>
      <c r="O23" s="2"/>
    </row>
    <row r="24" spans="1:16" ht="13" x14ac:dyDescent="0.3">
      <c r="A24">
        <v>15</v>
      </c>
      <c r="B24">
        <f t="shared" si="3"/>
        <v>0</v>
      </c>
      <c r="C24">
        <f t="shared" si="4"/>
        <v>0</v>
      </c>
      <c r="D24">
        <f t="shared" si="5"/>
        <v>0</v>
      </c>
      <c r="E24">
        <f t="shared" si="6"/>
        <v>0</v>
      </c>
      <c r="F24">
        <f t="shared" si="7"/>
        <v>0</v>
      </c>
      <c r="G24">
        <f t="shared" si="8"/>
        <v>0</v>
      </c>
      <c r="H24">
        <f t="shared" si="8"/>
        <v>0</v>
      </c>
      <c r="I24">
        <f t="shared" si="8"/>
        <v>0</v>
      </c>
      <c r="J24">
        <f t="shared" si="8"/>
        <v>0</v>
      </c>
      <c r="M24" s="114"/>
      <c r="N24" s="311"/>
      <c r="O24" s="2"/>
      <c r="P24" s="45"/>
    </row>
    <row r="25" spans="1:16" x14ac:dyDescent="0.25">
      <c r="A25">
        <v>18</v>
      </c>
      <c r="B25">
        <f t="shared" si="3"/>
        <v>0</v>
      </c>
      <c r="C25">
        <f t="shared" si="4"/>
        <v>0</v>
      </c>
      <c r="D25">
        <f t="shared" si="5"/>
        <v>0</v>
      </c>
      <c r="E25">
        <f t="shared" si="6"/>
        <v>0</v>
      </c>
      <c r="F25">
        <f t="shared" si="7"/>
        <v>0</v>
      </c>
      <c r="G25">
        <f t="shared" si="8"/>
        <v>0</v>
      </c>
      <c r="H25">
        <f t="shared" si="8"/>
        <v>0</v>
      </c>
      <c r="I25">
        <f t="shared" si="8"/>
        <v>0</v>
      </c>
      <c r="J25">
        <f t="shared" si="8"/>
        <v>0</v>
      </c>
    </row>
    <row r="26" spans="1:16" ht="13" x14ac:dyDescent="0.3">
      <c r="A26">
        <v>22</v>
      </c>
      <c r="B26">
        <f t="shared" si="3"/>
        <v>0</v>
      </c>
      <c r="C26">
        <f t="shared" si="4"/>
        <v>0</v>
      </c>
      <c r="D26">
        <f t="shared" si="5"/>
        <v>0</v>
      </c>
      <c r="E26">
        <f t="shared" si="6"/>
        <v>0</v>
      </c>
      <c r="F26">
        <f t="shared" si="7"/>
        <v>0</v>
      </c>
      <c r="G26">
        <f t="shared" si="8"/>
        <v>0</v>
      </c>
      <c r="H26">
        <f t="shared" si="8"/>
        <v>0</v>
      </c>
      <c r="I26">
        <f t="shared" si="8"/>
        <v>0</v>
      </c>
      <c r="J26">
        <f t="shared" si="8"/>
        <v>0</v>
      </c>
      <c r="O26" s="2"/>
    </row>
    <row r="27" spans="1:16" ht="13" x14ac:dyDescent="0.3">
      <c r="A27">
        <v>27</v>
      </c>
      <c r="B27">
        <f t="shared" si="3"/>
        <v>0</v>
      </c>
      <c r="C27">
        <f t="shared" si="4"/>
        <v>0</v>
      </c>
      <c r="D27">
        <f t="shared" si="5"/>
        <v>0</v>
      </c>
      <c r="E27">
        <f t="shared" si="6"/>
        <v>0</v>
      </c>
      <c r="F27">
        <f t="shared" si="7"/>
        <v>0</v>
      </c>
      <c r="G27">
        <f t="shared" si="8"/>
        <v>0</v>
      </c>
      <c r="H27">
        <f t="shared" si="8"/>
        <v>0</v>
      </c>
      <c r="I27">
        <f t="shared" si="8"/>
        <v>0</v>
      </c>
      <c r="J27">
        <f t="shared" si="8"/>
        <v>0</v>
      </c>
      <c r="M27" s="114"/>
      <c r="O27" s="2"/>
      <c r="P27" s="45"/>
    </row>
    <row r="28" spans="1:16" x14ac:dyDescent="0.25">
      <c r="A28">
        <v>33</v>
      </c>
      <c r="B28">
        <f t="shared" si="3"/>
        <v>0</v>
      </c>
      <c r="C28">
        <f t="shared" si="4"/>
        <v>0</v>
      </c>
      <c r="D28">
        <f t="shared" si="5"/>
        <v>0</v>
      </c>
      <c r="E28">
        <f t="shared" si="6"/>
        <v>0</v>
      </c>
      <c r="F28">
        <f t="shared" si="7"/>
        <v>0</v>
      </c>
      <c r="G28">
        <f t="shared" si="8"/>
        <v>0</v>
      </c>
      <c r="H28">
        <f t="shared" si="8"/>
        <v>0</v>
      </c>
      <c r="I28">
        <f t="shared" si="8"/>
        <v>0</v>
      </c>
      <c r="J28">
        <f t="shared" si="8"/>
        <v>0</v>
      </c>
    </row>
    <row r="29" spans="1:16" x14ac:dyDescent="0.25">
      <c r="A29">
        <v>39</v>
      </c>
      <c r="B29">
        <f t="shared" si="3"/>
        <v>0</v>
      </c>
      <c r="C29">
        <f t="shared" si="4"/>
        <v>0</v>
      </c>
      <c r="D29">
        <f t="shared" si="5"/>
        <v>0</v>
      </c>
      <c r="E29">
        <f t="shared" si="6"/>
        <v>0</v>
      </c>
      <c r="F29">
        <f t="shared" si="7"/>
        <v>0</v>
      </c>
      <c r="G29">
        <f t="shared" si="8"/>
        <v>0</v>
      </c>
      <c r="H29">
        <f t="shared" si="8"/>
        <v>0</v>
      </c>
      <c r="I29">
        <f t="shared" si="8"/>
        <v>0</v>
      </c>
      <c r="J29">
        <f t="shared" si="8"/>
        <v>0</v>
      </c>
    </row>
    <row r="30" spans="1:16" ht="13" x14ac:dyDescent="0.3">
      <c r="A30">
        <v>47</v>
      </c>
      <c r="B30">
        <f t="shared" si="3"/>
        <v>0</v>
      </c>
      <c r="C30">
        <f t="shared" si="4"/>
        <v>0</v>
      </c>
      <c r="D30">
        <f t="shared" si="5"/>
        <v>0</v>
      </c>
      <c r="E30">
        <f t="shared" si="6"/>
        <v>0</v>
      </c>
      <c r="F30">
        <f t="shared" si="7"/>
        <v>0</v>
      </c>
      <c r="G30">
        <f t="shared" si="8"/>
        <v>0</v>
      </c>
      <c r="H30">
        <f t="shared" si="8"/>
        <v>0</v>
      </c>
      <c r="I30">
        <f t="shared" si="8"/>
        <v>0</v>
      </c>
      <c r="J30">
        <f t="shared" si="8"/>
        <v>0</v>
      </c>
      <c r="M30" s="3" t="s">
        <v>171</v>
      </c>
      <c r="N30" t="str">
        <f>O7/1000&amp;" kΩ"</f>
        <v>16.9 kΩ</v>
      </c>
      <c r="O30">
        <f>O7/1000</f>
        <v>16.899999999999999</v>
      </c>
      <c r="P30" s="45" t="s">
        <v>242</v>
      </c>
    </row>
    <row r="31" spans="1:16" x14ac:dyDescent="0.25">
      <c r="A31">
        <v>56</v>
      </c>
      <c r="B31">
        <f t="shared" si="3"/>
        <v>0</v>
      </c>
      <c r="C31">
        <f t="shared" si="4"/>
        <v>0</v>
      </c>
      <c r="D31">
        <f t="shared" si="5"/>
        <v>0</v>
      </c>
      <c r="E31">
        <f t="shared" si="6"/>
        <v>0</v>
      </c>
      <c r="F31">
        <f t="shared" si="7"/>
        <v>0</v>
      </c>
      <c r="G31">
        <f t="shared" si="8"/>
        <v>0</v>
      </c>
      <c r="H31">
        <f t="shared" si="8"/>
        <v>0</v>
      </c>
      <c r="I31">
        <f t="shared" si="8"/>
        <v>0</v>
      </c>
      <c r="J31">
        <f t="shared" si="8"/>
        <v>0</v>
      </c>
      <c r="M31" s="3" t="s">
        <v>169</v>
      </c>
      <c r="N31" t="str">
        <f>C4*1000000000&amp;" nF"</f>
        <v>3.3 nF</v>
      </c>
      <c r="O31">
        <f>C4*1000000000</f>
        <v>3.3000000000000003</v>
      </c>
      <c r="P31" s="114" t="s">
        <v>141</v>
      </c>
    </row>
    <row r="32" spans="1:16" x14ac:dyDescent="0.25">
      <c r="A32">
        <v>68</v>
      </c>
      <c r="B32">
        <f t="shared" si="3"/>
        <v>0</v>
      </c>
      <c r="C32">
        <f t="shared" si="4"/>
        <v>0</v>
      </c>
      <c r="D32">
        <f t="shared" si="5"/>
        <v>82</v>
      </c>
      <c r="E32">
        <f t="shared" si="6"/>
        <v>0</v>
      </c>
      <c r="F32">
        <f t="shared" si="7"/>
        <v>0</v>
      </c>
      <c r="G32">
        <f t="shared" si="8"/>
        <v>0</v>
      </c>
      <c r="H32">
        <f t="shared" si="8"/>
        <v>0</v>
      </c>
      <c r="I32">
        <f t="shared" si="8"/>
        <v>0</v>
      </c>
      <c r="J32">
        <f t="shared" si="8"/>
        <v>0</v>
      </c>
      <c r="M32" s="3" t="s">
        <v>170</v>
      </c>
      <c r="N32" t="str">
        <f>D4*1000000000000&amp;" pF"</f>
        <v>82 pF</v>
      </c>
      <c r="O32">
        <f>D4*1000000000000</f>
        <v>82</v>
      </c>
      <c r="P32" s="114" t="s">
        <v>30</v>
      </c>
    </row>
    <row r="33" spans="1:16" ht="13" x14ac:dyDescent="0.3">
      <c r="A33">
        <v>82</v>
      </c>
      <c r="B33">
        <f t="shared" si="3"/>
        <v>0</v>
      </c>
      <c r="C33">
        <f t="shared" si="4"/>
        <v>0</v>
      </c>
      <c r="D33">
        <f t="shared" si="5"/>
        <v>0</v>
      </c>
      <c r="E33">
        <f t="shared" si="6"/>
        <v>0</v>
      </c>
      <c r="F33">
        <f t="shared" si="7"/>
        <v>0</v>
      </c>
      <c r="G33">
        <f t="shared" si="8"/>
        <v>0</v>
      </c>
      <c r="H33">
        <f t="shared" si="8"/>
        <v>0</v>
      </c>
      <c r="I33">
        <f t="shared" si="8"/>
        <v>0</v>
      </c>
      <c r="J33">
        <f t="shared" si="8"/>
        <v>82</v>
      </c>
      <c r="M33" s="3"/>
      <c r="P33" s="45"/>
    </row>
    <row r="34" spans="1:16" ht="13" x14ac:dyDescent="0.3">
      <c r="A34">
        <f>A22*10</f>
        <v>100</v>
      </c>
      <c r="B34">
        <f t="shared" si="3"/>
        <v>0</v>
      </c>
      <c r="C34">
        <f t="shared" si="4"/>
        <v>0</v>
      </c>
      <c r="D34">
        <f t="shared" si="5"/>
        <v>0</v>
      </c>
      <c r="E34">
        <f t="shared" si="6"/>
        <v>0</v>
      </c>
      <c r="F34">
        <f t="shared" si="7"/>
        <v>0</v>
      </c>
      <c r="G34">
        <f t="shared" si="8"/>
        <v>0</v>
      </c>
      <c r="H34">
        <f t="shared" si="8"/>
        <v>0</v>
      </c>
      <c r="I34">
        <f t="shared" si="8"/>
        <v>0</v>
      </c>
      <c r="J34">
        <f t="shared" si="8"/>
        <v>0</v>
      </c>
      <c r="M34" s="114" t="s">
        <v>731</v>
      </c>
      <c r="N34" t="str">
        <f>O8/1000&amp;" kΩ"</f>
        <v>15 kΩ</v>
      </c>
      <c r="O34">
        <f>O8/1000</f>
        <v>15</v>
      </c>
      <c r="P34" s="45" t="s">
        <v>242</v>
      </c>
    </row>
    <row r="35" spans="1:16" x14ac:dyDescent="0.25">
      <c r="A35">
        <f t="shared" ref="A35:A98" si="11">A23*10</f>
        <v>120</v>
      </c>
      <c r="B35">
        <f t="shared" si="3"/>
        <v>0</v>
      </c>
      <c r="C35">
        <f t="shared" si="4"/>
        <v>0</v>
      </c>
      <c r="D35">
        <f t="shared" si="5"/>
        <v>0</v>
      </c>
      <c r="E35">
        <f t="shared" si="6"/>
        <v>0</v>
      </c>
      <c r="F35">
        <f t="shared" si="7"/>
        <v>0</v>
      </c>
      <c r="G35">
        <f t="shared" si="8"/>
        <v>0</v>
      </c>
      <c r="H35">
        <f t="shared" si="8"/>
        <v>0</v>
      </c>
      <c r="I35">
        <f t="shared" si="8"/>
        <v>0</v>
      </c>
      <c r="J35">
        <f t="shared" si="8"/>
        <v>0</v>
      </c>
      <c r="M35" s="114" t="s">
        <v>732</v>
      </c>
      <c r="N35" t="str">
        <f>I4*1000000000&amp;" nF"</f>
        <v>1.8 nF</v>
      </c>
      <c r="O35">
        <f>I4*1000000000</f>
        <v>1.8</v>
      </c>
      <c r="P35" s="114" t="s">
        <v>141</v>
      </c>
    </row>
    <row r="36" spans="1:16" x14ac:dyDescent="0.25">
      <c r="A36">
        <f t="shared" si="11"/>
        <v>150</v>
      </c>
      <c r="B36">
        <f t="shared" si="3"/>
        <v>0</v>
      </c>
      <c r="C36">
        <f t="shared" si="4"/>
        <v>0</v>
      </c>
      <c r="D36">
        <f t="shared" si="5"/>
        <v>0</v>
      </c>
      <c r="E36">
        <f t="shared" si="6"/>
        <v>0</v>
      </c>
      <c r="F36">
        <f t="shared" si="7"/>
        <v>0</v>
      </c>
      <c r="G36">
        <f t="shared" si="8"/>
        <v>0</v>
      </c>
      <c r="H36">
        <f t="shared" si="8"/>
        <v>0</v>
      </c>
      <c r="I36">
        <f t="shared" si="8"/>
        <v>0</v>
      </c>
      <c r="J36">
        <f t="shared" si="8"/>
        <v>0</v>
      </c>
      <c r="M36" s="114" t="s">
        <v>733</v>
      </c>
      <c r="N36" t="str">
        <f>J4*1000000000000&amp;" pF"</f>
        <v>82 pF</v>
      </c>
      <c r="O36">
        <f>J4*1000000000000</f>
        <v>82</v>
      </c>
      <c r="P36" s="114" t="s">
        <v>30</v>
      </c>
    </row>
    <row r="37" spans="1:16" x14ac:dyDescent="0.25">
      <c r="A37">
        <f t="shared" si="11"/>
        <v>180</v>
      </c>
      <c r="B37">
        <f t="shared" si="3"/>
        <v>0</v>
      </c>
      <c r="C37">
        <f t="shared" si="4"/>
        <v>0</v>
      </c>
      <c r="D37">
        <f t="shared" si="5"/>
        <v>0</v>
      </c>
      <c r="E37">
        <f t="shared" si="6"/>
        <v>0</v>
      </c>
      <c r="F37">
        <f t="shared" si="7"/>
        <v>0</v>
      </c>
      <c r="G37">
        <f t="shared" si="8"/>
        <v>0</v>
      </c>
      <c r="H37">
        <f t="shared" si="8"/>
        <v>0</v>
      </c>
      <c r="I37">
        <f t="shared" si="8"/>
        <v>0</v>
      </c>
      <c r="J37">
        <f t="shared" si="8"/>
        <v>0</v>
      </c>
    </row>
    <row r="38" spans="1:16" x14ac:dyDescent="0.25">
      <c r="A38">
        <f t="shared" si="11"/>
        <v>220</v>
      </c>
      <c r="B38">
        <f t="shared" si="3"/>
        <v>0</v>
      </c>
      <c r="C38">
        <f t="shared" si="4"/>
        <v>0</v>
      </c>
      <c r="D38">
        <f t="shared" si="5"/>
        <v>0</v>
      </c>
      <c r="E38">
        <f t="shared" si="6"/>
        <v>0</v>
      </c>
      <c r="F38">
        <f t="shared" si="7"/>
        <v>0</v>
      </c>
      <c r="G38">
        <f t="shared" si="8"/>
        <v>0</v>
      </c>
      <c r="H38">
        <f t="shared" si="8"/>
        <v>0</v>
      </c>
      <c r="I38">
        <f t="shared" si="8"/>
        <v>0</v>
      </c>
      <c r="J38">
        <f t="shared" si="8"/>
        <v>0</v>
      </c>
    </row>
    <row r="39" spans="1:16" x14ac:dyDescent="0.25">
      <c r="A39">
        <f t="shared" si="11"/>
        <v>270</v>
      </c>
      <c r="B39">
        <f t="shared" si="3"/>
        <v>0</v>
      </c>
      <c r="C39">
        <f t="shared" ref="C39:C70" si="12">IF(IF((C$3*10^12-$A40)*(C$3*10^12-$A39)*-1&lt;0,0,1)*IF(ABS(C$3*10^12-$A40)&gt;(C$3*10^12-$A39),$A39,$A40)=C40,0,IF((C$3*10^12-$A40)*(C$3*10^12-$A39)*-1&lt;0,0,1)*IF(ABS(C$3*10^12-$A40)&gt;(C$3*10^12-$A39),$A39,$A40))</f>
        <v>0</v>
      </c>
      <c r="D39">
        <f t="shared" si="5"/>
        <v>0</v>
      </c>
      <c r="E39">
        <f t="shared" si="6"/>
        <v>0</v>
      </c>
      <c r="F39">
        <f t="shared" si="7"/>
        <v>0</v>
      </c>
      <c r="G39">
        <f t="shared" si="8"/>
        <v>0</v>
      </c>
      <c r="H39">
        <f t="shared" si="8"/>
        <v>0</v>
      </c>
      <c r="I39">
        <f t="shared" si="8"/>
        <v>0</v>
      </c>
      <c r="J39">
        <f t="shared" si="8"/>
        <v>0</v>
      </c>
    </row>
    <row r="40" spans="1:16" x14ac:dyDescent="0.25">
      <c r="A40">
        <f t="shared" si="11"/>
        <v>330</v>
      </c>
      <c r="B40">
        <f t="shared" si="3"/>
        <v>0</v>
      </c>
      <c r="C40">
        <f t="shared" si="12"/>
        <v>0</v>
      </c>
      <c r="D40">
        <f t="shared" si="5"/>
        <v>0</v>
      </c>
      <c r="E40">
        <f t="shared" si="6"/>
        <v>0</v>
      </c>
      <c r="F40">
        <f t="shared" si="7"/>
        <v>0</v>
      </c>
      <c r="G40">
        <f t="shared" si="8"/>
        <v>0</v>
      </c>
      <c r="H40">
        <f t="shared" si="8"/>
        <v>0</v>
      </c>
      <c r="I40">
        <f t="shared" si="8"/>
        <v>0</v>
      </c>
      <c r="J40">
        <f t="shared" si="8"/>
        <v>0</v>
      </c>
    </row>
    <row r="41" spans="1:16" x14ac:dyDescent="0.25">
      <c r="A41">
        <f t="shared" si="11"/>
        <v>390</v>
      </c>
      <c r="B41">
        <f t="shared" si="3"/>
        <v>0</v>
      </c>
      <c r="C41">
        <f t="shared" si="12"/>
        <v>0</v>
      </c>
      <c r="D41">
        <f t="shared" si="5"/>
        <v>0</v>
      </c>
      <c r="E41">
        <f t="shared" si="6"/>
        <v>0</v>
      </c>
      <c r="F41">
        <f t="shared" si="7"/>
        <v>0</v>
      </c>
      <c r="G41">
        <f t="shared" si="8"/>
        <v>0</v>
      </c>
      <c r="H41">
        <f t="shared" si="8"/>
        <v>0</v>
      </c>
      <c r="I41">
        <f t="shared" si="8"/>
        <v>0</v>
      </c>
      <c r="J41">
        <f t="shared" si="8"/>
        <v>0</v>
      </c>
    </row>
    <row r="42" spans="1:16" x14ac:dyDescent="0.25">
      <c r="A42">
        <f t="shared" si="11"/>
        <v>470</v>
      </c>
      <c r="B42">
        <f t="shared" si="3"/>
        <v>0</v>
      </c>
      <c r="C42">
        <f t="shared" si="12"/>
        <v>0</v>
      </c>
      <c r="D42">
        <f t="shared" si="5"/>
        <v>0</v>
      </c>
      <c r="E42">
        <f t="shared" si="6"/>
        <v>0</v>
      </c>
      <c r="F42">
        <f t="shared" si="7"/>
        <v>0</v>
      </c>
      <c r="G42">
        <f t="shared" si="8"/>
        <v>0</v>
      </c>
      <c r="H42">
        <f t="shared" si="8"/>
        <v>0</v>
      </c>
      <c r="I42">
        <f t="shared" si="8"/>
        <v>0</v>
      </c>
      <c r="J42">
        <f t="shared" si="8"/>
        <v>0</v>
      </c>
    </row>
    <row r="43" spans="1:16" x14ac:dyDescent="0.25">
      <c r="A43">
        <f t="shared" si="11"/>
        <v>560</v>
      </c>
      <c r="B43">
        <f t="shared" si="3"/>
        <v>0</v>
      </c>
      <c r="C43">
        <f t="shared" si="12"/>
        <v>0</v>
      </c>
      <c r="D43">
        <f t="shared" si="5"/>
        <v>0</v>
      </c>
      <c r="E43">
        <f t="shared" si="6"/>
        <v>0</v>
      </c>
      <c r="F43">
        <f t="shared" si="7"/>
        <v>0</v>
      </c>
      <c r="G43">
        <f t="shared" si="8"/>
        <v>0</v>
      </c>
      <c r="H43">
        <f t="shared" si="8"/>
        <v>0</v>
      </c>
      <c r="I43">
        <f t="shared" si="8"/>
        <v>0</v>
      </c>
      <c r="J43">
        <f t="shared" si="8"/>
        <v>0</v>
      </c>
    </row>
    <row r="44" spans="1:16" x14ac:dyDescent="0.25">
      <c r="A44">
        <f t="shared" si="11"/>
        <v>680</v>
      </c>
      <c r="B44">
        <f t="shared" si="3"/>
        <v>0</v>
      </c>
      <c r="C44">
        <f t="shared" si="12"/>
        <v>0</v>
      </c>
      <c r="D44">
        <f t="shared" si="5"/>
        <v>0</v>
      </c>
      <c r="E44">
        <f t="shared" si="6"/>
        <v>0</v>
      </c>
      <c r="F44">
        <f t="shared" si="7"/>
        <v>0</v>
      </c>
      <c r="G44">
        <f t="shared" si="8"/>
        <v>0</v>
      </c>
      <c r="H44">
        <f t="shared" si="8"/>
        <v>0</v>
      </c>
      <c r="I44">
        <f t="shared" si="8"/>
        <v>0</v>
      </c>
      <c r="J44">
        <f t="shared" si="8"/>
        <v>0</v>
      </c>
    </row>
    <row r="45" spans="1:16" x14ac:dyDescent="0.25">
      <c r="A45">
        <f>A33*10</f>
        <v>820</v>
      </c>
      <c r="B45">
        <f t="shared" si="3"/>
        <v>0</v>
      </c>
      <c r="C45">
        <f t="shared" si="12"/>
        <v>0</v>
      </c>
      <c r="D45">
        <f t="shared" si="5"/>
        <v>0</v>
      </c>
      <c r="E45">
        <f t="shared" si="6"/>
        <v>0</v>
      </c>
      <c r="F45">
        <f t="shared" si="7"/>
        <v>0</v>
      </c>
      <c r="G45">
        <f t="shared" si="8"/>
        <v>0</v>
      </c>
      <c r="H45">
        <f t="shared" si="8"/>
        <v>0</v>
      </c>
      <c r="I45">
        <f t="shared" si="8"/>
        <v>0</v>
      </c>
      <c r="J45">
        <f t="shared" si="8"/>
        <v>0</v>
      </c>
    </row>
    <row r="46" spans="1:16" x14ac:dyDescent="0.25">
      <c r="A46">
        <f t="shared" si="11"/>
        <v>1000</v>
      </c>
      <c r="B46">
        <f t="shared" si="3"/>
        <v>0</v>
      </c>
      <c r="C46">
        <f t="shared" si="12"/>
        <v>0</v>
      </c>
      <c r="D46">
        <f t="shared" si="5"/>
        <v>0</v>
      </c>
      <c r="E46">
        <f t="shared" si="6"/>
        <v>0</v>
      </c>
      <c r="F46">
        <f t="shared" si="7"/>
        <v>0</v>
      </c>
      <c r="G46">
        <f t="shared" si="8"/>
        <v>0</v>
      </c>
      <c r="H46">
        <f t="shared" si="8"/>
        <v>0</v>
      </c>
      <c r="I46">
        <f t="shared" si="8"/>
        <v>0</v>
      </c>
      <c r="J46">
        <f t="shared" si="8"/>
        <v>0</v>
      </c>
    </row>
    <row r="47" spans="1:16" x14ac:dyDescent="0.25">
      <c r="A47">
        <f t="shared" si="11"/>
        <v>1200</v>
      </c>
      <c r="B47">
        <f t="shared" si="3"/>
        <v>0</v>
      </c>
      <c r="C47">
        <f t="shared" si="12"/>
        <v>0</v>
      </c>
      <c r="D47">
        <f t="shared" si="5"/>
        <v>0</v>
      </c>
      <c r="E47">
        <f t="shared" si="6"/>
        <v>0</v>
      </c>
      <c r="F47">
        <f t="shared" si="7"/>
        <v>0</v>
      </c>
      <c r="G47">
        <f t="shared" si="8"/>
        <v>0</v>
      </c>
      <c r="H47">
        <f t="shared" si="8"/>
        <v>0</v>
      </c>
      <c r="I47">
        <f t="shared" si="8"/>
        <v>0</v>
      </c>
      <c r="J47">
        <f t="shared" si="8"/>
        <v>0</v>
      </c>
    </row>
    <row r="48" spans="1:16" x14ac:dyDescent="0.25">
      <c r="A48">
        <f t="shared" si="11"/>
        <v>1500</v>
      </c>
      <c r="B48">
        <f t="shared" si="3"/>
        <v>0</v>
      </c>
      <c r="C48">
        <f t="shared" si="12"/>
        <v>0</v>
      </c>
      <c r="D48">
        <f t="shared" si="5"/>
        <v>0</v>
      </c>
      <c r="E48">
        <f t="shared" si="6"/>
        <v>0</v>
      </c>
      <c r="F48">
        <f t="shared" si="7"/>
        <v>0</v>
      </c>
      <c r="G48">
        <f t="shared" si="8"/>
        <v>0</v>
      </c>
      <c r="H48">
        <f t="shared" si="8"/>
        <v>0</v>
      </c>
      <c r="I48">
        <f t="shared" si="8"/>
        <v>1800</v>
      </c>
      <c r="J48">
        <f t="shared" si="8"/>
        <v>0</v>
      </c>
    </row>
    <row r="49" spans="1:10" x14ac:dyDescent="0.25">
      <c r="A49">
        <f t="shared" si="11"/>
        <v>1800</v>
      </c>
      <c r="B49">
        <f t="shared" si="3"/>
        <v>0</v>
      </c>
      <c r="C49">
        <f t="shared" si="12"/>
        <v>0</v>
      </c>
      <c r="D49">
        <f t="shared" si="5"/>
        <v>0</v>
      </c>
      <c r="E49">
        <f t="shared" si="6"/>
        <v>0</v>
      </c>
      <c r="F49">
        <f t="shared" si="7"/>
        <v>0</v>
      </c>
      <c r="G49">
        <f t="shared" si="8"/>
        <v>0</v>
      </c>
      <c r="H49">
        <f t="shared" si="8"/>
        <v>0</v>
      </c>
      <c r="I49">
        <f t="shared" si="8"/>
        <v>0</v>
      </c>
      <c r="J49">
        <f t="shared" si="8"/>
        <v>0</v>
      </c>
    </row>
    <row r="50" spans="1:10" x14ac:dyDescent="0.25">
      <c r="A50">
        <f t="shared" si="11"/>
        <v>2200</v>
      </c>
      <c r="B50">
        <f t="shared" si="3"/>
        <v>0</v>
      </c>
      <c r="C50">
        <f t="shared" si="12"/>
        <v>0</v>
      </c>
      <c r="D50">
        <f t="shared" si="5"/>
        <v>0</v>
      </c>
      <c r="E50">
        <f t="shared" si="6"/>
        <v>0</v>
      </c>
      <c r="F50">
        <f t="shared" si="7"/>
        <v>0</v>
      </c>
      <c r="G50">
        <f t="shared" si="8"/>
        <v>0</v>
      </c>
      <c r="H50">
        <f t="shared" si="8"/>
        <v>0</v>
      </c>
      <c r="I50">
        <f t="shared" si="8"/>
        <v>0</v>
      </c>
      <c r="J50">
        <f t="shared" si="8"/>
        <v>0</v>
      </c>
    </row>
    <row r="51" spans="1:10" x14ac:dyDescent="0.25">
      <c r="A51">
        <f t="shared" si="11"/>
        <v>2700</v>
      </c>
      <c r="B51">
        <f t="shared" si="3"/>
        <v>0</v>
      </c>
      <c r="C51">
        <f t="shared" si="12"/>
        <v>3300</v>
      </c>
      <c r="D51">
        <f t="shared" si="5"/>
        <v>0</v>
      </c>
      <c r="E51">
        <f t="shared" si="6"/>
        <v>0</v>
      </c>
      <c r="F51">
        <f t="shared" si="7"/>
        <v>0</v>
      </c>
      <c r="G51">
        <f t="shared" si="8"/>
        <v>0</v>
      </c>
      <c r="H51">
        <f t="shared" si="8"/>
        <v>0</v>
      </c>
      <c r="I51">
        <f t="shared" si="8"/>
        <v>0</v>
      </c>
      <c r="J51">
        <f t="shared" si="8"/>
        <v>0</v>
      </c>
    </row>
    <row r="52" spans="1:10" x14ac:dyDescent="0.25">
      <c r="A52">
        <f t="shared" si="11"/>
        <v>3300</v>
      </c>
      <c r="B52">
        <f t="shared" si="3"/>
        <v>0</v>
      </c>
      <c r="C52">
        <f t="shared" si="12"/>
        <v>0</v>
      </c>
      <c r="D52">
        <f t="shared" si="5"/>
        <v>0</v>
      </c>
      <c r="E52">
        <f t="shared" si="6"/>
        <v>0</v>
      </c>
      <c r="F52">
        <f t="shared" si="7"/>
        <v>0</v>
      </c>
      <c r="G52">
        <f t="shared" si="8"/>
        <v>0</v>
      </c>
      <c r="H52">
        <f t="shared" si="8"/>
        <v>0</v>
      </c>
      <c r="I52">
        <f t="shared" si="8"/>
        <v>0</v>
      </c>
      <c r="J52">
        <f t="shared" si="8"/>
        <v>0</v>
      </c>
    </row>
    <row r="53" spans="1:10" x14ac:dyDescent="0.25">
      <c r="A53">
        <f t="shared" si="11"/>
        <v>3900</v>
      </c>
      <c r="B53">
        <f t="shared" si="3"/>
        <v>0</v>
      </c>
      <c r="C53">
        <f t="shared" si="12"/>
        <v>0</v>
      </c>
      <c r="D53">
        <f t="shared" si="5"/>
        <v>0</v>
      </c>
      <c r="E53">
        <f t="shared" si="6"/>
        <v>0</v>
      </c>
      <c r="F53">
        <f t="shared" si="7"/>
        <v>0</v>
      </c>
      <c r="G53">
        <f t="shared" si="8"/>
        <v>0</v>
      </c>
      <c r="H53">
        <f t="shared" si="8"/>
        <v>0</v>
      </c>
      <c r="I53">
        <f t="shared" si="8"/>
        <v>0</v>
      </c>
      <c r="J53">
        <f t="shared" si="8"/>
        <v>0</v>
      </c>
    </row>
    <row r="54" spans="1:10" x14ac:dyDescent="0.25">
      <c r="A54">
        <f t="shared" si="11"/>
        <v>4700</v>
      </c>
      <c r="B54">
        <f t="shared" si="3"/>
        <v>0</v>
      </c>
      <c r="C54">
        <f t="shared" si="12"/>
        <v>0</v>
      </c>
      <c r="D54">
        <f t="shared" si="5"/>
        <v>0</v>
      </c>
      <c r="E54">
        <f t="shared" si="6"/>
        <v>0</v>
      </c>
      <c r="F54">
        <f t="shared" si="7"/>
        <v>0</v>
      </c>
      <c r="G54">
        <f t="shared" si="8"/>
        <v>0</v>
      </c>
      <c r="H54">
        <f t="shared" si="8"/>
        <v>0</v>
      </c>
      <c r="I54">
        <f t="shared" si="8"/>
        <v>0</v>
      </c>
      <c r="J54">
        <f t="shared" si="8"/>
        <v>0</v>
      </c>
    </row>
    <row r="55" spans="1:10" x14ac:dyDescent="0.25">
      <c r="A55">
        <f t="shared" si="11"/>
        <v>5600</v>
      </c>
      <c r="B55">
        <f t="shared" si="3"/>
        <v>0</v>
      </c>
      <c r="C55">
        <f t="shared" si="12"/>
        <v>0</v>
      </c>
      <c r="D55">
        <f t="shared" si="5"/>
        <v>0</v>
      </c>
      <c r="E55">
        <f t="shared" si="6"/>
        <v>0</v>
      </c>
      <c r="F55">
        <f t="shared" si="7"/>
        <v>0</v>
      </c>
      <c r="G55">
        <f t="shared" si="8"/>
        <v>0</v>
      </c>
      <c r="H55">
        <f t="shared" si="8"/>
        <v>0</v>
      </c>
      <c r="I55">
        <f t="shared" si="8"/>
        <v>0</v>
      </c>
      <c r="J55">
        <f t="shared" si="8"/>
        <v>0</v>
      </c>
    </row>
    <row r="56" spans="1:10" x14ac:dyDescent="0.25">
      <c r="A56">
        <f t="shared" si="11"/>
        <v>6800</v>
      </c>
      <c r="B56">
        <f t="shared" si="3"/>
        <v>0</v>
      </c>
      <c r="C56">
        <f t="shared" si="12"/>
        <v>0</v>
      </c>
      <c r="D56">
        <f t="shared" si="5"/>
        <v>0</v>
      </c>
      <c r="E56">
        <f t="shared" si="6"/>
        <v>0</v>
      </c>
      <c r="F56">
        <f t="shared" si="7"/>
        <v>0</v>
      </c>
      <c r="G56">
        <f t="shared" si="8"/>
        <v>0</v>
      </c>
      <c r="H56">
        <f t="shared" si="8"/>
        <v>0</v>
      </c>
      <c r="I56">
        <f t="shared" si="8"/>
        <v>0</v>
      </c>
      <c r="J56">
        <f t="shared" si="8"/>
        <v>0</v>
      </c>
    </row>
    <row r="57" spans="1:10" x14ac:dyDescent="0.25">
      <c r="A57">
        <f t="shared" si="11"/>
        <v>8200</v>
      </c>
      <c r="B57">
        <f t="shared" si="3"/>
        <v>0</v>
      </c>
      <c r="C57">
        <f t="shared" si="12"/>
        <v>0</v>
      </c>
      <c r="D57">
        <f t="shared" si="5"/>
        <v>0</v>
      </c>
      <c r="E57">
        <f t="shared" si="6"/>
        <v>0</v>
      </c>
      <c r="F57">
        <f t="shared" si="7"/>
        <v>0</v>
      </c>
      <c r="G57">
        <f t="shared" si="8"/>
        <v>0</v>
      </c>
      <c r="H57">
        <f t="shared" si="8"/>
        <v>10000</v>
      </c>
      <c r="I57">
        <f t="shared" si="8"/>
        <v>0</v>
      </c>
      <c r="J57">
        <f t="shared" si="8"/>
        <v>0</v>
      </c>
    </row>
    <row r="58" spans="1:10" x14ac:dyDescent="0.25">
      <c r="A58">
        <f t="shared" si="11"/>
        <v>10000</v>
      </c>
      <c r="B58">
        <f t="shared" si="3"/>
        <v>0</v>
      </c>
      <c r="C58">
        <f t="shared" si="12"/>
        <v>0</v>
      </c>
      <c r="D58">
        <f t="shared" si="5"/>
        <v>0</v>
      </c>
      <c r="E58">
        <f t="shared" si="6"/>
        <v>0</v>
      </c>
      <c r="F58">
        <f t="shared" si="7"/>
        <v>0</v>
      </c>
      <c r="G58">
        <f t="shared" si="8"/>
        <v>0</v>
      </c>
      <c r="H58">
        <f t="shared" si="8"/>
        <v>0</v>
      </c>
      <c r="I58">
        <f t="shared" si="8"/>
        <v>0</v>
      </c>
      <c r="J58">
        <f t="shared" si="8"/>
        <v>0</v>
      </c>
    </row>
    <row r="59" spans="1:10" x14ac:dyDescent="0.25">
      <c r="A59">
        <f t="shared" si="11"/>
        <v>12000</v>
      </c>
      <c r="B59">
        <f t="shared" si="3"/>
        <v>0</v>
      </c>
      <c r="C59">
        <f t="shared" si="12"/>
        <v>0</v>
      </c>
      <c r="D59">
        <f t="shared" si="5"/>
        <v>0</v>
      </c>
      <c r="E59">
        <f t="shared" si="6"/>
        <v>0</v>
      </c>
      <c r="F59">
        <f t="shared" si="7"/>
        <v>0</v>
      </c>
      <c r="G59">
        <f t="shared" si="8"/>
        <v>0</v>
      </c>
      <c r="H59">
        <f t="shared" si="8"/>
        <v>0</v>
      </c>
      <c r="I59">
        <f t="shared" si="8"/>
        <v>0</v>
      </c>
      <c r="J59">
        <f t="shared" si="8"/>
        <v>0</v>
      </c>
    </row>
    <row r="60" spans="1:10" x14ac:dyDescent="0.25">
      <c r="A60">
        <f t="shared" si="11"/>
        <v>15000</v>
      </c>
      <c r="B60">
        <f t="shared" si="3"/>
        <v>0</v>
      </c>
      <c r="C60">
        <f t="shared" si="12"/>
        <v>0</v>
      </c>
      <c r="D60">
        <f t="shared" si="5"/>
        <v>0</v>
      </c>
      <c r="E60">
        <f t="shared" si="6"/>
        <v>0</v>
      </c>
      <c r="F60">
        <f t="shared" si="7"/>
        <v>0</v>
      </c>
      <c r="G60">
        <f t="shared" si="8"/>
        <v>0</v>
      </c>
      <c r="H60">
        <f t="shared" si="8"/>
        <v>0</v>
      </c>
      <c r="I60">
        <f t="shared" si="8"/>
        <v>0</v>
      </c>
      <c r="J60">
        <f t="shared" si="8"/>
        <v>0</v>
      </c>
    </row>
    <row r="61" spans="1:10" x14ac:dyDescent="0.25">
      <c r="A61">
        <f t="shared" si="11"/>
        <v>18000</v>
      </c>
      <c r="B61">
        <f t="shared" si="3"/>
        <v>0</v>
      </c>
      <c r="C61">
        <f t="shared" si="12"/>
        <v>0</v>
      </c>
      <c r="D61">
        <f t="shared" si="5"/>
        <v>0</v>
      </c>
      <c r="E61">
        <f t="shared" si="6"/>
        <v>0</v>
      </c>
      <c r="F61">
        <f t="shared" si="7"/>
        <v>0</v>
      </c>
      <c r="G61">
        <f t="shared" si="8"/>
        <v>0</v>
      </c>
      <c r="H61">
        <f t="shared" si="8"/>
        <v>0</v>
      </c>
      <c r="I61">
        <f t="shared" si="8"/>
        <v>0</v>
      </c>
      <c r="J61">
        <f t="shared" si="8"/>
        <v>0</v>
      </c>
    </row>
    <row r="62" spans="1:10" x14ac:dyDescent="0.25">
      <c r="A62">
        <f t="shared" si="11"/>
        <v>22000</v>
      </c>
      <c r="B62">
        <f t="shared" si="3"/>
        <v>0</v>
      </c>
      <c r="C62">
        <f t="shared" si="12"/>
        <v>0</v>
      </c>
      <c r="D62">
        <f t="shared" si="5"/>
        <v>0</v>
      </c>
      <c r="E62">
        <f t="shared" si="6"/>
        <v>0</v>
      </c>
      <c r="F62">
        <f t="shared" si="7"/>
        <v>0</v>
      </c>
      <c r="G62">
        <f t="shared" si="8"/>
        <v>0</v>
      </c>
      <c r="H62">
        <f t="shared" si="8"/>
        <v>0</v>
      </c>
      <c r="I62">
        <f t="shared" si="8"/>
        <v>0</v>
      </c>
      <c r="J62">
        <f t="shared" si="8"/>
        <v>0</v>
      </c>
    </row>
    <row r="63" spans="1:10" x14ac:dyDescent="0.25">
      <c r="A63">
        <f t="shared" si="11"/>
        <v>27000</v>
      </c>
      <c r="B63">
        <f t="shared" si="3"/>
        <v>0</v>
      </c>
      <c r="C63">
        <f t="shared" si="12"/>
        <v>0</v>
      </c>
      <c r="D63">
        <f t="shared" si="5"/>
        <v>0</v>
      </c>
      <c r="E63">
        <f t="shared" si="6"/>
        <v>0</v>
      </c>
      <c r="F63">
        <f t="shared" si="7"/>
        <v>0</v>
      </c>
      <c r="G63">
        <f t="shared" si="8"/>
        <v>0</v>
      </c>
      <c r="H63">
        <f t="shared" si="8"/>
        <v>0</v>
      </c>
      <c r="I63">
        <f t="shared" si="8"/>
        <v>0</v>
      </c>
      <c r="J63">
        <f t="shared" si="8"/>
        <v>0</v>
      </c>
    </row>
    <row r="64" spans="1:10" x14ac:dyDescent="0.25">
      <c r="A64">
        <f t="shared" si="11"/>
        <v>33000</v>
      </c>
      <c r="B64">
        <f t="shared" si="3"/>
        <v>0</v>
      </c>
      <c r="C64">
        <f t="shared" si="12"/>
        <v>0</v>
      </c>
      <c r="D64">
        <f t="shared" si="5"/>
        <v>0</v>
      </c>
      <c r="E64">
        <f t="shared" si="6"/>
        <v>0</v>
      </c>
      <c r="F64">
        <f t="shared" si="7"/>
        <v>0</v>
      </c>
      <c r="G64">
        <f t="shared" si="8"/>
        <v>0</v>
      </c>
      <c r="H64">
        <f t="shared" si="8"/>
        <v>0</v>
      </c>
      <c r="I64">
        <f t="shared" si="8"/>
        <v>0</v>
      </c>
      <c r="J64">
        <f t="shared" si="8"/>
        <v>0</v>
      </c>
    </row>
    <row r="65" spans="1:10" x14ac:dyDescent="0.25">
      <c r="A65">
        <f t="shared" si="11"/>
        <v>39000</v>
      </c>
      <c r="B65">
        <f t="shared" si="3"/>
        <v>0</v>
      </c>
      <c r="C65">
        <f t="shared" si="12"/>
        <v>0</v>
      </c>
      <c r="D65">
        <f t="shared" si="5"/>
        <v>0</v>
      </c>
      <c r="E65">
        <f t="shared" si="6"/>
        <v>0</v>
      </c>
      <c r="F65">
        <f t="shared" si="7"/>
        <v>0</v>
      </c>
      <c r="G65">
        <f t="shared" si="8"/>
        <v>0</v>
      </c>
      <c r="H65">
        <f t="shared" si="8"/>
        <v>0</v>
      </c>
      <c r="I65">
        <f t="shared" si="8"/>
        <v>0</v>
      </c>
      <c r="J65">
        <f t="shared" si="8"/>
        <v>0</v>
      </c>
    </row>
    <row r="66" spans="1:10" x14ac:dyDescent="0.25">
      <c r="A66">
        <f t="shared" si="11"/>
        <v>47000</v>
      </c>
      <c r="B66">
        <f t="shared" si="3"/>
        <v>0</v>
      </c>
      <c r="C66">
        <f t="shared" si="12"/>
        <v>0</v>
      </c>
      <c r="D66">
        <f t="shared" si="5"/>
        <v>0</v>
      </c>
      <c r="E66">
        <f t="shared" si="6"/>
        <v>0</v>
      </c>
      <c r="F66">
        <f t="shared" si="7"/>
        <v>0</v>
      </c>
      <c r="G66">
        <f t="shared" si="8"/>
        <v>0</v>
      </c>
      <c r="H66">
        <f t="shared" si="8"/>
        <v>0</v>
      </c>
      <c r="I66">
        <f t="shared" si="8"/>
        <v>0</v>
      </c>
      <c r="J66">
        <f t="shared" si="8"/>
        <v>0</v>
      </c>
    </row>
    <row r="67" spans="1:10" x14ac:dyDescent="0.25">
      <c r="A67">
        <f t="shared" si="11"/>
        <v>56000</v>
      </c>
      <c r="B67">
        <f t="shared" si="3"/>
        <v>0</v>
      </c>
      <c r="C67">
        <f t="shared" si="12"/>
        <v>0</v>
      </c>
      <c r="D67">
        <f t="shared" si="5"/>
        <v>0</v>
      </c>
      <c r="E67">
        <f t="shared" si="6"/>
        <v>0</v>
      </c>
      <c r="F67">
        <f t="shared" si="7"/>
        <v>0</v>
      </c>
      <c r="G67">
        <f t="shared" si="8"/>
        <v>0</v>
      </c>
      <c r="H67">
        <f t="shared" si="8"/>
        <v>0</v>
      </c>
      <c r="I67">
        <f t="shared" si="8"/>
        <v>0</v>
      </c>
      <c r="J67">
        <f t="shared" si="8"/>
        <v>0</v>
      </c>
    </row>
    <row r="68" spans="1:10" x14ac:dyDescent="0.25">
      <c r="A68">
        <f t="shared" si="11"/>
        <v>68000</v>
      </c>
      <c r="B68">
        <f t="shared" si="3"/>
        <v>0</v>
      </c>
      <c r="C68">
        <f t="shared" si="12"/>
        <v>0</v>
      </c>
      <c r="D68">
        <f t="shared" si="5"/>
        <v>0</v>
      </c>
      <c r="E68">
        <f t="shared" si="6"/>
        <v>0</v>
      </c>
      <c r="F68">
        <f t="shared" si="7"/>
        <v>0</v>
      </c>
      <c r="G68">
        <f t="shared" si="8"/>
        <v>0</v>
      </c>
      <c r="H68">
        <f t="shared" si="8"/>
        <v>0</v>
      </c>
      <c r="I68">
        <f t="shared" si="8"/>
        <v>0</v>
      </c>
      <c r="J68">
        <f t="shared" si="8"/>
        <v>0</v>
      </c>
    </row>
    <row r="69" spans="1:10" x14ac:dyDescent="0.25">
      <c r="A69">
        <f t="shared" si="11"/>
        <v>82000</v>
      </c>
      <c r="B69">
        <f t="shared" si="3"/>
        <v>0</v>
      </c>
      <c r="C69">
        <f t="shared" si="12"/>
        <v>0</v>
      </c>
      <c r="D69">
        <f t="shared" si="5"/>
        <v>0</v>
      </c>
      <c r="E69">
        <f t="shared" si="6"/>
        <v>0</v>
      </c>
      <c r="F69">
        <f t="shared" si="7"/>
        <v>0</v>
      </c>
      <c r="G69">
        <f t="shared" si="8"/>
        <v>0</v>
      </c>
      <c r="H69">
        <f t="shared" si="8"/>
        <v>0</v>
      </c>
      <c r="I69">
        <f t="shared" si="8"/>
        <v>0</v>
      </c>
      <c r="J69">
        <f t="shared" ref="J69:J132" si="13">IF(IF((J$3*10^12-$A70)*(J$3*10^12-$A69)*-1&lt;0,0,1)*IF(ABS(J$3*10^12-$A70)&gt;(J$3*10^12-$A69),$A69,$A70)=J70,0,IF((J$3*10^12-$A70)*(J$3*10^12-$A69)*-1&lt;0,0,1)*IF(ABS(J$3*10^12-$A70)&gt;(J$3*10^12-$A69),$A69,$A70))</f>
        <v>0</v>
      </c>
    </row>
    <row r="70" spans="1:10" x14ac:dyDescent="0.25">
      <c r="A70">
        <f t="shared" si="11"/>
        <v>100000</v>
      </c>
      <c r="B70">
        <f t="shared" si="3"/>
        <v>100000</v>
      </c>
      <c r="C70">
        <f t="shared" si="12"/>
        <v>0</v>
      </c>
      <c r="D70">
        <f t="shared" ref="D70:I70" si="14">IF(IF((D$3*10^12-$A71)*(D$3*10^12-$A70)*-1&lt;0,0,1)*IF(ABS(D$3*10^12-$A71)&gt;(D$3*10^12-$A70),$A70,$A71)=D71,0,IF((D$3*10^12-$A71)*(D$3*10^12-$A70)*-1&lt;0,0,1)*IF(ABS(D$3*10^12-$A71)&gt;(D$3*10^12-$A70),$A70,$A71))</f>
        <v>0</v>
      </c>
      <c r="E70">
        <f t="shared" si="14"/>
        <v>0</v>
      </c>
      <c r="F70">
        <f t="shared" si="14"/>
        <v>0</v>
      </c>
      <c r="G70">
        <f t="shared" si="14"/>
        <v>0</v>
      </c>
      <c r="H70">
        <f t="shared" si="14"/>
        <v>0</v>
      </c>
      <c r="I70">
        <f t="shared" si="14"/>
        <v>0</v>
      </c>
      <c r="J70">
        <f t="shared" si="13"/>
        <v>0</v>
      </c>
    </row>
    <row r="71" spans="1:10" x14ac:dyDescent="0.25">
      <c r="A71">
        <f t="shared" si="11"/>
        <v>120000</v>
      </c>
      <c r="B71">
        <f t="shared" ref="B71:B134" si="15">IF(IF((B$3*10^12-$A72)*(B$3*10^12-$A71)*-1&lt;0,0,1)*IF(ABS(B$3*10^12-$A72)&gt;(B$3*10^12-$A71),$A71,$A72)=B72,0,IF((B$3*10^12-$A72)*(B$3*10^12-$A71)*-1&lt;0,0,1)*IF(ABS(B$3*10^12-$A72)&gt;(B$3*10^12-$A71),$A71,$A72))</f>
        <v>0</v>
      </c>
      <c r="C71">
        <f t="shared" ref="C71:E134" si="16">IF(IF((C$3*10^12-$A72)*(C$3*10^12-$A71)*-1&lt;0,0,1)*IF(ABS(C$3*10^12-$A72)&gt;(C$3*10^12-$A71),$A71,$A72)=C72,0,IF((C$3*10^12-$A72)*(C$3*10^12-$A71)*-1&lt;0,0,1)*IF(ABS(C$3*10^12-$A72)&gt;(C$3*10^12-$A71),$A71,$A72))</f>
        <v>0</v>
      </c>
      <c r="D71">
        <f t="shared" si="16"/>
        <v>0</v>
      </c>
      <c r="E71">
        <f t="shared" si="16"/>
        <v>0</v>
      </c>
      <c r="F71">
        <f t="shared" ref="F71:F102" si="17">IF(IF((F$3*10^12-$A72)*(F$3*10^12-$A71)*-1&lt;0,0,1)*IF(ABS(F$3*10^12-$A72)&gt;(F$3*10^12-$A71),$A71,$A72)=F72,0,IF((F$3*10^12-$A72)*(F$3*10^12-$A71)*-1&lt;0,0,1)*IF(ABS(F$3*10^12-$A72)&gt;(F$3*10^12-$A71),$A71,$A72))</f>
        <v>0</v>
      </c>
      <c r="G71">
        <f t="shared" ref="G71:G102" si="18">IF(IF((G$3*10^12-$A72)*(G$3*10^12-$A71)*-1&lt;0,0,1)*IF(ABS(G$3*10^12-$A72)&gt;(G$3*10^12-$A71),$A71,$A72)=G72,0,IF((G$3*10^12-$A72)*(G$3*10^12-$A71)*-1&lt;0,0,1)*IF(ABS(G$3*10^12-$A72)&gt;(G$3*10^12-$A71),$A71,$A72))</f>
        <v>0</v>
      </c>
      <c r="H71">
        <f t="shared" ref="H71:H102" si="19">IF(IF((H$3*10^12-$A72)*(H$3*10^12-$A71)*-1&lt;0,0,1)*IF(ABS(H$3*10^12-$A72)&gt;(H$3*10^12-$A71),$A71,$A72)=H72,0,IF((H$3*10^12-$A72)*(H$3*10^12-$A71)*-1&lt;0,0,1)*IF(ABS(H$3*10^12-$A72)&gt;(H$3*10^12-$A71),$A71,$A72))</f>
        <v>0</v>
      </c>
      <c r="I71">
        <f t="shared" ref="I71:I102" si="20">IF(IF((I$3*10^12-$A72)*(I$3*10^12-$A71)*-1&lt;0,0,1)*IF(ABS(I$3*10^12-$A72)&gt;(I$3*10^12-$A71),$A71,$A72)=I72,0,IF((I$3*10^12-$A72)*(I$3*10^12-$A71)*-1&lt;0,0,1)*IF(ABS(I$3*10^12-$A72)&gt;(I$3*10^12-$A71),$A71,$A72))</f>
        <v>0</v>
      </c>
      <c r="J71">
        <f t="shared" si="13"/>
        <v>0</v>
      </c>
    </row>
    <row r="72" spans="1:10" x14ac:dyDescent="0.25">
      <c r="A72">
        <f t="shared" si="11"/>
        <v>150000</v>
      </c>
      <c r="B72">
        <f t="shared" si="15"/>
        <v>0</v>
      </c>
      <c r="C72">
        <f t="shared" si="16"/>
        <v>0</v>
      </c>
      <c r="D72">
        <f t="shared" si="16"/>
        <v>0</v>
      </c>
      <c r="E72">
        <f t="shared" si="16"/>
        <v>0</v>
      </c>
      <c r="F72">
        <f t="shared" si="17"/>
        <v>0</v>
      </c>
      <c r="G72">
        <f t="shared" si="18"/>
        <v>0</v>
      </c>
      <c r="H72">
        <f t="shared" si="19"/>
        <v>0</v>
      </c>
      <c r="I72">
        <f t="shared" si="20"/>
        <v>0</v>
      </c>
      <c r="J72">
        <f t="shared" si="13"/>
        <v>0</v>
      </c>
    </row>
    <row r="73" spans="1:10" x14ac:dyDescent="0.25">
      <c r="A73">
        <f t="shared" si="11"/>
        <v>180000</v>
      </c>
      <c r="B73">
        <f t="shared" si="15"/>
        <v>0</v>
      </c>
      <c r="C73">
        <f t="shared" si="16"/>
        <v>0</v>
      </c>
      <c r="D73">
        <f t="shared" si="16"/>
        <v>0</v>
      </c>
      <c r="E73">
        <f t="shared" si="16"/>
        <v>0</v>
      </c>
      <c r="F73">
        <f t="shared" si="17"/>
        <v>0</v>
      </c>
      <c r="G73">
        <f t="shared" si="18"/>
        <v>0</v>
      </c>
      <c r="H73">
        <f t="shared" si="19"/>
        <v>0</v>
      </c>
      <c r="I73">
        <f t="shared" si="20"/>
        <v>0</v>
      </c>
      <c r="J73">
        <f t="shared" si="13"/>
        <v>0</v>
      </c>
    </row>
    <row r="74" spans="1:10" x14ac:dyDescent="0.25">
      <c r="A74">
        <f t="shared" si="11"/>
        <v>220000</v>
      </c>
      <c r="B74">
        <f t="shared" si="15"/>
        <v>0</v>
      </c>
      <c r="C74">
        <f t="shared" si="16"/>
        <v>0</v>
      </c>
      <c r="D74">
        <f t="shared" si="16"/>
        <v>0</v>
      </c>
      <c r="E74">
        <f t="shared" si="16"/>
        <v>0</v>
      </c>
      <c r="F74">
        <f t="shared" si="17"/>
        <v>0</v>
      </c>
      <c r="G74">
        <f t="shared" si="18"/>
        <v>0</v>
      </c>
      <c r="H74">
        <f t="shared" si="19"/>
        <v>0</v>
      </c>
      <c r="I74">
        <f t="shared" si="20"/>
        <v>0</v>
      </c>
      <c r="J74">
        <f t="shared" si="13"/>
        <v>0</v>
      </c>
    </row>
    <row r="75" spans="1:10" x14ac:dyDescent="0.25">
      <c r="A75">
        <f t="shared" si="11"/>
        <v>270000</v>
      </c>
      <c r="B75">
        <f t="shared" si="15"/>
        <v>0</v>
      </c>
      <c r="C75">
        <f t="shared" si="16"/>
        <v>0</v>
      </c>
      <c r="D75">
        <f t="shared" si="16"/>
        <v>0</v>
      </c>
      <c r="E75">
        <f t="shared" si="16"/>
        <v>0</v>
      </c>
      <c r="F75">
        <f t="shared" si="17"/>
        <v>0</v>
      </c>
      <c r="G75">
        <f t="shared" si="18"/>
        <v>0</v>
      </c>
      <c r="H75">
        <f t="shared" si="19"/>
        <v>0</v>
      </c>
      <c r="I75">
        <f t="shared" si="20"/>
        <v>0</v>
      </c>
      <c r="J75">
        <f t="shared" si="13"/>
        <v>0</v>
      </c>
    </row>
    <row r="76" spans="1:10" x14ac:dyDescent="0.25">
      <c r="A76">
        <f t="shared" si="11"/>
        <v>330000</v>
      </c>
      <c r="B76">
        <f t="shared" si="15"/>
        <v>0</v>
      </c>
      <c r="C76">
        <f t="shared" si="16"/>
        <v>0</v>
      </c>
      <c r="D76">
        <f t="shared" si="16"/>
        <v>0</v>
      </c>
      <c r="E76">
        <f t="shared" si="16"/>
        <v>0</v>
      </c>
      <c r="F76">
        <f t="shared" si="17"/>
        <v>0</v>
      </c>
      <c r="G76">
        <f t="shared" si="18"/>
        <v>0</v>
      </c>
      <c r="H76">
        <f t="shared" si="19"/>
        <v>0</v>
      </c>
      <c r="I76">
        <f t="shared" si="20"/>
        <v>0</v>
      </c>
      <c r="J76">
        <f t="shared" si="13"/>
        <v>0</v>
      </c>
    </row>
    <row r="77" spans="1:10" x14ac:dyDescent="0.25">
      <c r="A77">
        <f t="shared" si="11"/>
        <v>390000</v>
      </c>
      <c r="B77">
        <f t="shared" si="15"/>
        <v>0</v>
      </c>
      <c r="C77">
        <f t="shared" si="16"/>
        <v>0</v>
      </c>
      <c r="D77">
        <f t="shared" si="16"/>
        <v>0</v>
      </c>
      <c r="E77">
        <f t="shared" si="16"/>
        <v>0</v>
      </c>
      <c r="F77">
        <f t="shared" si="17"/>
        <v>0</v>
      </c>
      <c r="G77">
        <f t="shared" si="18"/>
        <v>0</v>
      </c>
      <c r="H77">
        <f t="shared" si="19"/>
        <v>0</v>
      </c>
      <c r="I77">
        <f t="shared" si="20"/>
        <v>0</v>
      </c>
      <c r="J77">
        <f t="shared" si="13"/>
        <v>0</v>
      </c>
    </row>
    <row r="78" spans="1:10" x14ac:dyDescent="0.25">
      <c r="A78">
        <f t="shared" si="11"/>
        <v>470000</v>
      </c>
      <c r="B78">
        <f t="shared" si="15"/>
        <v>0</v>
      </c>
      <c r="C78">
        <f t="shared" si="16"/>
        <v>0</v>
      </c>
      <c r="D78">
        <f t="shared" si="16"/>
        <v>0</v>
      </c>
      <c r="E78">
        <f t="shared" si="16"/>
        <v>0</v>
      </c>
      <c r="F78">
        <f t="shared" si="17"/>
        <v>0</v>
      </c>
      <c r="G78">
        <f t="shared" si="18"/>
        <v>470000</v>
      </c>
      <c r="H78">
        <f t="shared" si="19"/>
        <v>0</v>
      </c>
      <c r="I78">
        <f t="shared" si="20"/>
        <v>0</v>
      </c>
      <c r="J78">
        <f t="shared" si="13"/>
        <v>0</v>
      </c>
    </row>
    <row r="79" spans="1:10" x14ac:dyDescent="0.25">
      <c r="A79">
        <f t="shared" si="11"/>
        <v>560000</v>
      </c>
      <c r="B79">
        <f t="shared" si="15"/>
        <v>0</v>
      </c>
      <c r="C79">
        <f t="shared" si="16"/>
        <v>0</v>
      </c>
      <c r="D79">
        <f t="shared" si="16"/>
        <v>0</v>
      </c>
      <c r="E79">
        <f t="shared" si="16"/>
        <v>0</v>
      </c>
      <c r="F79">
        <f t="shared" si="17"/>
        <v>0</v>
      </c>
      <c r="G79">
        <f t="shared" si="18"/>
        <v>0</v>
      </c>
      <c r="H79">
        <f t="shared" si="19"/>
        <v>0</v>
      </c>
      <c r="I79">
        <f t="shared" si="20"/>
        <v>0</v>
      </c>
      <c r="J79">
        <f t="shared" si="13"/>
        <v>0</v>
      </c>
    </row>
    <row r="80" spans="1:10" x14ac:dyDescent="0.25">
      <c r="A80">
        <f t="shared" si="11"/>
        <v>680000</v>
      </c>
      <c r="B80">
        <f t="shared" si="15"/>
        <v>0</v>
      </c>
      <c r="C80">
        <f t="shared" si="16"/>
        <v>0</v>
      </c>
      <c r="D80">
        <f t="shared" si="16"/>
        <v>0</v>
      </c>
      <c r="E80">
        <f t="shared" si="16"/>
        <v>0</v>
      </c>
      <c r="F80">
        <f t="shared" si="17"/>
        <v>0</v>
      </c>
      <c r="G80">
        <f t="shared" si="18"/>
        <v>0</v>
      </c>
      <c r="H80">
        <f t="shared" si="19"/>
        <v>0</v>
      </c>
      <c r="I80">
        <f t="shared" si="20"/>
        <v>0</v>
      </c>
      <c r="J80">
        <f t="shared" si="13"/>
        <v>0</v>
      </c>
    </row>
    <row r="81" spans="1:10" x14ac:dyDescent="0.25">
      <c r="A81">
        <f t="shared" si="11"/>
        <v>820000</v>
      </c>
      <c r="B81">
        <f t="shared" si="15"/>
        <v>0</v>
      </c>
      <c r="C81">
        <f t="shared" si="16"/>
        <v>0</v>
      </c>
      <c r="D81">
        <f t="shared" si="16"/>
        <v>0</v>
      </c>
      <c r="E81">
        <f t="shared" si="16"/>
        <v>0</v>
      </c>
      <c r="F81">
        <f t="shared" si="17"/>
        <v>0</v>
      </c>
      <c r="G81">
        <f t="shared" si="18"/>
        <v>0</v>
      </c>
      <c r="H81">
        <f t="shared" si="19"/>
        <v>0</v>
      </c>
      <c r="I81">
        <f t="shared" si="20"/>
        <v>0</v>
      </c>
      <c r="J81">
        <f t="shared" si="13"/>
        <v>0</v>
      </c>
    </row>
    <row r="82" spans="1:10" x14ac:dyDescent="0.25">
      <c r="A82">
        <f t="shared" si="11"/>
        <v>1000000</v>
      </c>
      <c r="B82">
        <f t="shared" si="15"/>
        <v>0</v>
      </c>
      <c r="C82">
        <f t="shared" si="16"/>
        <v>0</v>
      </c>
      <c r="D82">
        <f t="shared" si="16"/>
        <v>0</v>
      </c>
      <c r="E82">
        <f t="shared" si="16"/>
        <v>0</v>
      </c>
      <c r="F82">
        <f t="shared" si="17"/>
        <v>0</v>
      </c>
      <c r="G82">
        <f t="shared" si="18"/>
        <v>0</v>
      </c>
      <c r="H82">
        <f t="shared" si="19"/>
        <v>0</v>
      </c>
      <c r="I82">
        <f t="shared" si="20"/>
        <v>0</v>
      </c>
      <c r="J82">
        <f t="shared" si="13"/>
        <v>0</v>
      </c>
    </row>
    <row r="83" spans="1:10" x14ac:dyDescent="0.25">
      <c r="A83">
        <f t="shared" si="11"/>
        <v>1200000</v>
      </c>
      <c r="B83">
        <f t="shared" si="15"/>
        <v>0</v>
      </c>
      <c r="C83">
        <f t="shared" si="16"/>
        <v>0</v>
      </c>
      <c r="D83">
        <f t="shared" si="16"/>
        <v>0</v>
      </c>
      <c r="E83">
        <f t="shared" si="16"/>
        <v>0</v>
      </c>
      <c r="F83">
        <f t="shared" si="17"/>
        <v>0</v>
      </c>
      <c r="G83">
        <f t="shared" si="18"/>
        <v>0</v>
      </c>
      <c r="H83">
        <f t="shared" si="19"/>
        <v>0</v>
      </c>
      <c r="I83">
        <f t="shared" si="20"/>
        <v>0</v>
      </c>
      <c r="J83">
        <f t="shared" si="13"/>
        <v>0</v>
      </c>
    </row>
    <row r="84" spans="1:10" x14ac:dyDescent="0.25">
      <c r="A84">
        <f t="shared" si="11"/>
        <v>1500000</v>
      </c>
      <c r="B84">
        <f t="shared" si="15"/>
        <v>0</v>
      </c>
      <c r="C84">
        <f t="shared" si="16"/>
        <v>0</v>
      </c>
      <c r="D84">
        <f t="shared" si="16"/>
        <v>0</v>
      </c>
      <c r="E84">
        <f t="shared" si="16"/>
        <v>0</v>
      </c>
      <c r="F84">
        <f t="shared" si="17"/>
        <v>0</v>
      </c>
      <c r="G84">
        <f t="shared" si="18"/>
        <v>0</v>
      </c>
      <c r="H84">
        <f t="shared" si="19"/>
        <v>0</v>
      </c>
      <c r="I84">
        <f t="shared" si="20"/>
        <v>0</v>
      </c>
      <c r="J84">
        <f t="shared" si="13"/>
        <v>0</v>
      </c>
    </row>
    <row r="85" spans="1:10" x14ac:dyDescent="0.25">
      <c r="A85">
        <f t="shared" si="11"/>
        <v>1800000</v>
      </c>
      <c r="B85">
        <f t="shared" si="15"/>
        <v>0</v>
      </c>
      <c r="C85">
        <f t="shared" si="16"/>
        <v>0</v>
      </c>
      <c r="D85">
        <f t="shared" si="16"/>
        <v>0</v>
      </c>
      <c r="E85">
        <f t="shared" si="16"/>
        <v>0</v>
      </c>
      <c r="F85">
        <f t="shared" si="17"/>
        <v>0</v>
      </c>
      <c r="G85">
        <f t="shared" si="18"/>
        <v>0</v>
      </c>
      <c r="H85">
        <f t="shared" si="19"/>
        <v>0</v>
      </c>
      <c r="I85">
        <f t="shared" si="20"/>
        <v>0</v>
      </c>
      <c r="J85">
        <f t="shared" si="13"/>
        <v>0</v>
      </c>
    </row>
    <row r="86" spans="1:10" x14ac:dyDescent="0.25">
      <c r="A86">
        <f t="shared" si="11"/>
        <v>2200000</v>
      </c>
      <c r="B86">
        <f t="shared" si="15"/>
        <v>0</v>
      </c>
      <c r="C86">
        <f t="shared" si="16"/>
        <v>0</v>
      </c>
      <c r="D86">
        <f t="shared" si="16"/>
        <v>0</v>
      </c>
      <c r="E86">
        <f t="shared" si="16"/>
        <v>0</v>
      </c>
      <c r="F86">
        <f t="shared" si="17"/>
        <v>0</v>
      </c>
      <c r="G86">
        <f t="shared" si="18"/>
        <v>0</v>
      </c>
      <c r="H86">
        <f t="shared" si="19"/>
        <v>0</v>
      </c>
      <c r="I86">
        <f t="shared" si="20"/>
        <v>0</v>
      </c>
      <c r="J86">
        <f t="shared" si="13"/>
        <v>0</v>
      </c>
    </row>
    <row r="87" spans="1:10" x14ac:dyDescent="0.25">
      <c r="A87">
        <f t="shared" si="11"/>
        <v>2700000</v>
      </c>
      <c r="B87">
        <f t="shared" si="15"/>
        <v>0</v>
      </c>
      <c r="C87">
        <f t="shared" si="16"/>
        <v>0</v>
      </c>
      <c r="D87">
        <f t="shared" si="16"/>
        <v>0</v>
      </c>
      <c r="E87">
        <f t="shared" si="16"/>
        <v>0</v>
      </c>
      <c r="F87">
        <f t="shared" si="17"/>
        <v>0</v>
      </c>
      <c r="G87">
        <f t="shared" si="18"/>
        <v>0</v>
      </c>
      <c r="H87">
        <f t="shared" si="19"/>
        <v>0</v>
      </c>
      <c r="I87">
        <f t="shared" si="20"/>
        <v>0</v>
      </c>
      <c r="J87">
        <f t="shared" si="13"/>
        <v>0</v>
      </c>
    </row>
    <row r="88" spans="1:10" x14ac:dyDescent="0.25">
      <c r="A88">
        <f t="shared" si="11"/>
        <v>3300000</v>
      </c>
      <c r="B88">
        <f t="shared" si="15"/>
        <v>0</v>
      </c>
      <c r="C88">
        <f t="shared" si="16"/>
        <v>0</v>
      </c>
      <c r="D88">
        <f t="shared" si="16"/>
        <v>0</v>
      </c>
      <c r="E88">
        <f t="shared" si="16"/>
        <v>0</v>
      </c>
      <c r="F88">
        <f t="shared" si="17"/>
        <v>0</v>
      </c>
      <c r="G88">
        <f t="shared" si="18"/>
        <v>0</v>
      </c>
      <c r="H88">
        <f t="shared" si="19"/>
        <v>0</v>
      </c>
      <c r="I88">
        <f t="shared" si="20"/>
        <v>0</v>
      </c>
      <c r="J88">
        <f t="shared" si="13"/>
        <v>0</v>
      </c>
    </row>
    <row r="89" spans="1:10" x14ac:dyDescent="0.25">
      <c r="A89">
        <f t="shared" si="11"/>
        <v>3900000</v>
      </c>
      <c r="B89">
        <f t="shared" si="15"/>
        <v>0</v>
      </c>
      <c r="C89">
        <f t="shared" si="16"/>
        <v>0</v>
      </c>
      <c r="D89">
        <f t="shared" si="16"/>
        <v>0</v>
      </c>
      <c r="E89">
        <f t="shared" si="16"/>
        <v>0</v>
      </c>
      <c r="F89">
        <f t="shared" si="17"/>
        <v>0</v>
      </c>
      <c r="G89">
        <f t="shared" si="18"/>
        <v>0</v>
      </c>
      <c r="H89">
        <f t="shared" si="19"/>
        <v>0</v>
      </c>
      <c r="I89">
        <f t="shared" si="20"/>
        <v>0</v>
      </c>
      <c r="J89">
        <f t="shared" si="13"/>
        <v>0</v>
      </c>
    </row>
    <row r="90" spans="1:10" x14ac:dyDescent="0.25">
      <c r="A90">
        <f t="shared" si="11"/>
        <v>4700000</v>
      </c>
      <c r="B90">
        <f t="shared" si="15"/>
        <v>0</v>
      </c>
      <c r="C90">
        <f t="shared" si="16"/>
        <v>0</v>
      </c>
      <c r="D90">
        <f t="shared" si="16"/>
        <v>0</v>
      </c>
      <c r="E90">
        <f t="shared" si="16"/>
        <v>0</v>
      </c>
      <c r="F90">
        <f t="shared" si="17"/>
        <v>0</v>
      </c>
      <c r="G90">
        <f t="shared" si="18"/>
        <v>0</v>
      </c>
      <c r="H90">
        <f t="shared" si="19"/>
        <v>0</v>
      </c>
      <c r="I90">
        <f t="shared" si="20"/>
        <v>0</v>
      </c>
      <c r="J90">
        <f t="shared" si="13"/>
        <v>0</v>
      </c>
    </row>
    <row r="91" spans="1:10" x14ac:dyDescent="0.25">
      <c r="A91">
        <f t="shared" si="11"/>
        <v>5600000</v>
      </c>
      <c r="B91">
        <f t="shared" si="15"/>
        <v>0</v>
      </c>
      <c r="C91">
        <f t="shared" si="16"/>
        <v>0</v>
      </c>
      <c r="D91">
        <f t="shared" si="16"/>
        <v>0</v>
      </c>
      <c r="E91">
        <f t="shared" si="16"/>
        <v>0</v>
      </c>
      <c r="F91">
        <f t="shared" si="17"/>
        <v>0</v>
      </c>
      <c r="G91">
        <f t="shared" si="18"/>
        <v>0</v>
      </c>
      <c r="H91">
        <f t="shared" si="19"/>
        <v>0</v>
      </c>
      <c r="I91">
        <f t="shared" si="20"/>
        <v>0</v>
      </c>
      <c r="J91">
        <f t="shared" si="13"/>
        <v>0</v>
      </c>
    </row>
    <row r="92" spans="1:10" x14ac:dyDescent="0.25">
      <c r="A92">
        <f t="shared" si="11"/>
        <v>6800000</v>
      </c>
      <c r="B92">
        <f t="shared" si="15"/>
        <v>0</v>
      </c>
      <c r="C92">
        <f t="shared" si="16"/>
        <v>0</v>
      </c>
      <c r="D92">
        <f t="shared" si="16"/>
        <v>0</v>
      </c>
      <c r="E92">
        <f t="shared" si="16"/>
        <v>0</v>
      </c>
      <c r="F92">
        <f t="shared" si="17"/>
        <v>0</v>
      </c>
      <c r="G92">
        <f t="shared" si="18"/>
        <v>0</v>
      </c>
      <c r="H92">
        <f t="shared" si="19"/>
        <v>0</v>
      </c>
      <c r="I92">
        <f t="shared" si="20"/>
        <v>0</v>
      </c>
      <c r="J92">
        <f t="shared" si="13"/>
        <v>0</v>
      </c>
    </row>
    <row r="93" spans="1:10" x14ac:dyDescent="0.25">
      <c r="A93">
        <f t="shared" si="11"/>
        <v>8200000</v>
      </c>
      <c r="B93">
        <f t="shared" si="15"/>
        <v>0</v>
      </c>
      <c r="C93">
        <f t="shared" si="16"/>
        <v>0</v>
      </c>
      <c r="D93">
        <f t="shared" si="16"/>
        <v>0</v>
      </c>
      <c r="E93">
        <f t="shared" si="16"/>
        <v>0</v>
      </c>
      <c r="F93">
        <f t="shared" si="17"/>
        <v>0</v>
      </c>
      <c r="G93">
        <f t="shared" si="18"/>
        <v>0</v>
      </c>
      <c r="H93">
        <f t="shared" si="19"/>
        <v>0</v>
      </c>
      <c r="I93">
        <f t="shared" si="20"/>
        <v>0</v>
      </c>
      <c r="J93">
        <f t="shared" si="13"/>
        <v>0</v>
      </c>
    </row>
    <row r="94" spans="1:10" x14ac:dyDescent="0.25">
      <c r="A94">
        <f t="shared" si="11"/>
        <v>10000000</v>
      </c>
      <c r="B94">
        <f t="shared" si="15"/>
        <v>0</v>
      </c>
      <c r="C94">
        <f t="shared" si="16"/>
        <v>0</v>
      </c>
      <c r="D94">
        <f t="shared" si="16"/>
        <v>0</v>
      </c>
      <c r="E94">
        <f t="shared" si="16"/>
        <v>0</v>
      </c>
      <c r="F94">
        <f t="shared" si="17"/>
        <v>0</v>
      </c>
      <c r="G94">
        <f t="shared" si="18"/>
        <v>0</v>
      </c>
      <c r="H94">
        <f t="shared" si="19"/>
        <v>0</v>
      </c>
      <c r="I94">
        <f t="shared" si="20"/>
        <v>0</v>
      </c>
      <c r="J94">
        <f t="shared" si="13"/>
        <v>0</v>
      </c>
    </row>
    <row r="95" spans="1:10" x14ac:dyDescent="0.25">
      <c r="A95">
        <f t="shared" si="11"/>
        <v>12000000</v>
      </c>
      <c r="B95">
        <f t="shared" si="15"/>
        <v>0</v>
      </c>
      <c r="C95">
        <f t="shared" si="16"/>
        <v>0</v>
      </c>
      <c r="D95">
        <f t="shared" si="16"/>
        <v>0</v>
      </c>
      <c r="E95">
        <f t="shared" si="16"/>
        <v>0</v>
      </c>
      <c r="F95">
        <f t="shared" si="17"/>
        <v>0</v>
      </c>
      <c r="G95">
        <f t="shared" si="18"/>
        <v>0</v>
      </c>
      <c r="H95">
        <f t="shared" si="19"/>
        <v>0</v>
      </c>
      <c r="I95">
        <f t="shared" si="20"/>
        <v>0</v>
      </c>
      <c r="J95">
        <f t="shared" si="13"/>
        <v>0</v>
      </c>
    </row>
    <row r="96" spans="1:10" x14ac:dyDescent="0.25">
      <c r="A96">
        <f t="shared" si="11"/>
        <v>15000000</v>
      </c>
      <c r="B96">
        <f t="shared" si="15"/>
        <v>0</v>
      </c>
      <c r="C96">
        <f t="shared" si="16"/>
        <v>0</v>
      </c>
      <c r="D96">
        <f t="shared" si="16"/>
        <v>0</v>
      </c>
      <c r="E96">
        <f t="shared" si="16"/>
        <v>0</v>
      </c>
      <c r="F96">
        <f t="shared" si="17"/>
        <v>0</v>
      </c>
      <c r="G96">
        <f t="shared" si="18"/>
        <v>0</v>
      </c>
      <c r="H96">
        <f t="shared" si="19"/>
        <v>0</v>
      </c>
      <c r="I96">
        <f t="shared" si="20"/>
        <v>0</v>
      </c>
      <c r="J96">
        <f t="shared" si="13"/>
        <v>0</v>
      </c>
    </row>
    <row r="97" spans="1:10" x14ac:dyDescent="0.25">
      <c r="A97">
        <f t="shared" si="11"/>
        <v>18000000</v>
      </c>
      <c r="B97">
        <f t="shared" si="15"/>
        <v>0</v>
      </c>
      <c r="C97">
        <f t="shared" si="16"/>
        <v>0</v>
      </c>
      <c r="D97">
        <f t="shared" si="16"/>
        <v>0</v>
      </c>
      <c r="E97">
        <f t="shared" si="16"/>
        <v>0</v>
      </c>
      <c r="F97">
        <f t="shared" si="17"/>
        <v>0</v>
      </c>
      <c r="G97">
        <f t="shared" si="18"/>
        <v>0</v>
      </c>
      <c r="H97">
        <f t="shared" si="19"/>
        <v>0</v>
      </c>
      <c r="I97">
        <f t="shared" si="20"/>
        <v>0</v>
      </c>
      <c r="J97">
        <f t="shared" si="13"/>
        <v>0</v>
      </c>
    </row>
    <row r="98" spans="1:10" x14ac:dyDescent="0.25">
      <c r="A98">
        <f t="shared" si="11"/>
        <v>22000000</v>
      </c>
      <c r="B98">
        <f t="shared" si="15"/>
        <v>0</v>
      </c>
      <c r="C98">
        <f t="shared" si="16"/>
        <v>0</v>
      </c>
      <c r="D98">
        <f t="shared" si="16"/>
        <v>0</v>
      </c>
      <c r="E98">
        <f t="shared" si="16"/>
        <v>0</v>
      </c>
      <c r="F98">
        <f t="shared" si="17"/>
        <v>0</v>
      </c>
      <c r="G98">
        <f t="shared" si="18"/>
        <v>0</v>
      </c>
      <c r="H98">
        <f t="shared" si="19"/>
        <v>0</v>
      </c>
      <c r="I98">
        <f t="shared" si="20"/>
        <v>0</v>
      </c>
      <c r="J98">
        <f t="shared" si="13"/>
        <v>0</v>
      </c>
    </row>
    <row r="99" spans="1:10" x14ac:dyDescent="0.25">
      <c r="A99">
        <f t="shared" ref="A99:A159" si="21">A87*10</f>
        <v>27000000</v>
      </c>
      <c r="B99">
        <f t="shared" si="15"/>
        <v>0</v>
      </c>
      <c r="C99">
        <f t="shared" si="16"/>
        <v>0</v>
      </c>
      <c r="D99">
        <f t="shared" si="16"/>
        <v>0</v>
      </c>
      <c r="E99">
        <f t="shared" si="16"/>
        <v>0</v>
      </c>
      <c r="F99">
        <f t="shared" si="17"/>
        <v>0</v>
      </c>
      <c r="G99">
        <f t="shared" si="18"/>
        <v>0</v>
      </c>
      <c r="H99">
        <f t="shared" si="19"/>
        <v>0</v>
      </c>
      <c r="I99">
        <f t="shared" si="20"/>
        <v>0</v>
      </c>
      <c r="J99">
        <f t="shared" si="13"/>
        <v>0</v>
      </c>
    </row>
    <row r="100" spans="1:10" x14ac:dyDescent="0.25">
      <c r="A100">
        <f t="shared" si="21"/>
        <v>33000000</v>
      </c>
      <c r="B100">
        <f t="shared" si="15"/>
        <v>0</v>
      </c>
      <c r="C100">
        <f t="shared" si="16"/>
        <v>0</v>
      </c>
      <c r="D100">
        <f t="shared" si="16"/>
        <v>0</v>
      </c>
      <c r="E100">
        <f t="shared" si="16"/>
        <v>0</v>
      </c>
      <c r="F100">
        <f t="shared" si="17"/>
        <v>0</v>
      </c>
      <c r="G100">
        <f t="shared" si="18"/>
        <v>0</v>
      </c>
      <c r="H100">
        <f t="shared" si="19"/>
        <v>0</v>
      </c>
      <c r="I100">
        <f t="shared" si="20"/>
        <v>0</v>
      </c>
      <c r="J100">
        <f t="shared" si="13"/>
        <v>0</v>
      </c>
    </row>
    <row r="101" spans="1:10" x14ac:dyDescent="0.25">
      <c r="A101">
        <f t="shared" si="21"/>
        <v>39000000</v>
      </c>
      <c r="B101">
        <f t="shared" si="15"/>
        <v>0</v>
      </c>
      <c r="C101">
        <f t="shared" si="16"/>
        <v>0</v>
      </c>
      <c r="D101">
        <f t="shared" si="16"/>
        <v>0</v>
      </c>
      <c r="E101">
        <f t="shared" si="16"/>
        <v>0</v>
      </c>
      <c r="F101">
        <f t="shared" si="17"/>
        <v>0</v>
      </c>
      <c r="G101">
        <f t="shared" si="18"/>
        <v>0</v>
      </c>
      <c r="H101">
        <f t="shared" si="19"/>
        <v>0</v>
      </c>
      <c r="I101">
        <f t="shared" si="20"/>
        <v>0</v>
      </c>
      <c r="J101">
        <f t="shared" si="13"/>
        <v>0</v>
      </c>
    </row>
    <row r="102" spans="1:10" x14ac:dyDescent="0.25">
      <c r="A102">
        <f t="shared" si="21"/>
        <v>47000000</v>
      </c>
      <c r="B102">
        <f t="shared" si="15"/>
        <v>0</v>
      </c>
      <c r="C102">
        <f t="shared" si="16"/>
        <v>0</v>
      </c>
      <c r="D102">
        <f t="shared" si="16"/>
        <v>0</v>
      </c>
      <c r="E102">
        <f t="shared" si="16"/>
        <v>0</v>
      </c>
      <c r="F102">
        <f t="shared" si="17"/>
        <v>0</v>
      </c>
      <c r="G102">
        <f t="shared" si="18"/>
        <v>0</v>
      </c>
      <c r="H102">
        <f t="shared" si="19"/>
        <v>0</v>
      </c>
      <c r="I102">
        <f t="shared" si="20"/>
        <v>0</v>
      </c>
      <c r="J102">
        <f t="shared" si="13"/>
        <v>0</v>
      </c>
    </row>
    <row r="103" spans="1:10" x14ac:dyDescent="0.25">
      <c r="A103">
        <f t="shared" si="21"/>
        <v>56000000</v>
      </c>
      <c r="B103">
        <f t="shared" si="15"/>
        <v>0</v>
      </c>
      <c r="C103">
        <f t="shared" si="16"/>
        <v>0</v>
      </c>
      <c r="D103">
        <f t="shared" si="16"/>
        <v>0</v>
      </c>
      <c r="E103">
        <f t="shared" si="16"/>
        <v>0</v>
      </c>
      <c r="F103">
        <f t="shared" ref="F103:F134" si="22">IF(IF((F$3*10^12-$A104)*(F$3*10^12-$A103)*-1&lt;0,0,1)*IF(ABS(F$3*10^12-$A104)&gt;(F$3*10^12-$A103),$A103,$A104)=F104,0,IF((F$3*10^12-$A104)*(F$3*10^12-$A103)*-1&lt;0,0,1)*IF(ABS(F$3*10^12-$A104)&gt;(F$3*10^12-$A103),$A103,$A104))</f>
        <v>0</v>
      </c>
      <c r="G103">
        <f t="shared" ref="G103:G134" si="23">IF(IF((G$3*10^12-$A104)*(G$3*10^12-$A103)*-1&lt;0,0,1)*IF(ABS(G$3*10^12-$A104)&gt;(G$3*10^12-$A103),$A103,$A104)=G104,0,IF((G$3*10^12-$A104)*(G$3*10^12-$A103)*-1&lt;0,0,1)*IF(ABS(G$3*10^12-$A104)&gt;(G$3*10^12-$A103),$A103,$A104))</f>
        <v>0</v>
      </c>
      <c r="H103">
        <f t="shared" ref="H103:H134" si="24">IF(IF((H$3*10^12-$A104)*(H$3*10^12-$A103)*-1&lt;0,0,1)*IF(ABS(H$3*10^12-$A104)&gt;(H$3*10^12-$A103),$A103,$A104)=H104,0,IF((H$3*10^12-$A104)*(H$3*10^12-$A103)*-1&lt;0,0,1)*IF(ABS(H$3*10^12-$A104)&gt;(H$3*10^12-$A103),$A103,$A104))</f>
        <v>0</v>
      </c>
      <c r="I103">
        <f t="shared" ref="I103:I134" si="25">IF(IF((I$3*10^12-$A104)*(I$3*10^12-$A103)*-1&lt;0,0,1)*IF(ABS(I$3*10^12-$A104)&gt;(I$3*10^12-$A103),$A103,$A104)=I104,0,IF((I$3*10^12-$A104)*(I$3*10^12-$A103)*-1&lt;0,0,1)*IF(ABS(I$3*10^12-$A104)&gt;(I$3*10^12-$A103),$A103,$A104))</f>
        <v>0</v>
      </c>
      <c r="J103">
        <f t="shared" si="13"/>
        <v>0</v>
      </c>
    </row>
    <row r="104" spans="1:10" x14ac:dyDescent="0.25">
      <c r="A104">
        <f t="shared" si="21"/>
        <v>68000000</v>
      </c>
      <c r="B104">
        <f t="shared" si="15"/>
        <v>0</v>
      </c>
      <c r="C104">
        <f t="shared" si="16"/>
        <v>0</v>
      </c>
      <c r="D104">
        <f t="shared" si="16"/>
        <v>0</v>
      </c>
      <c r="E104">
        <f t="shared" si="16"/>
        <v>0</v>
      </c>
      <c r="F104">
        <f t="shared" si="22"/>
        <v>0</v>
      </c>
      <c r="G104">
        <f t="shared" si="23"/>
        <v>0</v>
      </c>
      <c r="H104">
        <f t="shared" si="24"/>
        <v>0</v>
      </c>
      <c r="I104">
        <f t="shared" si="25"/>
        <v>0</v>
      </c>
      <c r="J104">
        <f t="shared" si="13"/>
        <v>0</v>
      </c>
    </row>
    <row r="105" spans="1:10" x14ac:dyDescent="0.25">
      <c r="A105">
        <f t="shared" si="21"/>
        <v>82000000</v>
      </c>
      <c r="B105">
        <f t="shared" si="15"/>
        <v>0</v>
      </c>
      <c r="C105">
        <f t="shared" si="16"/>
        <v>0</v>
      </c>
      <c r="D105">
        <f t="shared" si="16"/>
        <v>0</v>
      </c>
      <c r="E105">
        <f t="shared" si="16"/>
        <v>0</v>
      </c>
      <c r="F105">
        <f t="shared" si="22"/>
        <v>0</v>
      </c>
      <c r="G105">
        <f t="shared" si="23"/>
        <v>0</v>
      </c>
      <c r="H105">
        <f t="shared" si="24"/>
        <v>0</v>
      </c>
      <c r="I105">
        <f t="shared" si="25"/>
        <v>0</v>
      </c>
      <c r="J105">
        <f t="shared" si="13"/>
        <v>0</v>
      </c>
    </row>
    <row r="106" spans="1:10" x14ac:dyDescent="0.25">
      <c r="A106">
        <f t="shared" si="21"/>
        <v>100000000</v>
      </c>
      <c r="B106">
        <f t="shared" si="15"/>
        <v>0</v>
      </c>
      <c r="C106">
        <f t="shared" si="16"/>
        <v>0</v>
      </c>
      <c r="D106">
        <f t="shared" si="16"/>
        <v>0</v>
      </c>
      <c r="E106">
        <f t="shared" si="16"/>
        <v>0</v>
      </c>
      <c r="F106">
        <f t="shared" si="22"/>
        <v>0</v>
      </c>
      <c r="G106">
        <f t="shared" si="23"/>
        <v>0</v>
      </c>
      <c r="H106">
        <f t="shared" si="24"/>
        <v>0</v>
      </c>
      <c r="I106">
        <f t="shared" si="25"/>
        <v>0</v>
      </c>
      <c r="J106">
        <f t="shared" si="13"/>
        <v>0</v>
      </c>
    </row>
    <row r="107" spans="1:10" x14ac:dyDescent="0.25">
      <c r="A107">
        <f t="shared" si="21"/>
        <v>120000000</v>
      </c>
      <c r="B107">
        <f t="shared" si="15"/>
        <v>0</v>
      </c>
      <c r="C107">
        <f t="shared" si="16"/>
        <v>0</v>
      </c>
      <c r="D107">
        <f t="shared" si="16"/>
        <v>0</v>
      </c>
      <c r="E107">
        <f t="shared" si="16"/>
        <v>0</v>
      </c>
      <c r="F107">
        <f t="shared" si="22"/>
        <v>0</v>
      </c>
      <c r="G107">
        <f t="shared" si="23"/>
        <v>0</v>
      </c>
      <c r="H107">
        <f t="shared" si="24"/>
        <v>0</v>
      </c>
      <c r="I107">
        <f t="shared" si="25"/>
        <v>0</v>
      </c>
      <c r="J107">
        <f t="shared" si="13"/>
        <v>0</v>
      </c>
    </row>
    <row r="108" spans="1:10" x14ac:dyDescent="0.25">
      <c r="A108">
        <f t="shared" si="21"/>
        <v>150000000</v>
      </c>
      <c r="B108">
        <f t="shared" si="15"/>
        <v>0</v>
      </c>
      <c r="C108">
        <f t="shared" si="16"/>
        <v>0</v>
      </c>
      <c r="D108">
        <f t="shared" si="16"/>
        <v>0</v>
      </c>
      <c r="E108">
        <f t="shared" si="16"/>
        <v>0</v>
      </c>
      <c r="F108">
        <f t="shared" si="22"/>
        <v>0</v>
      </c>
      <c r="G108">
        <f t="shared" si="23"/>
        <v>0</v>
      </c>
      <c r="H108">
        <f t="shared" si="24"/>
        <v>0</v>
      </c>
      <c r="I108">
        <f t="shared" si="25"/>
        <v>0</v>
      </c>
      <c r="J108">
        <f t="shared" si="13"/>
        <v>0</v>
      </c>
    </row>
    <row r="109" spans="1:10" x14ac:dyDescent="0.25">
      <c r="A109">
        <f t="shared" si="21"/>
        <v>180000000</v>
      </c>
      <c r="B109">
        <f t="shared" si="15"/>
        <v>0</v>
      </c>
      <c r="C109">
        <f t="shared" si="16"/>
        <v>0</v>
      </c>
      <c r="D109">
        <f t="shared" si="16"/>
        <v>0</v>
      </c>
      <c r="E109">
        <f t="shared" si="16"/>
        <v>220000000</v>
      </c>
      <c r="F109">
        <f t="shared" si="22"/>
        <v>0</v>
      </c>
      <c r="G109">
        <f t="shared" si="23"/>
        <v>0</v>
      </c>
      <c r="H109">
        <f t="shared" si="24"/>
        <v>0</v>
      </c>
      <c r="I109">
        <f t="shared" si="25"/>
        <v>0</v>
      </c>
      <c r="J109">
        <f t="shared" si="13"/>
        <v>0</v>
      </c>
    </row>
    <row r="110" spans="1:10" x14ac:dyDescent="0.25">
      <c r="A110">
        <f t="shared" si="21"/>
        <v>220000000</v>
      </c>
      <c r="B110">
        <f t="shared" si="15"/>
        <v>0</v>
      </c>
      <c r="C110">
        <f t="shared" si="16"/>
        <v>0</v>
      </c>
      <c r="D110">
        <f t="shared" si="16"/>
        <v>0</v>
      </c>
      <c r="E110">
        <f t="shared" si="16"/>
        <v>0</v>
      </c>
      <c r="F110">
        <f t="shared" si="22"/>
        <v>0</v>
      </c>
      <c r="G110">
        <f t="shared" si="23"/>
        <v>0</v>
      </c>
      <c r="H110">
        <f t="shared" si="24"/>
        <v>0</v>
      </c>
      <c r="I110">
        <f t="shared" si="25"/>
        <v>0</v>
      </c>
      <c r="J110">
        <f t="shared" si="13"/>
        <v>0</v>
      </c>
    </row>
    <row r="111" spans="1:10" x14ac:dyDescent="0.25">
      <c r="A111">
        <f t="shared" si="21"/>
        <v>270000000</v>
      </c>
      <c r="B111">
        <f t="shared" si="15"/>
        <v>0</v>
      </c>
      <c r="C111">
        <f t="shared" si="16"/>
        <v>0</v>
      </c>
      <c r="D111">
        <f t="shared" si="16"/>
        <v>0</v>
      </c>
      <c r="E111">
        <f t="shared" si="16"/>
        <v>0</v>
      </c>
      <c r="F111">
        <f t="shared" si="22"/>
        <v>0</v>
      </c>
      <c r="G111">
        <f t="shared" si="23"/>
        <v>0</v>
      </c>
      <c r="H111">
        <f t="shared" si="24"/>
        <v>0</v>
      </c>
      <c r="I111">
        <f t="shared" si="25"/>
        <v>0</v>
      </c>
      <c r="J111">
        <f t="shared" si="13"/>
        <v>0</v>
      </c>
    </row>
    <row r="112" spans="1:10" x14ac:dyDescent="0.25">
      <c r="A112">
        <f t="shared" si="21"/>
        <v>330000000</v>
      </c>
      <c r="B112">
        <f t="shared" si="15"/>
        <v>0</v>
      </c>
      <c r="C112">
        <f t="shared" si="16"/>
        <v>0</v>
      </c>
      <c r="D112">
        <f t="shared" si="16"/>
        <v>0</v>
      </c>
      <c r="E112">
        <f t="shared" si="16"/>
        <v>0</v>
      </c>
      <c r="F112">
        <f t="shared" si="22"/>
        <v>0</v>
      </c>
      <c r="G112">
        <f t="shared" si="23"/>
        <v>0</v>
      </c>
      <c r="H112">
        <f t="shared" si="24"/>
        <v>0</v>
      </c>
      <c r="I112">
        <f t="shared" si="25"/>
        <v>0</v>
      </c>
      <c r="J112">
        <f t="shared" si="13"/>
        <v>0</v>
      </c>
    </row>
    <row r="113" spans="1:10" x14ac:dyDescent="0.25">
      <c r="A113">
        <f t="shared" si="21"/>
        <v>390000000</v>
      </c>
      <c r="B113">
        <f t="shared" si="15"/>
        <v>0</v>
      </c>
      <c r="C113">
        <f t="shared" si="16"/>
        <v>0</v>
      </c>
      <c r="D113">
        <f t="shared" si="16"/>
        <v>0</v>
      </c>
      <c r="E113">
        <f t="shared" si="16"/>
        <v>0</v>
      </c>
      <c r="F113">
        <f t="shared" si="22"/>
        <v>0</v>
      </c>
      <c r="G113">
        <f t="shared" si="23"/>
        <v>0</v>
      </c>
      <c r="H113">
        <f t="shared" si="24"/>
        <v>0</v>
      </c>
      <c r="I113">
        <f t="shared" si="25"/>
        <v>0</v>
      </c>
      <c r="J113">
        <f t="shared" si="13"/>
        <v>0</v>
      </c>
    </row>
    <row r="114" spans="1:10" x14ac:dyDescent="0.25">
      <c r="A114">
        <f t="shared" si="21"/>
        <v>470000000</v>
      </c>
      <c r="B114">
        <f t="shared" si="15"/>
        <v>0</v>
      </c>
      <c r="C114">
        <f t="shared" si="16"/>
        <v>0</v>
      </c>
      <c r="D114">
        <f t="shared" si="16"/>
        <v>0</v>
      </c>
      <c r="E114">
        <f t="shared" si="16"/>
        <v>0</v>
      </c>
      <c r="F114">
        <f t="shared" si="22"/>
        <v>0</v>
      </c>
      <c r="G114">
        <f t="shared" si="23"/>
        <v>0</v>
      </c>
      <c r="H114">
        <f t="shared" si="24"/>
        <v>0</v>
      </c>
      <c r="I114">
        <f t="shared" si="25"/>
        <v>0</v>
      </c>
      <c r="J114">
        <f t="shared" si="13"/>
        <v>0</v>
      </c>
    </row>
    <row r="115" spans="1:10" x14ac:dyDescent="0.25">
      <c r="A115">
        <f t="shared" si="21"/>
        <v>560000000</v>
      </c>
      <c r="B115">
        <f t="shared" si="15"/>
        <v>0</v>
      </c>
      <c r="C115">
        <f t="shared" si="16"/>
        <v>0</v>
      </c>
      <c r="D115">
        <f t="shared" si="16"/>
        <v>0</v>
      </c>
      <c r="E115">
        <f t="shared" si="16"/>
        <v>0</v>
      </c>
      <c r="F115">
        <f t="shared" si="22"/>
        <v>0</v>
      </c>
      <c r="G115">
        <f t="shared" si="23"/>
        <v>0</v>
      </c>
      <c r="H115">
        <f t="shared" si="24"/>
        <v>0</v>
      </c>
      <c r="I115">
        <f t="shared" si="25"/>
        <v>0</v>
      </c>
      <c r="J115">
        <f t="shared" si="13"/>
        <v>0</v>
      </c>
    </row>
    <row r="116" spans="1:10" x14ac:dyDescent="0.25">
      <c r="A116">
        <f t="shared" si="21"/>
        <v>680000000</v>
      </c>
      <c r="B116">
        <f t="shared" si="15"/>
        <v>0</v>
      </c>
      <c r="C116">
        <f t="shared" si="16"/>
        <v>0</v>
      </c>
      <c r="D116">
        <f t="shared" si="16"/>
        <v>0</v>
      </c>
      <c r="E116">
        <f t="shared" si="16"/>
        <v>0</v>
      </c>
      <c r="F116">
        <f t="shared" si="22"/>
        <v>0</v>
      </c>
      <c r="G116">
        <f t="shared" si="23"/>
        <v>0</v>
      </c>
      <c r="H116">
        <f t="shared" si="24"/>
        <v>0</v>
      </c>
      <c r="I116">
        <f t="shared" si="25"/>
        <v>0</v>
      </c>
      <c r="J116">
        <f t="shared" si="13"/>
        <v>0</v>
      </c>
    </row>
    <row r="117" spans="1:10" x14ac:dyDescent="0.25">
      <c r="A117">
        <f t="shared" si="21"/>
        <v>820000000</v>
      </c>
      <c r="B117">
        <f t="shared" si="15"/>
        <v>0</v>
      </c>
      <c r="C117">
        <f t="shared" si="16"/>
        <v>0</v>
      </c>
      <c r="D117">
        <f t="shared" si="16"/>
        <v>0</v>
      </c>
      <c r="E117">
        <f t="shared" si="16"/>
        <v>0</v>
      </c>
      <c r="F117">
        <f t="shared" si="22"/>
        <v>0</v>
      </c>
      <c r="G117">
        <f t="shared" si="23"/>
        <v>0</v>
      </c>
      <c r="H117">
        <f t="shared" si="24"/>
        <v>0</v>
      </c>
      <c r="I117">
        <f t="shared" si="25"/>
        <v>0</v>
      </c>
      <c r="J117">
        <f t="shared" si="13"/>
        <v>0</v>
      </c>
    </row>
    <row r="118" spans="1:10" x14ac:dyDescent="0.25">
      <c r="A118">
        <f t="shared" si="21"/>
        <v>1000000000</v>
      </c>
      <c r="B118">
        <f t="shared" si="15"/>
        <v>0</v>
      </c>
      <c r="C118">
        <f t="shared" si="16"/>
        <v>0</v>
      </c>
      <c r="D118">
        <f t="shared" si="16"/>
        <v>0</v>
      </c>
      <c r="E118">
        <f t="shared" si="16"/>
        <v>0</v>
      </c>
      <c r="F118">
        <f t="shared" si="22"/>
        <v>0</v>
      </c>
      <c r="G118">
        <f t="shared" si="23"/>
        <v>0</v>
      </c>
      <c r="H118">
        <f t="shared" si="24"/>
        <v>0</v>
      </c>
      <c r="I118">
        <f t="shared" si="25"/>
        <v>0</v>
      </c>
      <c r="J118">
        <f t="shared" si="13"/>
        <v>0</v>
      </c>
    </row>
    <row r="119" spans="1:10" x14ac:dyDescent="0.25">
      <c r="A119">
        <f t="shared" si="21"/>
        <v>1200000000</v>
      </c>
      <c r="B119">
        <f t="shared" si="15"/>
        <v>0</v>
      </c>
      <c r="C119">
        <f t="shared" si="16"/>
        <v>0</v>
      </c>
      <c r="D119">
        <f t="shared" si="16"/>
        <v>0</v>
      </c>
      <c r="E119">
        <f t="shared" si="16"/>
        <v>0</v>
      </c>
      <c r="F119">
        <f t="shared" si="22"/>
        <v>1200000000</v>
      </c>
      <c r="G119">
        <f t="shared" si="23"/>
        <v>0</v>
      </c>
      <c r="H119">
        <f t="shared" si="24"/>
        <v>0</v>
      </c>
      <c r="I119">
        <f t="shared" si="25"/>
        <v>0</v>
      </c>
      <c r="J119">
        <f t="shared" si="13"/>
        <v>0</v>
      </c>
    </row>
    <row r="120" spans="1:10" x14ac:dyDescent="0.25">
      <c r="A120">
        <f t="shared" si="21"/>
        <v>1500000000</v>
      </c>
      <c r="B120">
        <f t="shared" si="15"/>
        <v>0</v>
      </c>
      <c r="C120">
        <f t="shared" si="16"/>
        <v>0</v>
      </c>
      <c r="D120">
        <f t="shared" si="16"/>
        <v>0</v>
      </c>
      <c r="E120">
        <f t="shared" si="16"/>
        <v>0</v>
      </c>
      <c r="F120">
        <f t="shared" si="22"/>
        <v>0</v>
      </c>
      <c r="G120">
        <f t="shared" si="23"/>
        <v>0</v>
      </c>
      <c r="H120">
        <f t="shared" si="24"/>
        <v>0</v>
      </c>
      <c r="I120">
        <f t="shared" si="25"/>
        <v>0</v>
      </c>
      <c r="J120">
        <f t="shared" si="13"/>
        <v>0</v>
      </c>
    </row>
    <row r="121" spans="1:10" x14ac:dyDescent="0.25">
      <c r="A121">
        <f t="shared" si="21"/>
        <v>1800000000</v>
      </c>
      <c r="B121">
        <f t="shared" si="15"/>
        <v>0</v>
      </c>
      <c r="C121">
        <f t="shared" si="16"/>
        <v>0</v>
      </c>
      <c r="D121">
        <f t="shared" si="16"/>
        <v>0</v>
      </c>
      <c r="E121">
        <f t="shared" si="16"/>
        <v>0</v>
      </c>
      <c r="F121">
        <f t="shared" si="22"/>
        <v>0</v>
      </c>
      <c r="G121">
        <f t="shared" si="23"/>
        <v>0</v>
      </c>
      <c r="H121">
        <f t="shared" si="24"/>
        <v>0</v>
      </c>
      <c r="I121">
        <f t="shared" si="25"/>
        <v>0</v>
      </c>
      <c r="J121">
        <f t="shared" si="13"/>
        <v>0</v>
      </c>
    </row>
    <row r="122" spans="1:10" x14ac:dyDescent="0.25">
      <c r="A122">
        <f t="shared" si="21"/>
        <v>2200000000</v>
      </c>
      <c r="B122">
        <f t="shared" si="15"/>
        <v>0</v>
      </c>
      <c r="C122">
        <f t="shared" si="16"/>
        <v>0</v>
      </c>
      <c r="D122">
        <f t="shared" si="16"/>
        <v>0</v>
      </c>
      <c r="E122">
        <f t="shared" si="16"/>
        <v>0</v>
      </c>
      <c r="F122">
        <f t="shared" si="22"/>
        <v>0</v>
      </c>
      <c r="G122">
        <f t="shared" si="23"/>
        <v>0</v>
      </c>
      <c r="H122">
        <f t="shared" si="24"/>
        <v>0</v>
      </c>
      <c r="I122">
        <f t="shared" si="25"/>
        <v>0</v>
      </c>
      <c r="J122">
        <f t="shared" si="13"/>
        <v>0</v>
      </c>
    </row>
    <row r="123" spans="1:10" x14ac:dyDescent="0.25">
      <c r="A123">
        <f t="shared" si="21"/>
        <v>2700000000</v>
      </c>
      <c r="B123">
        <f t="shared" si="15"/>
        <v>0</v>
      </c>
      <c r="C123">
        <f t="shared" si="16"/>
        <v>0</v>
      </c>
      <c r="D123">
        <f t="shared" si="16"/>
        <v>0</v>
      </c>
      <c r="E123">
        <f t="shared" si="16"/>
        <v>0</v>
      </c>
      <c r="F123">
        <f t="shared" si="22"/>
        <v>0</v>
      </c>
      <c r="G123">
        <f t="shared" si="23"/>
        <v>0</v>
      </c>
      <c r="H123">
        <f t="shared" si="24"/>
        <v>0</v>
      </c>
      <c r="I123">
        <f t="shared" si="25"/>
        <v>0</v>
      </c>
      <c r="J123">
        <f t="shared" si="13"/>
        <v>0</v>
      </c>
    </row>
    <row r="124" spans="1:10" x14ac:dyDescent="0.25">
      <c r="A124">
        <f t="shared" si="21"/>
        <v>3300000000</v>
      </c>
      <c r="B124">
        <f t="shared" si="15"/>
        <v>0</v>
      </c>
      <c r="C124">
        <f t="shared" si="16"/>
        <v>0</v>
      </c>
      <c r="D124">
        <f t="shared" si="16"/>
        <v>0</v>
      </c>
      <c r="E124">
        <f t="shared" si="16"/>
        <v>0</v>
      </c>
      <c r="F124">
        <f t="shared" si="22"/>
        <v>0</v>
      </c>
      <c r="G124">
        <f t="shared" si="23"/>
        <v>0</v>
      </c>
      <c r="H124">
        <f t="shared" si="24"/>
        <v>0</v>
      </c>
      <c r="I124">
        <f t="shared" si="25"/>
        <v>0</v>
      </c>
      <c r="J124">
        <f t="shared" si="13"/>
        <v>0</v>
      </c>
    </row>
    <row r="125" spans="1:10" x14ac:dyDescent="0.25">
      <c r="A125">
        <f t="shared" si="21"/>
        <v>3900000000</v>
      </c>
      <c r="B125">
        <f t="shared" si="15"/>
        <v>0</v>
      </c>
      <c r="C125">
        <f t="shared" si="16"/>
        <v>0</v>
      </c>
      <c r="D125">
        <f t="shared" si="16"/>
        <v>0</v>
      </c>
      <c r="E125">
        <f t="shared" si="16"/>
        <v>0</v>
      </c>
      <c r="F125">
        <f t="shared" si="22"/>
        <v>0</v>
      </c>
      <c r="G125">
        <f t="shared" si="23"/>
        <v>0</v>
      </c>
      <c r="H125">
        <f t="shared" si="24"/>
        <v>0</v>
      </c>
      <c r="I125">
        <f t="shared" si="25"/>
        <v>0</v>
      </c>
      <c r="J125">
        <f t="shared" si="13"/>
        <v>0</v>
      </c>
    </row>
    <row r="126" spans="1:10" x14ac:dyDescent="0.25">
      <c r="A126">
        <f t="shared" si="21"/>
        <v>4700000000</v>
      </c>
      <c r="B126">
        <f t="shared" si="15"/>
        <v>0</v>
      </c>
      <c r="C126">
        <f t="shared" si="16"/>
        <v>0</v>
      </c>
      <c r="D126">
        <f t="shared" si="16"/>
        <v>0</v>
      </c>
      <c r="E126">
        <f t="shared" si="16"/>
        <v>0</v>
      </c>
      <c r="F126">
        <f t="shared" si="22"/>
        <v>0</v>
      </c>
      <c r="G126">
        <f t="shared" si="23"/>
        <v>0</v>
      </c>
      <c r="H126">
        <f t="shared" si="24"/>
        <v>0</v>
      </c>
      <c r="I126">
        <f t="shared" si="25"/>
        <v>0</v>
      </c>
      <c r="J126">
        <f t="shared" si="13"/>
        <v>0</v>
      </c>
    </row>
    <row r="127" spans="1:10" x14ac:dyDescent="0.25">
      <c r="A127">
        <f t="shared" si="21"/>
        <v>5600000000</v>
      </c>
      <c r="B127">
        <f t="shared" si="15"/>
        <v>0</v>
      </c>
      <c r="C127">
        <f t="shared" si="16"/>
        <v>0</v>
      </c>
      <c r="D127">
        <f t="shared" si="16"/>
        <v>0</v>
      </c>
      <c r="E127">
        <f t="shared" si="16"/>
        <v>0</v>
      </c>
      <c r="F127">
        <f t="shared" si="22"/>
        <v>0</v>
      </c>
      <c r="G127">
        <f t="shared" si="23"/>
        <v>0</v>
      </c>
      <c r="H127">
        <f t="shared" si="24"/>
        <v>0</v>
      </c>
      <c r="I127">
        <f t="shared" si="25"/>
        <v>0</v>
      </c>
      <c r="J127">
        <f t="shared" si="13"/>
        <v>0</v>
      </c>
    </row>
    <row r="128" spans="1:10" x14ac:dyDescent="0.25">
      <c r="A128">
        <f t="shared" si="21"/>
        <v>6800000000</v>
      </c>
      <c r="B128">
        <f t="shared" si="15"/>
        <v>0</v>
      </c>
      <c r="C128">
        <f t="shared" si="16"/>
        <v>0</v>
      </c>
      <c r="D128">
        <f t="shared" si="16"/>
        <v>0</v>
      </c>
      <c r="E128">
        <f t="shared" si="16"/>
        <v>0</v>
      </c>
      <c r="F128">
        <f t="shared" si="22"/>
        <v>0</v>
      </c>
      <c r="G128">
        <f t="shared" si="23"/>
        <v>0</v>
      </c>
      <c r="H128">
        <f t="shared" si="24"/>
        <v>0</v>
      </c>
      <c r="I128">
        <f t="shared" si="25"/>
        <v>0</v>
      </c>
      <c r="J128">
        <f t="shared" si="13"/>
        <v>0</v>
      </c>
    </row>
    <row r="129" spans="1:10" x14ac:dyDescent="0.25">
      <c r="A129">
        <f t="shared" si="21"/>
        <v>8200000000</v>
      </c>
      <c r="B129">
        <f t="shared" si="15"/>
        <v>0</v>
      </c>
      <c r="C129">
        <f t="shared" si="16"/>
        <v>0</v>
      </c>
      <c r="D129">
        <f t="shared" si="16"/>
        <v>0</v>
      </c>
      <c r="E129">
        <f t="shared" si="16"/>
        <v>0</v>
      </c>
      <c r="F129">
        <f t="shared" si="22"/>
        <v>0</v>
      </c>
      <c r="G129">
        <f t="shared" si="23"/>
        <v>0</v>
      </c>
      <c r="H129">
        <f t="shared" si="24"/>
        <v>0</v>
      </c>
      <c r="I129">
        <f t="shared" si="25"/>
        <v>0</v>
      </c>
      <c r="J129">
        <f t="shared" si="13"/>
        <v>0</v>
      </c>
    </row>
    <row r="130" spans="1:10" x14ac:dyDescent="0.25">
      <c r="A130">
        <f t="shared" si="21"/>
        <v>10000000000</v>
      </c>
      <c r="B130">
        <f t="shared" si="15"/>
        <v>0</v>
      </c>
      <c r="C130">
        <f t="shared" si="16"/>
        <v>0</v>
      </c>
      <c r="D130">
        <f t="shared" si="16"/>
        <v>0</v>
      </c>
      <c r="E130">
        <f t="shared" si="16"/>
        <v>0</v>
      </c>
      <c r="F130">
        <f t="shared" si="22"/>
        <v>0</v>
      </c>
      <c r="G130">
        <f t="shared" si="23"/>
        <v>0</v>
      </c>
      <c r="H130">
        <f t="shared" si="24"/>
        <v>0</v>
      </c>
      <c r="I130">
        <f t="shared" si="25"/>
        <v>0</v>
      </c>
      <c r="J130">
        <f t="shared" si="13"/>
        <v>0</v>
      </c>
    </row>
    <row r="131" spans="1:10" x14ac:dyDescent="0.25">
      <c r="A131">
        <f t="shared" si="21"/>
        <v>12000000000</v>
      </c>
      <c r="B131">
        <f t="shared" si="15"/>
        <v>0</v>
      </c>
      <c r="C131">
        <f t="shared" si="16"/>
        <v>0</v>
      </c>
      <c r="D131">
        <f t="shared" si="16"/>
        <v>0</v>
      </c>
      <c r="E131">
        <f t="shared" si="16"/>
        <v>0</v>
      </c>
      <c r="F131">
        <f t="shared" si="22"/>
        <v>0</v>
      </c>
      <c r="G131">
        <f t="shared" si="23"/>
        <v>0</v>
      </c>
      <c r="H131">
        <f t="shared" si="24"/>
        <v>0</v>
      </c>
      <c r="I131">
        <f t="shared" si="25"/>
        <v>0</v>
      </c>
      <c r="J131">
        <f t="shared" si="13"/>
        <v>0</v>
      </c>
    </row>
    <row r="132" spans="1:10" x14ac:dyDescent="0.25">
      <c r="A132">
        <f t="shared" si="21"/>
        <v>15000000000</v>
      </c>
      <c r="B132">
        <f t="shared" si="15"/>
        <v>0</v>
      </c>
      <c r="C132">
        <f t="shared" si="16"/>
        <v>0</v>
      </c>
      <c r="D132">
        <f t="shared" si="16"/>
        <v>0</v>
      </c>
      <c r="E132">
        <f t="shared" si="16"/>
        <v>0</v>
      </c>
      <c r="F132">
        <f t="shared" si="22"/>
        <v>0</v>
      </c>
      <c r="G132">
        <f t="shared" si="23"/>
        <v>0</v>
      </c>
      <c r="H132">
        <f t="shared" si="24"/>
        <v>0</v>
      </c>
      <c r="I132">
        <f t="shared" si="25"/>
        <v>0</v>
      </c>
      <c r="J132">
        <f t="shared" si="13"/>
        <v>0</v>
      </c>
    </row>
    <row r="133" spans="1:10" x14ac:dyDescent="0.25">
      <c r="A133">
        <f t="shared" si="21"/>
        <v>18000000000</v>
      </c>
      <c r="B133">
        <f t="shared" si="15"/>
        <v>0</v>
      </c>
      <c r="C133">
        <f t="shared" si="16"/>
        <v>0</v>
      </c>
      <c r="D133">
        <f t="shared" si="16"/>
        <v>0</v>
      </c>
      <c r="E133">
        <f t="shared" si="16"/>
        <v>0</v>
      </c>
      <c r="F133">
        <f t="shared" si="22"/>
        <v>0</v>
      </c>
      <c r="G133">
        <f t="shared" si="23"/>
        <v>0</v>
      </c>
      <c r="H133">
        <f t="shared" si="24"/>
        <v>0</v>
      </c>
      <c r="I133">
        <f t="shared" si="25"/>
        <v>0</v>
      </c>
      <c r="J133">
        <f>IF(IF((J$3*10^12-$A134)*(J$3*10^12-$A133)*-1&lt;0,0,1)*IF(ABS(J$3*10^12-$A134)&gt;(J$3*10^12-$A133),$A133,$A134)=J134,0,IF((J$3*10^12-$A134)*(J$3*10^12-$A133)*-1&lt;0,0,1)*IF(ABS(J$3*10^12-$A134)&gt;(J$3*10^12-$A133),$A133,$A134))</f>
        <v>0</v>
      </c>
    </row>
    <row r="134" spans="1:10" x14ac:dyDescent="0.25">
      <c r="A134">
        <f t="shared" si="21"/>
        <v>22000000000</v>
      </c>
      <c r="B134">
        <f t="shared" si="15"/>
        <v>0</v>
      </c>
      <c r="C134">
        <f t="shared" si="16"/>
        <v>0</v>
      </c>
      <c r="D134">
        <f t="shared" si="16"/>
        <v>0</v>
      </c>
      <c r="E134">
        <f t="shared" ref="E134:J159" si="26">IF(IF((E$3*10^12-$A135)*(E$3*10^12-$A134)*-1&lt;0,0,1)*IF(ABS(E$3*10^12-$A135)&gt;(E$3*10^12-$A134),$A134,$A135)=E135,0,IF((E$3*10^12-$A135)*(E$3*10^12-$A134)*-1&lt;0,0,1)*IF(ABS(E$3*10^12-$A135)&gt;(E$3*10^12-$A134),$A134,$A135))</f>
        <v>0</v>
      </c>
      <c r="F134">
        <f t="shared" si="22"/>
        <v>0</v>
      </c>
      <c r="G134">
        <f t="shared" si="23"/>
        <v>0</v>
      </c>
      <c r="H134">
        <f t="shared" si="24"/>
        <v>0</v>
      </c>
      <c r="I134">
        <f t="shared" si="25"/>
        <v>0</v>
      </c>
      <c r="J134">
        <f>IF(IF((J$3*10^12-$A135)*(J$3*10^12-$A134)*-1&lt;0,0,1)*IF(ABS(J$3*10^12-$A135)&gt;(J$3*10^12-$A134),$A134,$A135)=J135,0,IF((J$3*10^12-$A135)*(J$3*10^12-$A134)*-1&lt;0,0,1)*IF(ABS(J$3*10^12-$A135)&gt;(J$3*10^12-$A134),$A134,$A135))</f>
        <v>0</v>
      </c>
    </row>
    <row r="135" spans="1:10" x14ac:dyDescent="0.25">
      <c r="A135">
        <f t="shared" si="21"/>
        <v>27000000000</v>
      </c>
      <c r="B135">
        <f t="shared" ref="B135:B159" si="27">IF(IF((B$3*10^12-$A136)*(B$3*10^12-$A135)*-1&lt;0,0,1)*IF(ABS(B$3*10^12-$A136)&gt;(B$3*10^12-$A135),$A135,$A136)=B136,0,IF((B$3*10^12-$A136)*(B$3*10^12-$A135)*-1&lt;0,0,1)*IF(ABS(B$3*10^12-$A136)&gt;(B$3*10^12-$A135),$A135,$A136))</f>
        <v>0</v>
      </c>
      <c r="C135">
        <f t="shared" ref="C135:D159" si="28">IF(IF((C$3*10^12-$A136)*(C$3*10^12-$A135)*-1&lt;0,0,1)*IF(ABS(C$3*10^12-$A136)&gt;(C$3*10^12-$A135),$A135,$A136)=C136,0,IF((C$3*10^12-$A136)*(C$3*10^12-$A135)*-1&lt;0,0,1)*IF(ABS(C$3*10^12-$A136)&gt;(C$3*10^12-$A135),$A135,$A136))</f>
        <v>0</v>
      </c>
      <c r="D135">
        <f t="shared" si="28"/>
        <v>0</v>
      </c>
      <c r="E135">
        <f t="shared" si="26"/>
        <v>0</v>
      </c>
      <c r="F135">
        <f t="shared" si="26"/>
        <v>0</v>
      </c>
      <c r="G135">
        <f t="shared" si="26"/>
        <v>0</v>
      </c>
      <c r="H135">
        <f t="shared" si="26"/>
        <v>0</v>
      </c>
      <c r="I135">
        <f t="shared" si="26"/>
        <v>0</v>
      </c>
      <c r="J135">
        <f t="shared" si="26"/>
        <v>0</v>
      </c>
    </row>
    <row r="136" spans="1:10" x14ac:dyDescent="0.25">
      <c r="A136">
        <f t="shared" si="21"/>
        <v>33000000000</v>
      </c>
      <c r="B136">
        <f t="shared" si="27"/>
        <v>0</v>
      </c>
      <c r="C136">
        <f t="shared" si="28"/>
        <v>0</v>
      </c>
      <c r="D136">
        <f t="shared" si="28"/>
        <v>0</v>
      </c>
      <c r="E136">
        <f t="shared" si="26"/>
        <v>0</v>
      </c>
      <c r="F136">
        <f t="shared" si="26"/>
        <v>0</v>
      </c>
      <c r="G136">
        <f t="shared" si="26"/>
        <v>0</v>
      </c>
      <c r="H136">
        <f t="shared" si="26"/>
        <v>0</v>
      </c>
      <c r="I136">
        <f t="shared" si="26"/>
        <v>0</v>
      </c>
      <c r="J136">
        <f t="shared" si="26"/>
        <v>0</v>
      </c>
    </row>
    <row r="137" spans="1:10" x14ac:dyDescent="0.25">
      <c r="A137">
        <f t="shared" si="21"/>
        <v>39000000000</v>
      </c>
      <c r="B137">
        <f t="shared" si="27"/>
        <v>0</v>
      </c>
      <c r="C137">
        <f t="shared" si="28"/>
        <v>0</v>
      </c>
      <c r="D137">
        <f t="shared" si="28"/>
        <v>0</v>
      </c>
      <c r="E137">
        <f t="shared" si="26"/>
        <v>0</v>
      </c>
      <c r="F137">
        <f t="shared" si="26"/>
        <v>0</v>
      </c>
      <c r="G137">
        <f t="shared" si="26"/>
        <v>0</v>
      </c>
      <c r="H137">
        <f t="shared" si="26"/>
        <v>0</v>
      </c>
      <c r="I137">
        <f t="shared" si="26"/>
        <v>0</v>
      </c>
      <c r="J137">
        <f t="shared" si="26"/>
        <v>0</v>
      </c>
    </row>
    <row r="138" spans="1:10" x14ac:dyDescent="0.25">
      <c r="A138">
        <f t="shared" si="21"/>
        <v>47000000000</v>
      </c>
      <c r="B138">
        <f t="shared" si="27"/>
        <v>0</v>
      </c>
      <c r="C138">
        <f t="shared" si="28"/>
        <v>0</v>
      </c>
      <c r="D138">
        <f t="shared" si="28"/>
        <v>0</v>
      </c>
      <c r="E138">
        <f t="shared" si="26"/>
        <v>0</v>
      </c>
      <c r="F138">
        <f t="shared" si="26"/>
        <v>0</v>
      </c>
      <c r="G138">
        <f t="shared" si="26"/>
        <v>0</v>
      </c>
      <c r="H138">
        <f t="shared" si="26"/>
        <v>0</v>
      </c>
      <c r="I138">
        <f t="shared" si="26"/>
        <v>0</v>
      </c>
      <c r="J138">
        <f t="shared" si="26"/>
        <v>0</v>
      </c>
    </row>
    <row r="139" spans="1:10" x14ac:dyDescent="0.25">
      <c r="A139">
        <f t="shared" si="21"/>
        <v>56000000000</v>
      </c>
      <c r="B139">
        <f t="shared" si="27"/>
        <v>0</v>
      </c>
      <c r="C139">
        <f t="shared" si="28"/>
        <v>0</v>
      </c>
      <c r="D139">
        <f t="shared" si="28"/>
        <v>0</v>
      </c>
      <c r="E139">
        <f t="shared" si="26"/>
        <v>0</v>
      </c>
      <c r="F139">
        <f t="shared" si="26"/>
        <v>0</v>
      </c>
      <c r="G139">
        <f t="shared" si="26"/>
        <v>0</v>
      </c>
      <c r="H139">
        <f t="shared" si="26"/>
        <v>0</v>
      </c>
      <c r="I139">
        <f t="shared" si="26"/>
        <v>0</v>
      </c>
      <c r="J139">
        <f t="shared" si="26"/>
        <v>0</v>
      </c>
    </row>
    <row r="140" spans="1:10" x14ac:dyDescent="0.25">
      <c r="A140">
        <f t="shared" si="21"/>
        <v>68000000000</v>
      </c>
      <c r="B140">
        <f t="shared" si="27"/>
        <v>0</v>
      </c>
      <c r="C140">
        <f t="shared" si="28"/>
        <v>0</v>
      </c>
      <c r="D140">
        <f t="shared" si="28"/>
        <v>0</v>
      </c>
      <c r="E140">
        <f t="shared" si="26"/>
        <v>0</v>
      </c>
      <c r="F140">
        <f t="shared" si="26"/>
        <v>0</v>
      </c>
      <c r="G140">
        <f t="shared" si="26"/>
        <v>0</v>
      </c>
      <c r="H140">
        <f t="shared" si="26"/>
        <v>0</v>
      </c>
      <c r="I140">
        <f t="shared" si="26"/>
        <v>0</v>
      </c>
      <c r="J140">
        <f t="shared" si="26"/>
        <v>0</v>
      </c>
    </row>
    <row r="141" spans="1:10" x14ac:dyDescent="0.25">
      <c r="A141">
        <f t="shared" si="21"/>
        <v>82000000000</v>
      </c>
      <c r="B141">
        <f t="shared" si="27"/>
        <v>0</v>
      </c>
      <c r="C141">
        <f t="shared" si="28"/>
        <v>0</v>
      </c>
      <c r="D141">
        <f t="shared" si="28"/>
        <v>0</v>
      </c>
      <c r="E141">
        <f t="shared" si="26"/>
        <v>0</v>
      </c>
      <c r="F141">
        <f t="shared" si="26"/>
        <v>0</v>
      </c>
      <c r="G141">
        <f t="shared" si="26"/>
        <v>0</v>
      </c>
      <c r="H141">
        <f t="shared" si="26"/>
        <v>0</v>
      </c>
      <c r="I141">
        <f t="shared" si="26"/>
        <v>0</v>
      </c>
      <c r="J141">
        <f t="shared" si="26"/>
        <v>0</v>
      </c>
    </row>
    <row r="142" spans="1:10" x14ac:dyDescent="0.25">
      <c r="A142">
        <f t="shared" si="21"/>
        <v>100000000000</v>
      </c>
      <c r="B142">
        <f t="shared" si="27"/>
        <v>0</v>
      </c>
      <c r="C142">
        <f t="shared" si="28"/>
        <v>0</v>
      </c>
      <c r="D142">
        <f t="shared" si="28"/>
        <v>0</v>
      </c>
      <c r="E142">
        <f t="shared" si="26"/>
        <v>0</v>
      </c>
      <c r="F142">
        <f t="shared" si="26"/>
        <v>0</v>
      </c>
      <c r="G142">
        <f t="shared" si="26"/>
        <v>0</v>
      </c>
      <c r="H142">
        <f t="shared" si="26"/>
        <v>0</v>
      </c>
      <c r="I142">
        <f t="shared" si="26"/>
        <v>0</v>
      </c>
      <c r="J142">
        <f t="shared" si="26"/>
        <v>0</v>
      </c>
    </row>
    <row r="143" spans="1:10" x14ac:dyDescent="0.25">
      <c r="A143">
        <f t="shared" si="21"/>
        <v>120000000000</v>
      </c>
      <c r="B143">
        <f t="shared" si="27"/>
        <v>0</v>
      </c>
      <c r="C143">
        <f t="shared" si="28"/>
        <v>0</v>
      </c>
      <c r="D143">
        <f t="shared" si="28"/>
        <v>0</v>
      </c>
      <c r="E143">
        <f t="shared" si="26"/>
        <v>0</v>
      </c>
      <c r="F143">
        <f t="shared" si="26"/>
        <v>0</v>
      </c>
      <c r="G143">
        <f t="shared" si="26"/>
        <v>0</v>
      </c>
      <c r="H143">
        <f t="shared" si="26"/>
        <v>0</v>
      </c>
      <c r="I143">
        <f t="shared" si="26"/>
        <v>0</v>
      </c>
      <c r="J143">
        <f t="shared" si="26"/>
        <v>0</v>
      </c>
    </row>
    <row r="144" spans="1:10" x14ac:dyDescent="0.25">
      <c r="A144">
        <f t="shared" si="21"/>
        <v>150000000000</v>
      </c>
      <c r="B144">
        <f t="shared" si="27"/>
        <v>0</v>
      </c>
      <c r="C144">
        <f t="shared" si="28"/>
        <v>0</v>
      </c>
      <c r="D144">
        <f t="shared" si="28"/>
        <v>0</v>
      </c>
      <c r="E144">
        <f t="shared" si="26"/>
        <v>0</v>
      </c>
      <c r="F144">
        <f t="shared" si="26"/>
        <v>0</v>
      </c>
      <c r="G144">
        <f t="shared" si="26"/>
        <v>0</v>
      </c>
      <c r="H144">
        <f t="shared" si="26"/>
        <v>0</v>
      </c>
      <c r="I144">
        <f t="shared" si="26"/>
        <v>0</v>
      </c>
      <c r="J144">
        <f t="shared" si="26"/>
        <v>0</v>
      </c>
    </row>
    <row r="145" spans="1:10" x14ac:dyDescent="0.25">
      <c r="A145">
        <f t="shared" si="21"/>
        <v>180000000000</v>
      </c>
      <c r="B145">
        <f t="shared" si="27"/>
        <v>0</v>
      </c>
      <c r="C145">
        <f t="shared" si="28"/>
        <v>0</v>
      </c>
      <c r="D145">
        <f t="shared" si="28"/>
        <v>0</v>
      </c>
      <c r="E145">
        <f t="shared" si="26"/>
        <v>0</v>
      </c>
      <c r="F145">
        <f t="shared" si="26"/>
        <v>0</v>
      </c>
      <c r="G145">
        <f t="shared" si="26"/>
        <v>0</v>
      </c>
      <c r="H145">
        <f t="shared" si="26"/>
        <v>0</v>
      </c>
      <c r="I145">
        <f t="shared" si="26"/>
        <v>0</v>
      </c>
      <c r="J145">
        <f t="shared" si="26"/>
        <v>0</v>
      </c>
    </row>
    <row r="146" spans="1:10" x14ac:dyDescent="0.25">
      <c r="A146">
        <f t="shared" si="21"/>
        <v>220000000000</v>
      </c>
      <c r="B146">
        <f t="shared" si="27"/>
        <v>0</v>
      </c>
      <c r="C146">
        <f t="shared" si="28"/>
        <v>0</v>
      </c>
      <c r="D146">
        <f t="shared" si="28"/>
        <v>0</v>
      </c>
      <c r="E146">
        <f t="shared" si="26"/>
        <v>0</v>
      </c>
      <c r="F146">
        <f t="shared" si="26"/>
        <v>0</v>
      </c>
      <c r="G146">
        <f t="shared" si="26"/>
        <v>0</v>
      </c>
      <c r="H146">
        <f t="shared" si="26"/>
        <v>0</v>
      </c>
      <c r="I146">
        <f t="shared" si="26"/>
        <v>0</v>
      </c>
      <c r="J146">
        <f t="shared" si="26"/>
        <v>0</v>
      </c>
    </row>
    <row r="147" spans="1:10" x14ac:dyDescent="0.25">
      <c r="A147">
        <f t="shared" si="21"/>
        <v>270000000000</v>
      </c>
      <c r="B147">
        <f t="shared" si="27"/>
        <v>0</v>
      </c>
      <c r="C147">
        <f t="shared" si="28"/>
        <v>0</v>
      </c>
      <c r="D147">
        <f t="shared" si="28"/>
        <v>0</v>
      </c>
      <c r="E147">
        <f t="shared" si="26"/>
        <v>0</v>
      </c>
      <c r="F147">
        <f t="shared" si="26"/>
        <v>0</v>
      </c>
      <c r="G147">
        <f t="shared" si="26"/>
        <v>0</v>
      </c>
      <c r="H147">
        <f t="shared" si="26"/>
        <v>0</v>
      </c>
      <c r="I147">
        <f t="shared" si="26"/>
        <v>0</v>
      </c>
      <c r="J147">
        <f t="shared" si="26"/>
        <v>0</v>
      </c>
    </row>
    <row r="148" spans="1:10" x14ac:dyDescent="0.25">
      <c r="A148">
        <f t="shared" si="21"/>
        <v>330000000000</v>
      </c>
      <c r="B148">
        <f t="shared" si="27"/>
        <v>0</v>
      </c>
      <c r="C148">
        <f t="shared" si="28"/>
        <v>0</v>
      </c>
      <c r="D148">
        <f t="shared" si="28"/>
        <v>0</v>
      </c>
      <c r="E148">
        <f t="shared" si="26"/>
        <v>0</v>
      </c>
      <c r="F148">
        <f t="shared" si="26"/>
        <v>0</v>
      </c>
      <c r="G148">
        <f t="shared" si="26"/>
        <v>0</v>
      </c>
      <c r="H148">
        <f t="shared" si="26"/>
        <v>0</v>
      </c>
      <c r="I148">
        <f t="shared" si="26"/>
        <v>0</v>
      </c>
      <c r="J148">
        <f t="shared" si="26"/>
        <v>0</v>
      </c>
    </row>
    <row r="149" spans="1:10" x14ac:dyDescent="0.25">
      <c r="A149">
        <f t="shared" si="21"/>
        <v>390000000000</v>
      </c>
      <c r="B149">
        <f t="shared" si="27"/>
        <v>0</v>
      </c>
      <c r="C149">
        <f t="shared" si="28"/>
        <v>0</v>
      </c>
      <c r="D149">
        <f t="shared" si="28"/>
        <v>0</v>
      </c>
      <c r="E149">
        <f t="shared" si="26"/>
        <v>0</v>
      </c>
      <c r="F149">
        <f t="shared" si="26"/>
        <v>0</v>
      </c>
      <c r="G149">
        <f t="shared" si="26"/>
        <v>0</v>
      </c>
      <c r="H149">
        <f t="shared" si="26"/>
        <v>0</v>
      </c>
      <c r="I149">
        <f t="shared" si="26"/>
        <v>0</v>
      </c>
      <c r="J149">
        <f t="shared" si="26"/>
        <v>0</v>
      </c>
    </row>
    <row r="150" spans="1:10" x14ac:dyDescent="0.25">
      <c r="A150">
        <f t="shared" si="21"/>
        <v>470000000000</v>
      </c>
      <c r="B150">
        <f t="shared" si="27"/>
        <v>0</v>
      </c>
      <c r="C150">
        <f t="shared" si="28"/>
        <v>0</v>
      </c>
      <c r="D150">
        <f t="shared" si="28"/>
        <v>0</v>
      </c>
      <c r="E150">
        <f t="shared" si="26"/>
        <v>0</v>
      </c>
      <c r="F150">
        <f t="shared" si="26"/>
        <v>0</v>
      </c>
      <c r="G150">
        <f t="shared" si="26"/>
        <v>0</v>
      </c>
      <c r="H150">
        <f t="shared" si="26"/>
        <v>0</v>
      </c>
      <c r="I150">
        <f t="shared" si="26"/>
        <v>0</v>
      </c>
      <c r="J150">
        <f t="shared" si="26"/>
        <v>0</v>
      </c>
    </row>
    <row r="151" spans="1:10" x14ac:dyDescent="0.25">
      <c r="A151">
        <f t="shared" si="21"/>
        <v>560000000000</v>
      </c>
      <c r="B151">
        <f t="shared" si="27"/>
        <v>0</v>
      </c>
      <c r="C151">
        <f t="shared" si="28"/>
        <v>0</v>
      </c>
      <c r="D151">
        <f t="shared" si="28"/>
        <v>0</v>
      </c>
      <c r="E151">
        <f t="shared" si="26"/>
        <v>0</v>
      </c>
      <c r="F151">
        <f t="shared" si="26"/>
        <v>0</v>
      </c>
      <c r="G151">
        <f t="shared" si="26"/>
        <v>0</v>
      </c>
      <c r="H151">
        <f t="shared" si="26"/>
        <v>0</v>
      </c>
      <c r="I151">
        <f t="shared" si="26"/>
        <v>0</v>
      </c>
      <c r="J151">
        <f t="shared" si="26"/>
        <v>0</v>
      </c>
    </row>
    <row r="152" spans="1:10" x14ac:dyDescent="0.25">
      <c r="A152">
        <f t="shared" si="21"/>
        <v>680000000000</v>
      </c>
      <c r="B152">
        <f t="shared" si="27"/>
        <v>0</v>
      </c>
      <c r="C152">
        <f t="shared" si="28"/>
        <v>0</v>
      </c>
      <c r="D152">
        <f t="shared" si="28"/>
        <v>0</v>
      </c>
      <c r="E152">
        <f t="shared" si="26"/>
        <v>0</v>
      </c>
      <c r="F152">
        <f t="shared" si="26"/>
        <v>0</v>
      </c>
      <c r="G152">
        <f t="shared" si="26"/>
        <v>0</v>
      </c>
      <c r="H152">
        <f t="shared" si="26"/>
        <v>0</v>
      </c>
      <c r="I152">
        <f t="shared" si="26"/>
        <v>0</v>
      </c>
      <c r="J152">
        <f t="shared" si="26"/>
        <v>0</v>
      </c>
    </row>
    <row r="153" spans="1:10" x14ac:dyDescent="0.25">
      <c r="A153">
        <f t="shared" si="21"/>
        <v>820000000000</v>
      </c>
      <c r="B153">
        <f t="shared" si="27"/>
        <v>0</v>
      </c>
      <c r="C153">
        <f t="shared" si="28"/>
        <v>0</v>
      </c>
      <c r="D153">
        <f t="shared" si="28"/>
        <v>0</v>
      </c>
      <c r="E153">
        <f t="shared" si="26"/>
        <v>0</v>
      </c>
      <c r="F153">
        <f t="shared" si="26"/>
        <v>0</v>
      </c>
      <c r="G153">
        <f t="shared" si="26"/>
        <v>0</v>
      </c>
      <c r="H153">
        <f t="shared" si="26"/>
        <v>0</v>
      </c>
      <c r="I153">
        <f t="shared" si="26"/>
        <v>0</v>
      </c>
      <c r="J153">
        <f t="shared" si="26"/>
        <v>0</v>
      </c>
    </row>
    <row r="154" spans="1:10" x14ac:dyDescent="0.25">
      <c r="A154">
        <f t="shared" si="21"/>
        <v>1000000000000</v>
      </c>
      <c r="B154">
        <f t="shared" si="27"/>
        <v>0</v>
      </c>
      <c r="C154">
        <f t="shared" si="28"/>
        <v>0</v>
      </c>
      <c r="D154">
        <f t="shared" si="28"/>
        <v>0</v>
      </c>
      <c r="E154">
        <f t="shared" si="26"/>
        <v>0</v>
      </c>
      <c r="F154">
        <f t="shared" si="26"/>
        <v>0</v>
      </c>
      <c r="G154">
        <f t="shared" si="26"/>
        <v>0</v>
      </c>
      <c r="H154">
        <f t="shared" si="26"/>
        <v>0</v>
      </c>
      <c r="I154">
        <f t="shared" si="26"/>
        <v>0</v>
      </c>
      <c r="J154">
        <f t="shared" si="26"/>
        <v>0</v>
      </c>
    </row>
    <row r="155" spans="1:10" x14ac:dyDescent="0.25">
      <c r="A155">
        <f t="shared" si="21"/>
        <v>1200000000000</v>
      </c>
      <c r="B155">
        <f t="shared" si="27"/>
        <v>0</v>
      </c>
      <c r="C155">
        <f t="shared" si="28"/>
        <v>0</v>
      </c>
      <c r="D155">
        <f t="shared" si="28"/>
        <v>0</v>
      </c>
      <c r="E155">
        <f t="shared" si="26"/>
        <v>0</v>
      </c>
      <c r="F155">
        <f t="shared" si="26"/>
        <v>0</v>
      </c>
      <c r="G155">
        <f t="shared" si="26"/>
        <v>0</v>
      </c>
      <c r="H155">
        <f t="shared" si="26"/>
        <v>0</v>
      </c>
      <c r="I155">
        <f t="shared" si="26"/>
        <v>0</v>
      </c>
      <c r="J155">
        <f t="shared" si="26"/>
        <v>0</v>
      </c>
    </row>
    <row r="156" spans="1:10" x14ac:dyDescent="0.25">
      <c r="A156">
        <f t="shared" si="21"/>
        <v>1500000000000</v>
      </c>
      <c r="B156">
        <f t="shared" si="27"/>
        <v>0</v>
      </c>
      <c r="C156">
        <f t="shared" si="28"/>
        <v>0</v>
      </c>
      <c r="D156">
        <f t="shared" si="28"/>
        <v>0</v>
      </c>
      <c r="E156">
        <f t="shared" si="26"/>
        <v>0</v>
      </c>
      <c r="F156">
        <f t="shared" si="26"/>
        <v>0</v>
      </c>
      <c r="G156">
        <f t="shared" si="26"/>
        <v>0</v>
      </c>
      <c r="H156">
        <f t="shared" si="26"/>
        <v>0</v>
      </c>
      <c r="I156">
        <f t="shared" si="26"/>
        <v>0</v>
      </c>
      <c r="J156">
        <f t="shared" si="26"/>
        <v>0</v>
      </c>
    </row>
    <row r="157" spans="1:10" x14ac:dyDescent="0.25">
      <c r="A157">
        <f t="shared" si="21"/>
        <v>1800000000000</v>
      </c>
      <c r="B157">
        <f t="shared" si="27"/>
        <v>0</v>
      </c>
      <c r="C157">
        <f t="shared" si="28"/>
        <v>0</v>
      </c>
      <c r="D157">
        <f t="shared" si="28"/>
        <v>0</v>
      </c>
      <c r="E157">
        <f t="shared" si="26"/>
        <v>0</v>
      </c>
      <c r="F157">
        <f t="shared" si="26"/>
        <v>0</v>
      </c>
      <c r="G157">
        <f t="shared" si="26"/>
        <v>0</v>
      </c>
      <c r="H157">
        <f t="shared" si="26"/>
        <v>0</v>
      </c>
      <c r="I157">
        <f t="shared" si="26"/>
        <v>0</v>
      </c>
      <c r="J157">
        <f t="shared" si="26"/>
        <v>0</v>
      </c>
    </row>
    <row r="158" spans="1:10" x14ac:dyDescent="0.25">
      <c r="A158">
        <f t="shared" si="21"/>
        <v>2200000000000</v>
      </c>
      <c r="B158">
        <f t="shared" si="27"/>
        <v>0</v>
      </c>
      <c r="C158">
        <f t="shared" si="28"/>
        <v>0</v>
      </c>
      <c r="D158">
        <f t="shared" si="28"/>
        <v>0</v>
      </c>
      <c r="E158">
        <f t="shared" si="26"/>
        <v>0</v>
      </c>
      <c r="F158">
        <f t="shared" si="26"/>
        <v>0</v>
      </c>
      <c r="G158">
        <f t="shared" si="26"/>
        <v>0</v>
      </c>
      <c r="H158">
        <f t="shared" si="26"/>
        <v>0</v>
      </c>
      <c r="I158">
        <f t="shared" si="26"/>
        <v>0</v>
      </c>
      <c r="J158">
        <f t="shared" si="26"/>
        <v>0</v>
      </c>
    </row>
    <row r="159" spans="1:10" x14ac:dyDescent="0.25">
      <c r="A159" s="43">
        <f t="shared" si="21"/>
        <v>2700000000000</v>
      </c>
      <c r="B159">
        <f t="shared" si="27"/>
        <v>2700000000000</v>
      </c>
      <c r="C159">
        <f t="shared" si="28"/>
        <v>2700000000000</v>
      </c>
      <c r="D159">
        <f t="shared" si="28"/>
        <v>2700000000000</v>
      </c>
      <c r="E159">
        <f t="shared" si="26"/>
        <v>2700000000000</v>
      </c>
      <c r="F159">
        <f t="shared" si="26"/>
        <v>2700000000000</v>
      </c>
      <c r="G159">
        <f t="shared" si="26"/>
        <v>2700000000000</v>
      </c>
      <c r="H159">
        <f t="shared" si="26"/>
        <v>2700000000000</v>
      </c>
      <c r="I159">
        <f t="shared" si="26"/>
        <v>2700000000000</v>
      </c>
      <c r="J159">
        <f t="shared" si="26"/>
        <v>2700000000000</v>
      </c>
    </row>
  </sheetData>
  <phoneticPr fontId="5" type="noConversion"/>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E7"/>
  <sheetViews>
    <sheetView workbookViewId="0">
      <selection activeCell="B6" sqref="B6"/>
    </sheetView>
  </sheetViews>
  <sheetFormatPr defaultRowHeight="12.5" x14ac:dyDescent="0.25"/>
  <cols>
    <col min="1" max="1" width="18.54296875" customWidth="1"/>
    <col min="2" max="2" width="9.36328125" customWidth="1"/>
    <col min="4" max="4" width="11.08984375" customWidth="1"/>
  </cols>
  <sheetData>
    <row r="1" spans="1:5" x14ac:dyDescent="0.25">
      <c r="C1" t="s">
        <v>183</v>
      </c>
      <c r="D1" t="s">
        <v>182</v>
      </c>
    </row>
    <row r="2" spans="1:5" x14ac:dyDescent="0.25">
      <c r="A2" t="s">
        <v>180</v>
      </c>
      <c r="B2" s="47">
        <v>85</v>
      </c>
      <c r="C2" t="s">
        <v>181</v>
      </c>
      <c r="D2">
        <f>B2*1000000</f>
        <v>85000000</v>
      </c>
      <c r="E2" t="s">
        <v>9</v>
      </c>
    </row>
    <row r="3" spans="1:5" x14ac:dyDescent="0.25">
      <c r="A3" t="s">
        <v>184</v>
      </c>
      <c r="B3" s="47">
        <v>3000</v>
      </c>
      <c r="C3" t="s">
        <v>30</v>
      </c>
      <c r="D3">
        <f>B3*0.000000000001</f>
        <v>3E-9</v>
      </c>
      <c r="E3" t="s">
        <v>24</v>
      </c>
    </row>
    <row r="4" spans="1:5" x14ac:dyDescent="0.25">
      <c r="A4" t="s">
        <v>186</v>
      </c>
      <c r="B4" s="48">
        <f>1000000000*1/((D2*2*3.14159)^2*D3)</f>
        <v>1.1686430773614742</v>
      </c>
      <c r="C4" t="s">
        <v>187</v>
      </c>
      <c r="D4">
        <f>B4/1000000000</f>
        <v>1.1686430773614743E-9</v>
      </c>
      <c r="E4" t="s">
        <v>19</v>
      </c>
    </row>
    <row r="5" spans="1:5" x14ac:dyDescent="0.25">
      <c r="A5" t="s">
        <v>185</v>
      </c>
      <c r="B5">
        <f>4*B3</f>
        <v>12000</v>
      </c>
      <c r="C5" t="s">
        <v>30</v>
      </c>
      <c r="D5">
        <f>B5*0.000000000001</f>
        <v>1.2E-8</v>
      </c>
      <c r="E5" t="s">
        <v>24</v>
      </c>
    </row>
    <row r="6" spans="1:5" x14ac:dyDescent="0.25">
      <c r="A6" t="s">
        <v>188</v>
      </c>
      <c r="B6" s="4">
        <f>SQRT(D4/D3)</f>
        <v>0.62413755891936573</v>
      </c>
      <c r="C6" s="4" t="s">
        <v>138</v>
      </c>
      <c r="D6" s="4">
        <f>B6</f>
        <v>0.62413755891936573</v>
      </c>
      <c r="E6" t="s">
        <v>138</v>
      </c>
    </row>
    <row r="7" spans="1:5" x14ac:dyDescent="0.25">
      <c r="B7" s="4"/>
      <c r="C7" s="4"/>
      <c r="D7" s="4"/>
    </row>
  </sheetData>
  <phoneticPr fontId="5"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3:E16"/>
  <sheetViews>
    <sheetView workbookViewId="0">
      <selection activeCell="G37" sqref="G37"/>
    </sheetView>
  </sheetViews>
  <sheetFormatPr defaultRowHeight="12.5" x14ac:dyDescent="0.25"/>
  <sheetData>
    <row r="3" spans="1:5" x14ac:dyDescent="0.25">
      <c r="A3" t="s">
        <v>155</v>
      </c>
      <c r="B3" t="e">
        <f>Iripple1</f>
        <v>#NAME?</v>
      </c>
    </row>
    <row r="4" spans="1:5" x14ac:dyDescent="0.25">
      <c r="A4" t="s">
        <v>6</v>
      </c>
      <c r="B4">
        <f>Fsw</f>
        <v>220000</v>
      </c>
    </row>
    <row r="6" spans="1:5" x14ac:dyDescent="0.25">
      <c r="A6" t="s">
        <v>142</v>
      </c>
      <c r="B6" s="41">
        <v>0.5</v>
      </c>
      <c r="C6" t="s">
        <v>63</v>
      </c>
      <c r="D6">
        <f>B6/1000</f>
        <v>5.0000000000000001E-4</v>
      </c>
      <c r="E6" t="s">
        <v>20</v>
      </c>
    </row>
    <row r="7" spans="1:5" x14ac:dyDescent="0.25">
      <c r="A7" t="s">
        <v>153</v>
      </c>
      <c r="B7" s="41">
        <v>20</v>
      </c>
      <c r="C7" t="s">
        <v>23</v>
      </c>
      <c r="D7">
        <f>B7/1000000</f>
        <v>2.0000000000000002E-5</v>
      </c>
      <c r="E7" t="s">
        <v>24</v>
      </c>
    </row>
    <row r="9" spans="1:5" x14ac:dyDescent="0.25">
      <c r="A9" t="s">
        <v>143</v>
      </c>
      <c r="B9" s="41">
        <v>20</v>
      </c>
      <c r="C9" t="s">
        <v>63</v>
      </c>
      <c r="D9">
        <f>B9/1000</f>
        <v>0.02</v>
      </c>
      <c r="E9" t="s">
        <v>20</v>
      </c>
    </row>
    <row r="10" spans="1:5" x14ac:dyDescent="0.25">
      <c r="A10" t="s">
        <v>154</v>
      </c>
      <c r="B10" s="41">
        <v>68</v>
      </c>
      <c r="C10" t="s">
        <v>23</v>
      </c>
      <c r="D10">
        <f>B10/1000000</f>
        <v>6.7999999999999999E-5</v>
      </c>
      <c r="E10" t="s">
        <v>24</v>
      </c>
    </row>
    <row r="12" spans="1:5" x14ac:dyDescent="0.25">
      <c r="A12" t="s">
        <v>157</v>
      </c>
      <c r="B12">
        <f>(D7/(D7+D10))*SQRT((D9*D10*B4)^2+1)/SQRT((((D6+D9)*D7*D10/(D10+D7))*B4)^2+1)</f>
        <v>0.23665336702615425</v>
      </c>
      <c r="C12" t="s">
        <v>156</v>
      </c>
    </row>
    <row r="13" spans="1:5" x14ac:dyDescent="0.25">
      <c r="A13" t="s">
        <v>158</v>
      </c>
      <c r="B13">
        <f>1-B12</f>
        <v>0.76334663297384575</v>
      </c>
      <c r="C13" t="s">
        <v>156</v>
      </c>
    </row>
    <row r="15" spans="1:5" x14ac:dyDescent="0.25">
      <c r="A15" t="s">
        <v>157</v>
      </c>
      <c r="B15" t="e">
        <f>B12*(Iripple1/(2*SQRT(3)))</f>
        <v>#NAME?</v>
      </c>
      <c r="C15" t="s">
        <v>1</v>
      </c>
    </row>
    <row r="16" spans="1:5" x14ac:dyDescent="0.25">
      <c r="A16" t="s">
        <v>158</v>
      </c>
      <c r="B16" t="e">
        <f>B13*(Iripple1/(2*SQRT(3)))</f>
        <v>#NAME?</v>
      </c>
      <c r="C16" t="s">
        <v>1</v>
      </c>
    </row>
  </sheetData>
  <phoneticPr fontId="5"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286</vt:i4>
      </vt:variant>
    </vt:vector>
  </HeadingPairs>
  <TitlesOfParts>
    <vt:vector size="300" baseType="lpstr">
      <vt:lpstr>Design Regulator</vt:lpstr>
      <vt:lpstr>BOM &amp; Schematic</vt:lpstr>
      <vt:lpstr>EVM</vt:lpstr>
      <vt:lpstr>Variable Management</vt:lpstr>
      <vt:lpstr>Stability Calculations</vt:lpstr>
      <vt:lpstr>Ch2 Stability Calculations</vt:lpstr>
      <vt:lpstr>Bode Plot Management</vt:lpstr>
      <vt:lpstr>Efficiency Calculations</vt:lpstr>
      <vt:lpstr>Ch2 Efficiency Calculations</vt:lpstr>
      <vt:lpstr>Efficiency Plot Management</vt:lpstr>
      <vt:lpstr>Schematic Management</vt:lpstr>
      <vt:lpstr>Standard Value Calculator</vt:lpstr>
      <vt:lpstr>Snubber</vt:lpstr>
      <vt:lpstr>Parallel Output Caps</vt:lpstr>
      <vt:lpstr>_Don1</vt:lpstr>
      <vt:lpstr>_Don2</vt:lpstr>
      <vt:lpstr>Acs</vt:lpstr>
      <vt:lpstr>Acs_Ch2</vt:lpstr>
      <vt:lpstr>'Ch2 Stability Calculations'!Adc</vt:lpstr>
      <vt:lpstr>Adc</vt:lpstr>
      <vt:lpstr>AEA</vt:lpstr>
      <vt:lpstr>Afb</vt:lpstr>
      <vt:lpstr>Afb_Ch2</vt:lpstr>
      <vt:lpstr>Am</vt:lpstr>
      <vt:lpstr>Am_buck</vt:lpstr>
      <vt:lpstr>Am_buck_Ch2</vt:lpstr>
      <vt:lpstr>Am_Ch2</vt:lpstr>
      <vt:lpstr>BODE_PLOT_Ch1</vt:lpstr>
      <vt:lpstr>BODE_PLOT_Ch2</vt:lpstr>
      <vt:lpstr>BODE_PLOT_TYPE</vt:lpstr>
      <vt:lpstr>Buck_CS_threshold</vt:lpstr>
      <vt:lpstr>Buck_CS_threshold_max</vt:lpstr>
      <vt:lpstr>Buck_CS_threshold_min</vt:lpstr>
      <vt:lpstr>Cb</vt:lpstr>
      <vt:lpstr>Cbw</vt:lpstr>
      <vt:lpstr>Cby</vt:lpstr>
      <vt:lpstr>Cc1ea</vt:lpstr>
      <vt:lpstr>Cc1ea_u</vt:lpstr>
      <vt:lpstr>Cc2ea</vt:lpstr>
      <vt:lpstr>Cc2ea_u</vt:lpstr>
      <vt:lpstr>Cc3ea</vt:lpstr>
      <vt:lpstr>Cc3ea_u</vt:lpstr>
      <vt:lpstr>Cc4ea</vt:lpstr>
      <vt:lpstr>Cc4ea_u</vt:lpstr>
      <vt:lpstr>Cdither</vt:lpstr>
      <vt:lpstr>Cdither_init</vt:lpstr>
      <vt:lpstr>Ch1_VOUT</vt:lpstr>
      <vt:lpstr>Ch2_VOUT</vt:lpstr>
      <vt:lpstr>Cin</vt:lpstr>
      <vt:lpstr>CinEsrMax</vt:lpstr>
      <vt:lpstr>Cinmin</vt:lpstr>
      <vt:lpstr>Core_Loss_Ch1</vt:lpstr>
      <vt:lpstr>Coss_Q1</vt:lpstr>
      <vt:lpstr>Coss_Q2</vt:lpstr>
      <vt:lpstr>Coss_Q3</vt:lpstr>
      <vt:lpstr>Coss_Q4</vt:lpstr>
      <vt:lpstr>Cout</vt:lpstr>
      <vt:lpstr>Cout_ESR</vt:lpstr>
      <vt:lpstr>Cout_min</vt:lpstr>
      <vt:lpstr>Cout2</vt:lpstr>
      <vt:lpstr>Cout2_ESR</vt:lpstr>
      <vt:lpstr>Cout2_min</vt:lpstr>
      <vt:lpstr>Cout2EsrMax</vt:lpstr>
      <vt:lpstr>CoutEsrMax</vt:lpstr>
      <vt:lpstr>Cres</vt:lpstr>
      <vt:lpstr>Cres_u</vt:lpstr>
      <vt:lpstr>CSAmp_gain</vt:lpstr>
      <vt:lpstr>Csb</vt:lpstr>
      <vt:lpstr>Css</vt:lpstr>
      <vt:lpstr>Css_u</vt:lpstr>
      <vt:lpstr>D1_Vinmax</vt:lpstr>
      <vt:lpstr>D1_Vinmax_2</vt:lpstr>
      <vt:lpstr>D1_Vinmin</vt:lpstr>
      <vt:lpstr>D1_Vinmin_2</vt:lpstr>
      <vt:lpstr>D1_Vinnom</vt:lpstr>
      <vt:lpstr>D1_Vinnom_2</vt:lpstr>
      <vt:lpstr>D2_Vinmax</vt:lpstr>
      <vt:lpstr>D2_Vinmax_2</vt:lpstr>
      <vt:lpstr>D2_Vinmin</vt:lpstr>
      <vt:lpstr>D2_Vinmin_2</vt:lpstr>
      <vt:lpstr>D2_Vinnom</vt:lpstr>
      <vt:lpstr>D2_Vinnom_2</vt:lpstr>
      <vt:lpstr>Deadtime</vt:lpstr>
      <vt:lpstr>DEMB</vt:lpstr>
      <vt:lpstr>DITHER</vt:lpstr>
      <vt:lpstr>Doff1</vt:lpstr>
      <vt:lpstr>Doff2</vt:lpstr>
      <vt:lpstr>Don_buckboost</vt:lpstr>
      <vt:lpstr>EFF_Ch1</vt:lpstr>
      <vt:lpstr>EFF_Ch2</vt:lpstr>
      <vt:lpstr>Efficiency</vt:lpstr>
      <vt:lpstr>Ext_VCC</vt:lpstr>
      <vt:lpstr>Fcross</vt:lpstr>
      <vt:lpstr>Fcross_Ch2</vt:lpstr>
      <vt:lpstr>Fdither</vt:lpstr>
      <vt:lpstr>Fesr</vt:lpstr>
      <vt:lpstr>Fesr_Ch2</vt:lpstr>
      <vt:lpstr>Fload_u</vt:lpstr>
      <vt:lpstr>Fload_u_Ch2</vt:lpstr>
      <vt:lpstr>Fp_dominant</vt:lpstr>
      <vt:lpstr>Fp_dominant_Ch2</vt:lpstr>
      <vt:lpstr>Fp1_u</vt:lpstr>
      <vt:lpstr>Fp1_u_Ch2</vt:lpstr>
      <vt:lpstr>Fp2_u</vt:lpstr>
      <vt:lpstr>Fp2_u_Ch2</vt:lpstr>
      <vt:lpstr>Fsw</vt:lpstr>
      <vt:lpstr>Fz1_u</vt:lpstr>
      <vt:lpstr>Fz1_u_Ch2</vt:lpstr>
      <vt:lpstr>GBW</vt:lpstr>
      <vt:lpstr>Gfs_Q1</vt:lpstr>
      <vt:lpstr>Gfs_Q2</vt:lpstr>
      <vt:lpstr>Gfs_Q3</vt:lpstr>
      <vt:lpstr>Gfs_Q4</vt:lpstr>
      <vt:lpstr>gm</vt:lpstr>
      <vt:lpstr>Icoutrms</vt:lpstr>
      <vt:lpstr>Iin_Vinmax</vt:lpstr>
      <vt:lpstr>Iin_Vinmin</vt:lpstr>
      <vt:lpstr>Iin_Vinnom</vt:lpstr>
      <vt:lpstr>Ilimit_DC</vt:lpstr>
      <vt:lpstr>Ilimit2_DC</vt:lpstr>
      <vt:lpstr>Iout</vt:lpstr>
      <vt:lpstr>Iout_OCP_Vinmax</vt:lpstr>
      <vt:lpstr>Iout_OCP_Vinmin</vt:lpstr>
      <vt:lpstr>Iout_OCP_Vinnom</vt:lpstr>
      <vt:lpstr>Iout2</vt:lpstr>
      <vt:lpstr>Iout2_OCP_Vinmax</vt:lpstr>
      <vt:lpstr>Iout2_OCP_Vinmin</vt:lpstr>
      <vt:lpstr>Iout2_OCP_Vinnom</vt:lpstr>
      <vt:lpstr>Iq</vt:lpstr>
      <vt:lpstr>Ireverse</vt:lpstr>
      <vt:lpstr>Iripple_Vinmax</vt:lpstr>
      <vt:lpstr>Iripple_Vinmin</vt:lpstr>
      <vt:lpstr>Iripple_Vinnom</vt:lpstr>
      <vt:lpstr>Iripple2_Vinmax</vt:lpstr>
      <vt:lpstr>Iripple2_Vinmin</vt:lpstr>
      <vt:lpstr>Iripple2_Vinnom</vt:lpstr>
      <vt:lpstr>Iss</vt:lpstr>
      <vt:lpstr>k</vt:lpstr>
      <vt:lpstr>k_buck</vt:lpstr>
      <vt:lpstr>k_Ch2</vt:lpstr>
      <vt:lpstr>Lf</vt:lpstr>
      <vt:lpstr>Lo_2</vt:lpstr>
      <vt:lpstr>Lopt</vt:lpstr>
      <vt:lpstr>Lopt2</vt:lpstr>
      <vt:lpstr>Ltc</vt:lpstr>
      <vt:lpstr>mc</vt:lpstr>
      <vt:lpstr>mc_buck</vt:lpstr>
      <vt:lpstr>mc_buck_Ch2</vt:lpstr>
      <vt:lpstr>mc_Ch2</vt:lpstr>
      <vt:lpstr>MODE</vt:lpstr>
      <vt:lpstr>Number_of_Phases</vt:lpstr>
      <vt:lpstr>Pi</vt:lpstr>
      <vt:lpstr>Pin</vt:lpstr>
      <vt:lpstr>PLOT_TYPE</vt:lpstr>
      <vt:lpstr>'Ch2 Stability Calculations'!pole1</vt:lpstr>
      <vt:lpstr>pole1</vt:lpstr>
      <vt:lpstr>'Ch2 Stability Calculations'!Pole2</vt:lpstr>
      <vt:lpstr>Pole2</vt:lpstr>
      <vt:lpstr>'Ch2 Stability Calculations'!pole3</vt:lpstr>
      <vt:lpstr>pole3</vt:lpstr>
      <vt:lpstr>'Ch2 Stability Calculations'!pole4</vt:lpstr>
      <vt:lpstr>pole4</vt:lpstr>
      <vt:lpstr>Pout</vt:lpstr>
      <vt:lpstr>'BOM &amp; Schematic'!Print_Area</vt:lpstr>
      <vt:lpstr>'Design Regulator'!Print_Area</vt:lpstr>
      <vt:lpstr>'Ch2 Stability Calculations'!pterm1</vt:lpstr>
      <vt:lpstr>pterm1</vt:lpstr>
      <vt:lpstr>'Ch2 Stability Calculations'!pterm2</vt:lpstr>
      <vt:lpstr>pterm2</vt:lpstr>
      <vt:lpstr>Q</vt:lpstr>
      <vt:lpstr>Q_Ch2</vt:lpstr>
      <vt:lpstr>Qg_Q1</vt:lpstr>
      <vt:lpstr>Qg_Q2</vt:lpstr>
      <vt:lpstr>Qg_Q3</vt:lpstr>
      <vt:lpstr>Qg_Q4</vt:lpstr>
      <vt:lpstr>Qgd_Q1</vt:lpstr>
      <vt:lpstr>Qgd_Q2</vt:lpstr>
      <vt:lpstr>Qgd_Q3</vt:lpstr>
      <vt:lpstr>Qgd_Q4</vt:lpstr>
      <vt:lpstr>Qgs_Q1</vt:lpstr>
      <vt:lpstr>Qgs_Q2</vt:lpstr>
      <vt:lpstr>Qgs_Q3</vt:lpstr>
      <vt:lpstr>Qgs_Q4</vt:lpstr>
      <vt:lpstr>Qoss_Q1</vt:lpstr>
      <vt:lpstr>Qoss_Q2</vt:lpstr>
      <vt:lpstr>Qoss_Q3</vt:lpstr>
      <vt:lpstr>Qoss_Q4</vt:lpstr>
      <vt:lpstr>Qrr_Q2</vt:lpstr>
      <vt:lpstr>Qrr_Q4</vt:lpstr>
      <vt:lpstr>QrrSky_Q2</vt:lpstr>
      <vt:lpstr>QrrSky_Q4</vt:lpstr>
      <vt:lpstr>'Ch2 Stability Calculations'!radconv</vt:lpstr>
      <vt:lpstr>radconv</vt:lpstr>
      <vt:lpstr>Rcea1</vt:lpstr>
      <vt:lpstr>Rcea1_u</vt:lpstr>
      <vt:lpstr>Rcea2</vt:lpstr>
      <vt:lpstr>Rcea2_u</vt:lpstr>
      <vt:lpstr>RCinEsr</vt:lpstr>
      <vt:lpstr>RCoutEsr</vt:lpstr>
      <vt:lpstr>Rdcr</vt:lpstr>
      <vt:lpstr>Rdcr2</vt:lpstr>
      <vt:lpstr>Rdson1</vt:lpstr>
      <vt:lpstr>Rdson2</vt:lpstr>
      <vt:lpstr>Rdson3</vt:lpstr>
      <vt:lpstr>Rdson4</vt:lpstr>
      <vt:lpstr>RdsonBotTc</vt:lpstr>
      <vt:lpstr>RdsonDRB</vt:lpstr>
      <vt:lpstr>RdsonDRB2</vt:lpstr>
      <vt:lpstr>RdsonDRT</vt:lpstr>
      <vt:lpstr>RdsonDRT2</vt:lpstr>
      <vt:lpstr>RdsonTopTc</vt:lpstr>
      <vt:lpstr>Rfadj</vt:lpstr>
      <vt:lpstr>Rfb1_</vt:lpstr>
      <vt:lpstr>Rfb2_</vt:lpstr>
      <vt:lpstr>Rfb2_u</vt:lpstr>
      <vt:lpstr>Rfb3_</vt:lpstr>
      <vt:lpstr>Rfb4_</vt:lpstr>
      <vt:lpstr>Rfb4_u</vt:lpstr>
      <vt:lpstr>Rfets</vt:lpstr>
      <vt:lpstr>Rgate1</vt:lpstr>
      <vt:lpstr>Rgate2</vt:lpstr>
      <vt:lpstr>Rgate3</vt:lpstr>
      <vt:lpstr>Rgate4</vt:lpstr>
      <vt:lpstr>Ri</vt:lpstr>
      <vt:lpstr>Ri_Ch2</vt:lpstr>
      <vt:lpstr>Ro</vt:lpstr>
      <vt:lpstr>Ro_Ch2</vt:lpstr>
      <vt:lpstr>RoEA</vt:lpstr>
      <vt:lpstr>Rout</vt:lpstr>
      <vt:lpstr>Rout2</vt:lpstr>
      <vt:lpstr>Rpg</vt:lpstr>
      <vt:lpstr>Rs</vt:lpstr>
      <vt:lpstr>Rs_Ch2</vt:lpstr>
      <vt:lpstr>Rs_ideal</vt:lpstr>
      <vt:lpstr>Rs2_ideal</vt:lpstr>
      <vt:lpstr>SCH_DUAL</vt:lpstr>
      <vt:lpstr>SCH_MODE</vt:lpstr>
      <vt:lpstr>SCH_MULTIPHASE</vt:lpstr>
      <vt:lpstr>SCH_SINGLE</vt:lpstr>
      <vt:lpstr>Se_ext</vt:lpstr>
      <vt:lpstr>Se_ext_Ch2</vt:lpstr>
      <vt:lpstr>SENSING_TYPE</vt:lpstr>
      <vt:lpstr>Sf</vt:lpstr>
      <vt:lpstr>Sf_Ch2</vt:lpstr>
      <vt:lpstr>SINGLE_OUTPUT</vt:lpstr>
      <vt:lpstr>Sn</vt:lpstr>
      <vt:lpstr>Sn_Ch2</vt:lpstr>
      <vt:lpstr>Ta</vt:lpstr>
      <vt:lpstr>Tf_buck</vt:lpstr>
      <vt:lpstr>Tf_Ch2</vt:lpstr>
      <vt:lpstr>ThetaCa</vt:lpstr>
      <vt:lpstr>ThetaJA_Q1</vt:lpstr>
      <vt:lpstr>ThetaJA_Q2</vt:lpstr>
      <vt:lpstr>ThetaJA_Q3</vt:lpstr>
      <vt:lpstr>ThetaJA_Q4</vt:lpstr>
      <vt:lpstr>ThetaJaCtrl</vt:lpstr>
      <vt:lpstr>TL</vt:lpstr>
      <vt:lpstr>Tr_buck</vt:lpstr>
      <vt:lpstr>Tr_Ch2</vt:lpstr>
      <vt:lpstr>Tres</vt:lpstr>
      <vt:lpstr>Trr_Q1</vt:lpstr>
      <vt:lpstr>Trr_Q2</vt:lpstr>
      <vt:lpstr>Trr_Q3</vt:lpstr>
      <vt:lpstr>Trr_Q4</vt:lpstr>
      <vt:lpstr>Ts</vt:lpstr>
      <vt:lpstr>Tss</vt:lpstr>
      <vt:lpstr>VARIANT</vt:lpstr>
      <vt:lpstr>VCC</vt:lpstr>
      <vt:lpstr>VfdSky_Q2</vt:lpstr>
      <vt:lpstr>VfdSky_Q4</vt:lpstr>
      <vt:lpstr>Vin</vt:lpstr>
      <vt:lpstr>VIN_max</vt:lpstr>
      <vt:lpstr>VIN_MAX_RATING</vt:lpstr>
      <vt:lpstr>VIN_min</vt:lpstr>
      <vt:lpstr>VIN_nom</vt:lpstr>
      <vt:lpstr>Vinripple1</vt:lpstr>
      <vt:lpstr>Vo1_ripple</vt:lpstr>
      <vt:lpstr>Vo2_ripple</vt:lpstr>
      <vt:lpstr>Vout</vt:lpstr>
      <vt:lpstr>VOUT_MAX_RATING</vt:lpstr>
      <vt:lpstr>Vout2</vt:lpstr>
      <vt:lpstr>Vref</vt:lpstr>
      <vt:lpstr>Vsd_Q1</vt:lpstr>
      <vt:lpstr>Vsd_Q2</vt:lpstr>
      <vt:lpstr>Vsd_Q3</vt:lpstr>
      <vt:lpstr>Vsd_Q4</vt:lpstr>
      <vt:lpstr>Vsp_Q1</vt:lpstr>
      <vt:lpstr>Vsp_Q2</vt:lpstr>
      <vt:lpstr>Vsp_Q3</vt:lpstr>
      <vt:lpstr>Vsp_Q4</vt:lpstr>
      <vt:lpstr>Vth_Q1</vt:lpstr>
      <vt:lpstr>Vth_Q2</vt:lpstr>
      <vt:lpstr>Vth_Q3</vt:lpstr>
      <vt:lpstr>Vth_Q4</vt:lpstr>
      <vt:lpstr>'Ch2 Stability Calculations'!z_RHP</vt:lpstr>
      <vt:lpstr>z_RHP</vt:lpstr>
      <vt:lpstr>'Ch2 Stability Calculations'!Zero1</vt:lpstr>
      <vt:lpstr>Zero1</vt:lpstr>
      <vt:lpstr>'Ch2 Stability Calculations'!Zero2</vt:lpstr>
      <vt:lpstr>Zero2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LM5143-Q1 Quickstart Tool</dc:title>
  <dc:creator>Timothy Hegarty</dc:creator>
  <cp:keywords>LM5143-Q1, PWM controller, current mode, PCB layout</cp:keywords>
  <cp:lastModifiedBy>Michael Lam</cp:lastModifiedBy>
  <cp:lastPrinted>2018-10-08T16:56:44Z</cp:lastPrinted>
  <dcterms:created xsi:type="dcterms:W3CDTF">1996-10-14T23:33:28Z</dcterms:created>
  <dcterms:modified xsi:type="dcterms:W3CDTF">2026-01-30T21:46:12Z</dcterms:modified>
</cp:coreProperties>
</file>